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Y:\Marketing Team Files\Marketing Materials\AutoCharts&amp;Tables\Backup Files\Catalyst\OIP\"/>
    </mc:Choice>
  </mc:AlternateContent>
  <xr:revisionPtr revIDLastSave="0" documentId="13_ncr:1_{B939C596-EB9B-42FB-A2BE-EA392FAFE272}" xr6:coauthVersionLast="45" xr6:coauthVersionMax="45" xr10:uidLastSave="{00000000-0000-0000-0000-000000000000}"/>
  <bookViews>
    <workbookView xWindow="-28920" yWindow="-120" windowWidth="29040" windowHeight="15840" tabRatio="710" activeTab="1" xr2:uid="{00000000-000D-0000-FFFF-FFFF00000000}"/>
  </bookViews>
  <sheets>
    <sheet name="OIP Fact Sheet Backup" sheetId="1" r:id="rId1"/>
    <sheet name="OIP Portfolio" sheetId="2" r:id="rId2"/>
    <sheet name="OIP" sheetId="12" r:id="rId3"/>
    <sheet name="OIP_EXPORT_AnnualReturn" sheetId="13" r:id="rId4"/>
    <sheet name="OIP_EXPORT_PerformanceTable" sheetId="14" r:id="rId5"/>
    <sheet name="OIP_EXPORT_PortfolioAllocation" sheetId="15" r:id="rId6"/>
  </sheets>
  <externalReferences>
    <externalReference r:id="rId7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OIP!$1:$2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A6" i="13" l="1"/>
  <c r="B6" i="13"/>
  <c r="C6" i="13"/>
  <c r="A7" i="13"/>
  <c r="B7" i="13"/>
  <c r="C7" i="13"/>
  <c r="L14" i="12"/>
  <c r="K13" i="12"/>
  <c r="L13" i="12" s="1"/>
  <c r="L12" i="12"/>
  <c r="L11" i="12"/>
  <c r="K10" i="12"/>
  <c r="L10" i="12" s="1"/>
  <c r="K9" i="12"/>
  <c r="L9" i="12" s="1"/>
  <c r="B11" i="2"/>
  <c r="C56" i="1"/>
  <c r="C55" i="1"/>
  <c r="C54" i="1"/>
  <c r="C53" i="1"/>
  <c r="C52" i="1"/>
  <c r="C51" i="1"/>
  <c r="C50" i="1"/>
  <c r="C49" i="1"/>
  <c r="C48" i="1"/>
  <c r="C47" i="1"/>
  <c r="C46" i="1"/>
  <c r="O45" i="1"/>
  <c r="C45" i="1"/>
  <c r="C44" i="1"/>
  <c r="C43" i="1"/>
  <c r="O42" i="1"/>
  <c r="C42" i="1"/>
  <c r="O41" i="1"/>
  <c r="C41" i="1"/>
  <c r="O40" i="1"/>
  <c r="C40" i="1"/>
  <c r="C39" i="1"/>
  <c r="R38" i="1"/>
  <c r="Q38" i="1"/>
  <c r="C38" i="1"/>
  <c r="C37" i="1"/>
  <c r="P36" i="1"/>
  <c r="P45" i="1" s="1"/>
  <c r="C36" i="1"/>
  <c r="C35" i="1"/>
  <c r="C34" i="1"/>
  <c r="C33" i="1"/>
  <c r="C32" i="1"/>
  <c r="C31" i="1"/>
  <c r="P30" i="1"/>
  <c r="P31" i="1" s="1"/>
  <c r="C30" i="1"/>
  <c r="R29" i="1"/>
  <c r="Q29" i="1"/>
  <c r="C29" i="1"/>
  <c r="C28" i="1"/>
  <c r="C27" i="1"/>
  <c r="A27" i="1"/>
  <c r="C26" i="1"/>
  <c r="O25" i="1"/>
  <c r="C25" i="1"/>
  <c r="O24" i="1"/>
  <c r="C24" i="1"/>
  <c r="O23" i="1"/>
  <c r="C23" i="1"/>
  <c r="O22" i="1"/>
  <c r="C22" i="1"/>
  <c r="O21" i="1"/>
  <c r="C21" i="1"/>
  <c r="C20" i="1"/>
  <c r="C19" i="1"/>
  <c r="P18" i="1"/>
  <c r="L18" i="1"/>
  <c r="K18" i="1"/>
  <c r="I18" i="1"/>
  <c r="H18" i="1"/>
  <c r="C18" i="1"/>
  <c r="P17" i="1"/>
  <c r="C17" i="1"/>
  <c r="P16" i="1"/>
  <c r="L16" i="1"/>
  <c r="K16" i="1"/>
  <c r="J16" i="1"/>
  <c r="I16" i="1"/>
  <c r="H16" i="1"/>
  <c r="G16" i="1"/>
  <c r="C16" i="1"/>
  <c r="P15" i="1"/>
  <c r="C15" i="1"/>
  <c r="L14" i="1"/>
  <c r="G14" i="1"/>
  <c r="C14" i="1"/>
  <c r="P13" i="1"/>
  <c r="L13" i="1"/>
  <c r="K13" i="1"/>
  <c r="J13" i="1"/>
  <c r="I13" i="1"/>
  <c r="H13" i="1"/>
  <c r="G13" i="1"/>
  <c r="C13" i="1"/>
  <c r="P12" i="1"/>
  <c r="L12" i="1"/>
  <c r="K12" i="1"/>
  <c r="J12" i="1"/>
  <c r="I12" i="1"/>
  <c r="H12" i="1"/>
  <c r="G12" i="1"/>
  <c r="C12" i="1"/>
  <c r="R11" i="1"/>
  <c r="R20" i="1" s="1"/>
  <c r="Q11" i="1"/>
  <c r="Q20" i="1" s="1"/>
  <c r="L11" i="1"/>
  <c r="J11" i="1"/>
  <c r="J18" i="1" s="1"/>
  <c r="H11" i="1"/>
  <c r="C11" i="1"/>
  <c r="C10" i="1"/>
  <c r="C9" i="1"/>
  <c r="H8" i="1"/>
  <c r="C8" i="1"/>
  <c r="C7" i="1"/>
  <c r="C6" i="1"/>
  <c r="H5" i="1"/>
  <c r="C5" i="1"/>
  <c r="C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C3" i="1"/>
  <c r="H7" i="1" s="1"/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P32" i="1"/>
  <c r="P40" i="1"/>
  <c r="P39" i="1"/>
  <c r="H3" i="1"/>
  <c r="A28" i="1"/>
  <c r="G15" i="1"/>
  <c r="E2" i="15"/>
  <c r="D2" i="15"/>
  <c r="A29" i="1" l="1"/>
  <c r="P41" i="1"/>
  <c r="P33" i="1"/>
  <c r="A3" i="15"/>
  <c r="A5" i="15"/>
  <c r="A6" i="15"/>
  <c r="A4" i="15"/>
  <c r="A2" i="15"/>
  <c r="A6" i="14"/>
  <c r="B6" i="14"/>
  <c r="C6" i="14"/>
  <c r="D6" i="14"/>
  <c r="E6" i="14"/>
  <c r="F6" i="14"/>
  <c r="A2" i="14"/>
  <c r="B2" i="14"/>
  <c r="C2" i="14"/>
  <c r="D2" i="14"/>
  <c r="E2" i="14"/>
  <c r="F2" i="14"/>
  <c r="A3" i="14"/>
  <c r="B3" i="14"/>
  <c r="C3" i="14"/>
  <c r="D3" i="14"/>
  <c r="E3" i="14"/>
  <c r="F3" i="14"/>
  <c r="A4" i="14"/>
  <c r="F4" i="14"/>
  <c r="E1" i="14"/>
  <c r="F1" i="14"/>
  <c r="B1" i="14"/>
  <c r="C1" i="14"/>
  <c r="D1" i="14"/>
  <c r="A1" i="14"/>
  <c r="A5" i="13"/>
  <c r="A4" i="13"/>
  <c r="A3" i="13"/>
  <c r="A2" i="13"/>
  <c r="P42" i="1" l="1"/>
  <c r="A30" i="1"/>
  <c r="A31" i="1" l="1"/>
  <c r="A32" i="1" l="1"/>
  <c r="A33" i="1" l="1"/>
  <c r="A34" i="1" l="1"/>
  <c r="A35" i="1" l="1"/>
  <c r="A36" i="1" l="1"/>
  <c r="A37" i="1" l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R33" i="1" s="1"/>
  <c r="Q33" i="1" l="1"/>
  <c r="R15" i="1"/>
  <c r="Q18" i="1"/>
  <c r="R12" i="1"/>
  <c r="R17" i="1"/>
  <c r="R35" i="1"/>
  <c r="R16" i="1"/>
  <c r="R31" i="1"/>
  <c r="Q35" i="1"/>
  <c r="Q34" i="1"/>
  <c r="Q43" i="1" s="1"/>
  <c r="B5" i="13" s="1"/>
  <c r="Q15" i="1"/>
  <c r="Q12" i="1"/>
  <c r="Q17" i="1"/>
  <c r="Q31" i="1"/>
  <c r="Q36" i="1"/>
  <c r="Q45" i="1" s="1"/>
  <c r="R36" i="1"/>
  <c r="R45" i="1" s="1"/>
  <c r="R34" i="1"/>
  <c r="R43" i="1" s="1"/>
  <c r="C5" i="13" s="1"/>
  <c r="Q14" i="1"/>
  <c r="Q32" i="1"/>
  <c r="Q41" i="1" s="1"/>
  <c r="B3" i="13" s="1"/>
  <c r="Q16" i="1"/>
  <c r="R30" i="1"/>
  <c r="R13" i="1"/>
  <c r="Q30" i="1"/>
  <c r="R32" i="1"/>
  <c r="R41" i="1" s="1"/>
  <c r="C3" i="13" s="1"/>
  <c r="R18" i="1"/>
  <c r="Q13" i="1"/>
  <c r="R14" i="1"/>
  <c r="Q40" i="1" l="1"/>
  <c r="B2" i="13" s="1"/>
  <c r="R44" i="1"/>
  <c r="Q26" i="1"/>
  <c r="Q27" i="1" s="1"/>
  <c r="Q21" i="1"/>
  <c r="H21" i="1" s="1"/>
  <c r="H14" i="1" s="1"/>
  <c r="B4" i="14" s="1"/>
  <c r="Q24" i="1"/>
  <c r="J21" i="1" s="1"/>
  <c r="J14" i="1" s="1"/>
  <c r="D4" i="14" s="1"/>
  <c r="Q22" i="1"/>
  <c r="Q25" i="1"/>
  <c r="K21" i="1" s="1"/>
  <c r="K14" i="1" s="1"/>
  <c r="E4" i="14" s="1"/>
  <c r="Q23" i="1"/>
  <c r="I21" i="1" s="1"/>
  <c r="I14" i="1" s="1"/>
  <c r="C4" i="14" s="1"/>
  <c r="R26" i="1"/>
  <c r="R27" i="1" s="1"/>
  <c r="R21" i="1"/>
  <c r="H15" i="1" s="1"/>
  <c r="B5" i="14" s="1"/>
  <c r="R22" i="1"/>
  <c r="R24" i="1"/>
  <c r="J15" i="1" s="1"/>
  <c r="D5" i="14" s="1"/>
  <c r="R25" i="1"/>
  <c r="K15" i="1" s="1"/>
  <c r="E5" i="14" s="1"/>
  <c r="R23" i="1"/>
  <c r="I15" i="1" s="1"/>
  <c r="C5" i="14" s="1"/>
  <c r="Q44" i="1"/>
  <c r="Q42" i="1"/>
  <c r="B4" i="13" s="1"/>
  <c r="R40" i="1"/>
  <c r="C2" i="13" s="1"/>
  <c r="R42" i="1"/>
  <c r="C4" i="13" s="1"/>
  <c r="L15" i="1" l="1"/>
  <c r="F5" i="14" s="1"/>
  <c r="H6" i="1"/>
</calcChain>
</file>

<file path=xl/sharedStrings.xml><?xml version="1.0" encoding="utf-8"?>
<sst xmlns="http://schemas.openxmlformats.org/spreadsheetml/2006/main" count="126" uniqueCount="110">
  <si>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</si>
  <si>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</si>
  <si>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</si>
  <si>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</si>
  <si>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</si>
  <si>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</si>
  <si>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</si>
  <si>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</si>
  <si>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</si>
  <si>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</si>
  <si>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</si>
  <si>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</si>
  <si>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</si>
  <si>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</si>
  <si>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</si>
  <si>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COLOR CODES</t>
  </si>
  <si>
    <t>Included in Fact Sheet</t>
  </si>
  <si>
    <t>Not in Fact Sheet</t>
  </si>
  <si>
    <t>Sector Allocation</t>
  </si>
  <si>
    <t>From Gemini/Other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</si>
  <si>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</si>
  <si>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</si>
  <si>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</si>
  <si>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</si>
  <si>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</si>
  <si>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</si>
  <si>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</si>
  <si>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</si>
  <si>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</si>
  <si>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Class I</t>
  </si>
  <si>
    <t>3MOS</t>
  </si>
  <si>
    <t>6MOS</t>
  </si>
  <si>
    <t>MONEY MARKET FUNDS</t>
  </si>
  <si>
    <t>TOTAL - MONEY MARKET FUNDS</t>
  </si>
  <si>
    <t>YTD</t>
  </si>
  <si>
    <t>04/30/2017</t>
  </si>
  <si>
    <t>05/31/2017</t>
  </si>
  <si>
    <t>06/30/2017</t>
  </si>
  <si>
    <t>OIPIX</t>
  </si>
  <si>
    <t>Start</t>
  </si>
  <si>
    <r>
      <t xml:space="preserve">Alpha </t>
    </r>
    <r>
      <rPr>
        <i/>
        <sz val="8.5"/>
        <color theme="1"/>
        <rFont val="Roboto Condensed"/>
      </rPr>
      <t>(vs S&amp;P 500 TR)</t>
    </r>
  </si>
  <si>
    <r>
      <t xml:space="preserve">Beta </t>
    </r>
    <r>
      <rPr>
        <i/>
        <sz val="8.5"/>
        <color theme="1"/>
        <rFont val="Roboto Condensed"/>
      </rPr>
      <t>(vs S&amp;P 500 TR)</t>
    </r>
  </si>
  <si>
    <r>
      <t xml:space="preserve">R-Squared </t>
    </r>
    <r>
      <rPr>
        <i/>
        <sz val="8.5"/>
        <color theme="1"/>
        <rFont val="Roboto Condensed"/>
      </rPr>
      <t>(vs S&amp;P 500 TR)</t>
    </r>
  </si>
  <si>
    <t>8AMMF0A92</t>
  </si>
  <si>
    <t>3YR</t>
  </si>
  <si>
    <t>US BANK MMDA - USBGFS5</t>
  </si>
  <si>
    <t>CATALYST ENHANCED CORE FUND (1562)</t>
  </si>
  <si>
    <t>CATALYST ENHANCED CORE FUND</t>
  </si>
  <si>
    <t>BOND</t>
  </si>
  <si>
    <t>Corporate Bonds:</t>
  </si>
  <si>
    <t>146869AA0</t>
  </si>
  <si>
    <t>CARVANA CO 8.875% 10/01/2023</t>
  </si>
  <si>
    <t>Convertible Bonds:</t>
  </si>
  <si>
    <t>US Govt Securities:</t>
  </si>
  <si>
    <t>893647BH9</t>
  </si>
  <si>
    <t>TransDigm Inc 7.500000 03/15/2027</t>
  </si>
  <si>
    <t>IPO Trades:</t>
  </si>
  <si>
    <t>683797AD6</t>
  </si>
  <si>
    <t>OPPENHEIMER HOLDINGS INC 6.75% 07/01/2022</t>
  </si>
  <si>
    <t>Cash:</t>
  </si>
  <si>
    <t>64110LAX4</t>
  </si>
  <si>
    <t>Netflix Inc 6.375000 05/15/2029</t>
  </si>
  <si>
    <t>S&amp;P 500 Exposure:</t>
  </si>
  <si>
    <t>TOTAL - BOND</t>
  </si>
  <si>
    <t>CONV BOND</t>
  </si>
  <si>
    <t>697435AD7</t>
  </si>
  <si>
    <t>PALO ALTO NETWORKS 0.75% 07/01/2023</t>
  </si>
  <si>
    <t>848637AC8</t>
  </si>
  <si>
    <t>Splunk Inc .500000 09/15/2023</t>
  </si>
  <si>
    <t>31816QAF8</t>
  </si>
  <si>
    <t>FireEye Inc .875000 06/01/2024</t>
  </si>
  <si>
    <t>038923AN8</t>
  </si>
  <si>
    <t>ARBOR REALTY TRUST INC 4.75% 11/01/2022</t>
  </si>
  <si>
    <t>70932AAC7</t>
  </si>
  <si>
    <t>PENNYMAC CORP 5.50% 11/01/2024</t>
  </si>
  <si>
    <t>30063PAB1</t>
  </si>
  <si>
    <t>Exact Sciences Corp .375000 03/15/2027</t>
  </si>
  <si>
    <t>09257WAC4</t>
  </si>
  <si>
    <t>Blackstone Mortgage Trust Inc 4.750000 03/15/2023</t>
  </si>
  <si>
    <t>38741LAC1</t>
  </si>
  <si>
    <t>Granite Point Mortgage Trust Inc 6.375000</t>
  </si>
  <si>
    <t>00922RAB1</t>
  </si>
  <si>
    <t>Air Transport Services Group Inc 1.125000</t>
  </si>
  <si>
    <t>94419LAE1</t>
  </si>
  <si>
    <t>Wayfair Inc 1.000000 08/15/2026</t>
  </si>
  <si>
    <t>TOTAL - CONV BOND</t>
  </si>
  <si>
    <t>CURRENCY</t>
  </si>
  <si>
    <t>USDF</t>
  </si>
  <si>
    <t>US DOLLAR FUTURE</t>
  </si>
  <si>
    <t>TOTAL - CURRENCY</t>
  </si>
  <si>
    <t>TOTAL - CATALYST ENHANCED CORE FUND</t>
  </si>
  <si>
    <t>Do not include S&amp;P exposure in pie chart (just list in table)</t>
  </si>
  <si>
    <t>Year</t>
  </si>
  <si>
    <t>S&amp;P 500 TR</t>
  </si>
  <si>
    <t>ID</t>
  </si>
  <si>
    <t>Label</t>
  </si>
  <si>
    <t>Value</t>
  </si>
  <si>
    <t>S&amp;P</t>
  </si>
  <si>
    <t>S&amp;P-value</t>
  </si>
  <si>
    <t>.</t>
  </si>
  <si>
    <t>S&amp;P 500 TR Index</t>
  </si>
  <si>
    <t>As of Date: 3/31/2020</t>
  </si>
  <si>
    <t>282914AB6</t>
  </si>
  <si>
    <t>8X8 INC 0.50% 02/01/2024</t>
  </si>
  <si>
    <t>2020 YTD</t>
  </si>
  <si>
    <t>Corporate Bonds</t>
  </si>
  <si>
    <t>Convertible Bonds</t>
  </si>
  <si>
    <t>IPO Trades</t>
  </si>
  <si>
    <t>Cash</t>
  </si>
  <si>
    <t>U.S. Govt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</si>
</sst>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0.0000%"/>
    <numFmt numFmtId="170" formatCode="[$-10409]#,##0.000;\(#,##0.000\);0.000"/>
    <numFmt numFmtId="171" formatCode="[$-10409]#,##0.00;\(#,##0.00\)"/>
    <numFmt numFmtId="172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8.5"/>
      <color theme="1"/>
      <name val="Roboto Condensed"/>
    </font>
    <font>
      <b/>
      <sz val="9"/>
      <color rgb="FF000000"/>
      <name val="Roboto Condensed Light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>
      <alignment wrapText="1"/>
    </xf>
    <xf numFmtId="0" fontId="17" fillId="0" borderId="0"/>
    <xf numFmtId="164" fontId="19" fillId="0" borderId="0" applyFont="0" applyFill="0" applyBorder="0" applyAlignment="0" applyProtection="0"/>
    <xf numFmtId="0" fontId="32" fillId="0" borderId="20" applyNumberFormat="0" applyFill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23" applyNumberFormat="0" applyAlignment="0" applyProtection="0"/>
    <xf numFmtId="0" fontId="38" fillId="13" borderId="24" applyNumberFormat="0" applyAlignment="0" applyProtection="0"/>
    <xf numFmtId="0" fontId="39" fillId="13" borderId="23" applyNumberFormat="0" applyAlignment="0" applyProtection="0"/>
    <xf numFmtId="0" fontId="40" fillId="0" borderId="25" applyNumberFormat="0" applyFill="0" applyAlignment="0" applyProtection="0"/>
    <xf numFmtId="0" fontId="13" fillId="14" borderId="26" applyNumberFormat="0" applyAlignment="0" applyProtection="0"/>
    <xf numFmtId="0" fontId="41" fillId="0" borderId="0" applyNumberFormat="0" applyFill="0" applyBorder="0" applyAlignment="0" applyProtection="0"/>
    <xf numFmtId="0" fontId="1" fillId="15" borderId="27" applyNumberFormat="0" applyFont="0" applyAlignment="0" applyProtection="0"/>
    <xf numFmtId="0" fontId="42" fillId="0" borderId="0" applyNumberFormat="0" applyFill="0" applyBorder="0" applyAlignment="0" applyProtection="0"/>
    <xf numFmtId="0" fontId="2" fillId="0" borderId="28" applyNumberFormat="0" applyFill="0" applyAlignment="0" applyProtection="0"/>
    <xf numFmtId="0" fontId="1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7" borderId="0" applyNumberFormat="0" applyBorder="0" applyAlignment="0" applyProtection="0"/>
    <xf numFmtId="0" fontId="14" fillId="31" borderId="0" applyNumberFormat="0" applyBorder="0" applyAlignment="0" applyProtection="0"/>
    <xf numFmtId="0" fontId="14" fillId="35" borderId="0" applyNumberFormat="0" applyBorder="0" applyAlignment="0" applyProtection="0"/>
    <xf numFmtId="0" fontId="14" fillId="39" borderId="0" applyNumberFormat="0" applyBorder="0" applyAlignment="0" applyProtection="0"/>
    <xf numFmtId="0" fontId="44" fillId="11" borderId="0" applyNumberFormat="0" applyBorder="0" applyAlignment="0" applyProtection="0"/>
    <xf numFmtId="0" fontId="43" fillId="0" borderId="0" applyNumberFormat="0" applyFill="0" applyBorder="0" applyAlignment="0" applyProtection="0"/>
    <xf numFmtId="22" fontId="19" fillId="0" borderId="0"/>
  </cellStyleXfs>
  <cellXfs count="135">
    <xf numFmtId="0" fontId="0" fillId="0" borderId="0" xfId="0"/>
    <xf numFmtId="0" fontId="8" fillId="0" borderId="9" xfId="0" applyFont="1" applyBorder="1" applyAlignment="1">
      <alignment horizontal="left" vertical="center" readingOrder="1"/>
    </xf>
    <xf numFmtId="0" fontId="9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 vertical="center" readingOrder="1"/>
    </xf>
    <xf numFmtId="14" fontId="7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7" fillId="0" borderId="7" xfId="0" applyNumberFormat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2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10" fillId="0" borderId="9" xfId="0" applyNumberFormat="1" applyFont="1" applyBorder="1" applyAlignment="1">
      <alignment horizontal="center" vertical="center" readingOrder="1"/>
    </xf>
    <xf numFmtId="2" fontId="12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readingOrder="1"/>
    </xf>
    <xf numFmtId="0" fontId="13" fillId="6" borderId="0" xfId="0" applyFont="1" applyFill="1" applyAlignment="1">
      <alignment vertical="center"/>
    </xf>
    <xf numFmtId="10" fontId="14" fillId="6" borderId="0" xfId="2" applyNumberFormat="1" applyFont="1" applyFill="1" applyAlignment="1">
      <alignment horizontal="center" vertical="center"/>
    </xf>
    <xf numFmtId="0" fontId="21" fillId="0" borderId="9" xfId="0" applyFont="1" applyBorder="1" applyAlignment="1">
      <alignment vertical="center"/>
    </xf>
    <xf numFmtId="166" fontId="20" fillId="0" borderId="9" xfId="2" applyNumberFormat="1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43" fontId="16" fillId="0" borderId="3" xfId="0" applyNumberFormat="1" applyFont="1" applyBorder="1" applyAlignment="1">
      <alignment horizontal="center" vertical="center"/>
    </xf>
    <xf numFmtId="43" fontId="24" fillId="0" borderId="3" xfId="0" applyNumberFormat="1" applyFont="1" applyBorder="1" applyAlignment="1">
      <alignment horizontal="center" vertical="center"/>
    </xf>
    <xf numFmtId="0" fontId="27" fillId="5" borderId="9" xfId="0" applyFont="1" applyFill="1" applyBorder="1" applyAlignment="1">
      <alignment vertical="center"/>
    </xf>
    <xf numFmtId="165" fontId="5" fillId="0" borderId="17" xfId="0" applyNumberFormat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0" fontId="30" fillId="0" borderId="12" xfId="0" applyFont="1" applyBorder="1" applyAlignment="1">
      <alignment vertical="center"/>
    </xf>
    <xf numFmtId="165" fontId="11" fillId="0" borderId="9" xfId="0" applyNumberFormat="1" applyFont="1" applyBorder="1" applyAlignment="1">
      <alignment horizontal="left" vertical="center" readingOrder="1"/>
    </xf>
    <xf numFmtId="10" fontId="6" fillId="0" borderId="14" xfId="2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7" fillId="5" borderId="13" xfId="0" applyFont="1" applyFill="1" applyBorder="1" applyAlignment="1">
      <alignment vertical="center"/>
    </xf>
    <xf numFmtId="0" fontId="27" fillId="0" borderId="11" xfId="0" applyFont="1" applyBorder="1" applyAlignment="1">
      <alignment vertical="center"/>
    </xf>
    <xf numFmtId="10" fontId="6" fillId="0" borderId="11" xfId="2" applyNumberFormat="1" applyFont="1" applyBorder="1" applyAlignment="1">
      <alignment horizontal="center" vertical="center"/>
    </xf>
    <xf numFmtId="2" fontId="6" fillId="0" borderId="14" xfId="2" applyNumberFormat="1" applyFont="1" applyBorder="1" applyAlignment="1">
      <alignment horizontal="center" vertical="center"/>
    </xf>
    <xf numFmtId="2" fontId="6" fillId="0" borderId="10" xfId="2" applyNumberFormat="1" applyFont="1" applyBorder="1" applyAlignment="1">
      <alignment horizontal="center" vertical="center"/>
    </xf>
    <xf numFmtId="43" fontId="16" fillId="0" borderId="17" xfId="0" applyNumberFormat="1" applyFont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43" fontId="22" fillId="0" borderId="0" xfId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4" fontId="15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vertical="center"/>
    </xf>
    <xf numFmtId="43" fontId="31" fillId="0" borderId="10" xfId="1" applyFont="1" applyBorder="1" applyAlignment="1">
      <alignment horizontal="center" vertical="center" wrapText="1"/>
    </xf>
    <xf numFmtId="165" fontId="31" fillId="0" borderId="0" xfId="1" applyNumberFormat="1" applyFont="1" applyAlignment="1">
      <alignment horizontal="center" vertical="center" wrapText="1"/>
    </xf>
    <xf numFmtId="43" fontId="17" fillId="0" borderId="12" xfId="1" applyFont="1" applyBorder="1" applyAlignment="1">
      <alignment vertical="center"/>
    </xf>
    <xf numFmtId="10" fontId="17" fillId="0" borderId="0" xfId="2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65" fontId="17" fillId="4" borderId="0" xfId="1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9" fontId="0" fillId="3" borderId="13" xfId="0" applyNumberForma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71" fontId="17" fillId="0" borderId="12" xfId="1" applyNumberFormat="1" applyFont="1" applyBorder="1" applyAlignment="1">
      <alignment vertical="center"/>
    </xf>
    <xf numFmtId="171" fontId="17" fillId="4" borderId="12" xfId="1" applyNumberFormat="1" applyFont="1" applyFill="1" applyBorder="1" applyAlignment="1">
      <alignment vertical="center"/>
    </xf>
    <xf numFmtId="171" fontId="17" fillId="0" borderId="0" xfId="1" applyNumberFormat="1" applyFont="1" applyAlignment="1">
      <alignment vertical="center"/>
    </xf>
    <xf numFmtId="10" fontId="0" fillId="0" borderId="7" xfId="2" applyNumberFormat="1" applyFont="1" applyBorder="1" applyAlignment="1">
      <alignment horizontal="center" vertical="center"/>
    </xf>
    <xf numFmtId="14" fontId="7" fillId="3" borderId="7" xfId="0" applyNumberFormat="1" applyFont="1" applyFill="1" applyBorder="1" applyAlignment="1">
      <alignment vertical="center"/>
    </xf>
    <xf numFmtId="165" fontId="46" fillId="5" borderId="9" xfId="0" applyNumberFormat="1" applyFont="1" applyFill="1" applyBorder="1" applyAlignment="1">
      <alignment horizontal="left" vertical="center" readingOrder="1"/>
    </xf>
    <xf numFmtId="0" fontId="28" fillId="0" borderId="0" xfId="0" applyFont="1" applyAlignment="1" applyProtection="1">
      <alignment horizontal="center" vertical="top" readingOrder="1"/>
      <protection locked="0"/>
    </xf>
    <xf numFmtId="0" fontId="28" fillId="0" borderId="15" xfId="0" applyFont="1" applyBorder="1" applyAlignment="1" applyProtection="1">
      <alignment horizontal="center" readingOrder="1"/>
      <protection locked="0"/>
    </xf>
    <xf numFmtId="0" fontId="28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29" fillId="0" borderId="0" xfId="0" applyFont="1" applyAlignment="1" applyProtection="1">
      <alignment vertical="top" readingOrder="1"/>
      <protection locked="0"/>
    </xf>
    <xf numFmtId="170" fontId="29" fillId="0" borderId="0" xfId="0" applyNumberFormat="1" applyFont="1" applyAlignment="1" applyProtection="1">
      <alignment horizontal="right" vertical="top" readingOrder="1"/>
      <protection locked="0"/>
    </xf>
    <xf numFmtId="168" fontId="29" fillId="0" borderId="0" xfId="0" applyNumberFormat="1" applyFont="1" applyAlignment="1" applyProtection="1">
      <alignment horizontal="right" vertical="top" readingOrder="1"/>
      <protection locked="0"/>
    </xf>
    <xf numFmtId="167" fontId="29" fillId="0" borderId="0" xfId="0" applyNumberFormat="1" applyFont="1" applyAlignment="1" applyProtection="1">
      <alignment horizontal="right" vertical="top" readingOrder="1"/>
      <protection locked="0"/>
    </xf>
    <xf numFmtId="0" fontId="28" fillId="8" borderId="0" xfId="0" applyFont="1" applyFill="1" applyAlignment="1" applyProtection="1">
      <alignment vertical="top" readingOrder="1"/>
      <protection locked="0"/>
    </xf>
    <xf numFmtId="170" fontId="29" fillId="8" borderId="16" xfId="0" applyNumberFormat="1" applyFont="1" applyFill="1" applyBorder="1" applyAlignment="1" applyProtection="1">
      <alignment vertical="top" readingOrder="1"/>
      <protection locked="0"/>
    </xf>
    <xf numFmtId="0" fontId="29" fillId="8" borderId="0" xfId="0" applyFont="1" applyFill="1" applyAlignment="1" applyProtection="1">
      <alignment vertical="top" readingOrder="1"/>
      <protection locked="0"/>
    </xf>
    <xf numFmtId="167" fontId="29" fillId="8" borderId="16" xfId="0" applyNumberFormat="1" applyFont="1" applyFill="1" applyBorder="1" applyAlignment="1" applyProtection="1">
      <alignment vertical="top" readingOrder="1"/>
      <protection locked="0"/>
    </xf>
    <xf numFmtId="170" fontId="29" fillId="8" borderId="0" xfId="0" applyNumberFormat="1" applyFont="1" applyFill="1" applyAlignment="1" applyProtection="1">
      <alignment vertical="top" readingOrder="1"/>
      <protection locked="0"/>
    </xf>
    <xf numFmtId="167" fontId="29" fillId="8" borderId="0" xfId="0" applyNumberFormat="1" applyFont="1" applyFill="1" applyAlignment="1" applyProtection="1">
      <alignment vertical="top" readingOrder="1"/>
      <protection locked="0"/>
    </xf>
    <xf numFmtId="0" fontId="28" fillId="0" borderId="0" xfId="0" applyFont="1" applyAlignment="1" applyProtection="1">
      <alignment vertical="top" readingOrder="1"/>
      <protection locked="0"/>
    </xf>
    <xf numFmtId="0" fontId="8" fillId="0" borderId="0" xfId="0" applyFont="1" applyAlignment="1">
      <alignment horizontal="center" vertical="center" readingOrder="1"/>
    </xf>
    <xf numFmtId="2" fontId="10" fillId="0" borderId="0" xfId="0" applyNumberFormat="1" applyFont="1" applyAlignment="1">
      <alignment horizontal="center" vertical="center" readingOrder="1"/>
    </xf>
    <xf numFmtId="2" fontId="12" fillId="0" borderId="0" xfId="0" applyNumberFormat="1" applyFont="1" applyAlignment="1">
      <alignment horizontal="center" vertical="center" readingOrder="1"/>
    </xf>
    <xf numFmtId="165" fontId="0" fillId="0" borderId="0" xfId="1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17" fillId="4" borderId="0" xfId="2" applyNumberFormat="1" applyFont="1" applyFill="1" applyAlignment="1">
      <alignment horizontal="center" vertical="center"/>
    </xf>
    <xf numFmtId="10" fontId="17" fillId="4" borderId="9" xfId="0" applyNumberFormat="1" applyFont="1" applyFill="1" applyBorder="1" applyAlignment="1">
      <alignment horizontal="center" vertical="center"/>
    </xf>
    <xf numFmtId="0" fontId="19" fillId="0" borderId="0" xfId="0" applyFont="1"/>
    <xf numFmtId="167" fontId="0" fillId="0" borderId="0" xfId="0" applyNumberFormat="1"/>
    <xf numFmtId="10" fontId="0" fillId="0" borderId="0" xfId="4" applyNumberFormat="1" applyFont="1"/>
    <xf numFmtId="0" fontId="47" fillId="3" borderId="0" xfId="0" applyFont="1" applyFill="1"/>
    <xf numFmtId="44" fontId="0" fillId="0" borderId="0" xfId="0" applyNumberFormat="1"/>
    <xf numFmtId="10" fontId="20" fillId="0" borderId="9" xfId="2" applyNumberFormat="1" applyFont="1" applyBorder="1" applyAlignment="1">
      <alignment horizontal="center" vertical="center"/>
    </xf>
    <xf numFmtId="0" fontId="21" fillId="3" borderId="9" xfId="0" applyFont="1" applyFill="1" applyBorder="1" applyAlignment="1">
      <alignment vertical="center"/>
    </xf>
    <xf numFmtId="10" fontId="20" fillId="3" borderId="9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2" fontId="0" fillId="0" borderId="0" xfId="0" applyNumberFormat="1"/>
    <xf numFmtId="10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7" fillId="3" borderId="0" xfId="0" applyNumberFormat="1" applyFont="1" applyFill="1" applyAlignment="1">
      <alignment vertical="center"/>
    </xf>
    <xf numFmtId="3" fontId="17" fillId="4" borderId="12" xfId="1" applyNumberFormat="1" applyFont="1" applyFill="1" applyBorder="1" applyAlignment="1">
      <alignment vertical="center"/>
    </xf>
    <xf numFmtId="172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0" xfId="0" applyFont="1" applyAlignment="1">
      <alignment vertical="center"/>
    </xf>
  </cellXfs>
  <cellStyles count="51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2" xr:uid="{00000000-0005-0000-0000-000035000000}"/>
    <cellStyle name="60% - Accent2 2" xfId="43" xr:uid="{00000000-0005-0000-0000-000036000000}"/>
    <cellStyle name="60% - Accent3 2" xfId="44" xr:uid="{00000000-0005-0000-0000-000037000000}"/>
    <cellStyle name="60% - Accent4 2" xfId="45" xr:uid="{00000000-0005-0000-0000-000038000000}"/>
    <cellStyle name="60% - Accent5 2" xfId="46" xr:uid="{00000000-0005-0000-0000-000039000000}"/>
    <cellStyle name="60% - Accent6 2" xfId="47" xr:uid="{00000000-0005-0000-0000-00003A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lp_datetime" xfId="50" xr:uid="{00000000-0005-0000-0000-000019000000}"/>
    <cellStyle name="Calculation" xfId="17" builtinId="22" customBuiltin="1"/>
    <cellStyle name="Check Cell" xfId="19" builtinId="23" customBuiltin="1"/>
    <cellStyle name="Comma" xfId="1" builtinId="3"/>
    <cellStyle name="Comma 2" xfId="8" xr:uid="{00000000-0005-0000-0000-000001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5" builtinId="20" customBuiltin="1"/>
    <cellStyle name="Linked Cell" xfId="18" builtinId="24" customBuiltin="1"/>
    <cellStyle name="Neutral 2" xfId="48" xr:uid="{00000000-0005-0000-0000-00003C000000}"/>
    <cellStyle name="Normal" xfId="0" builtinId="0"/>
    <cellStyle name="Normal 2" xfId="3" xr:uid="{00000000-0005-0000-0000-000004000000}"/>
    <cellStyle name="Normal 3" xfId="5" xr:uid="{00000000-0005-0000-0000-000005000000}"/>
    <cellStyle name="Normal 4" xfId="7" xr:uid="{00000000-0005-0000-0000-000006000000}"/>
    <cellStyle name="Note" xfId="21" builtinId="10" customBuiltin="1"/>
    <cellStyle name="Output" xfId="16" builtinId="21" customBuiltin="1"/>
    <cellStyle name="Percent" xfId="2" builtinId="5"/>
    <cellStyle name="Percent 2" xfId="4" xr:uid="{00000000-0005-0000-0000-000008000000}"/>
    <cellStyle name="Percent 2 2" xfId="6" xr:uid="{00000000-0005-0000-0000-000009000000}"/>
    <cellStyle name="Title 2" xfId="49" xr:uid="{00000000-0005-0000-0000-00003D000000}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'[1]OIP Fact Sheet Backup'!$O$40:$P$45</c:f>
              <c:multiLvlStrCache>
                <c:ptCount val="6"/>
                <c:lvl>
                  <c:pt idx="0">
                    <c:v>42369</c:v>
                  </c:pt>
                  <c:pt idx="1">
                    <c:v>42735</c:v>
                  </c:pt>
                  <c:pt idx="2">
                    <c:v>43100</c:v>
                  </c:pt>
                  <c:pt idx="3">
                    <c:v>43465</c:v>
                  </c:pt>
                  <c:pt idx="4">
                    <c:v>43830</c:v>
                  </c:pt>
                  <c:pt idx="5">
                    <c:v>43921</c:v>
                  </c:pt>
                </c:lvl>
                <c:lvl>
                  <c:pt idx="0">
                    <c:v>2015 YTD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'[1]OIP Fact Sheet Backup'!$Q$40:$Q$45</c:f>
              <c:numCache>
                <c:formatCode>General</c:formatCode>
                <c:ptCount val="6"/>
                <c:pt idx="0">
                  <c:v>1.4000000000000012E-2</c:v>
                </c:pt>
                <c:pt idx="1">
                  <c:v>0.15868441814595657</c:v>
                </c:pt>
                <c:pt idx="2">
                  <c:v>0.22261951168859473</c:v>
                </c:pt>
                <c:pt idx="3">
                  <c:v>-4.534819205228402E-2</c:v>
                </c:pt>
                <c:pt idx="4">
                  <c:v>0.29006899911180595</c:v>
                </c:pt>
                <c:pt idx="5">
                  <c:v>-0.29998304222486005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E-4A09-B64B-FE980BB8C4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'[1]OIP Fact Sheet Backup'!$O$40:$P$45</c:f>
              <c:multiLvlStrCache>
                <c:ptCount val="6"/>
                <c:lvl>
                  <c:pt idx="0">
                    <c:v>42369</c:v>
                  </c:pt>
                  <c:pt idx="1">
                    <c:v>42735</c:v>
                  </c:pt>
                  <c:pt idx="2">
                    <c:v>43100</c:v>
                  </c:pt>
                  <c:pt idx="3">
                    <c:v>43465</c:v>
                  </c:pt>
                  <c:pt idx="4">
                    <c:v>43830</c:v>
                  </c:pt>
                  <c:pt idx="5">
                    <c:v>43921</c:v>
                  </c:pt>
                </c:lvl>
                <c:lvl>
                  <c:pt idx="0">
                    <c:v>2015 YTD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'[1]OIP Fact Sheet Backup'!$R$40:$R$45</c:f>
              <c:numCache>
                <c:formatCode>General</c:formatCode>
                <c:ptCount val="6"/>
                <c:pt idx="0">
                  <c:v>7.0425217846769028E-2</c:v>
                </c:pt>
                <c:pt idx="1">
                  <c:v>0.119599120787105</c:v>
                </c:pt>
                <c:pt idx="2">
                  <c:v>0.21831601482707286</c:v>
                </c:pt>
                <c:pt idx="3">
                  <c:v>-4.3842417452558125E-2</c:v>
                </c:pt>
                <c:pt idx="4">
                  <c:v>0.31486370986834444</c:v>
                </c:pt>
                <c:pt idx="5">
                  <c:v>-0.19598020620821921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E-4A09-B64B-FE980BB8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92944"/>
        <c:axId val="546889336"/>
      </c:barChart>
      <c:catAx>
        <c:axId val="5468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9336"/>
        <c:crosses val="autoZero"/>
        <c:auto val="1"/>
        <c:lblAlgn val="ctr"/>
        <c:lblOffset val="100"/>
        <c:noMultiLvlLbl val="0"/>
      </c:catAx>
      <c:valAx>
        <c:axId val="5468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642408</xdr:colOff>
      <xdr:row>23</xdr:row>
      <xdr:rowOff>175684</xdr:rowOff>
    </xdr:from>
    <xdr:to>
      <xdr:col>11</xdr:col>
      <xdr:colOff>490008</xdr:colOff>
      <xdr:row>38</xdr:row>
      <xdr:rowOff>89959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77CAD-9694-4195-8E7A-1DD6FE056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1\OIP\OIP%20Fact%20Sheet%20Backup-2020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P Fact Sheet Backup"/>
      <sheetName val="OIP Portfolio"/>
      <sheetName val="OIP"/>
    </sheetNames>
    <sheetDataSet>
      <sheetData sheetId="0">
        <row r="40">
          <cell r="O40" t="str">
            <v>2015 YTD</v>
          </cell>
          <cell r="P40">
            <v>42369</v>
          </cell>
          <cell r="Q40">
            <v>1.4000000000000012E-2</v>
          </cell>
          <cell r="R40">
            <v>7.0425217846769028E-2</v>
          </cell>
        </row>
        <row r="41">
          <cell r="O41">
            <v>2016</v>
          </cell>
          <cell r="P41">
            <v>42735</v>
          </cell>
          <cell r="Q41">
            <v>0.15868441814595657</v>
          </cell>
          <cell r="R41">
            <v>0.119599120787105</v>
          </cell>
        </row>
        <row r="42">
          <cell r="O42">
            <v>2017</v>
          </cell>
          <cell r="P42">
            <v>43100</v>
          </cell>
          <cell r="Q42">
            <v>0.22261951168859473</v>
          </cell>
          <cell r="R42">
            <v>0.21831601482707286</v>
          </cell>
        </row>
        <row r="43">
          <cell r="O43">
            <v>2018</v>
          </cell>
          <cell r="P43">
            <v>43465</v>
          </cell>
          <cell r="Q43">
            <v>-4.534819205228402E-2</v>
          </cell>
          <cell r="R43">
            <v>-4.3842417452558125E-2</v>
          </cell>
        </row>
        <row r="44">
          <cell r="O44">
            <v>2019</v>
          </cell>
          <cell r="P44">
            <v>43830</v>
          </cell>
          <cell r="Q44">
            <v>0.29006899911180595</v>
          </cell>
          <cell r="R44">
            <v>0.31486370986834444</v>
          </cell>
        </row>
        <row r="45">
          <cell r="O45">
            <v>2020</v>
          </cell>
          <cell r="P45">
            <v>43921</v>
          </cell>
          <cell r="Q45">
            <v>-0.29998304222486005</v>
          </cell>
          <cell r="R45">
            <v>-0.19598020620821921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16"/>
  <sheetViews>
    <sheetView topLeftCell="A13" zoomScaleNormal="100" workbookViewId="0">
      <selection activeCell="U32" sqref="U32"/>
    </sheetView>
  </sheetViews>
  <sheetFormatPr defaultColWidth="9.140625" defaultRowHeight="15" x14ac:dyDescent="0.25"/>
  <cols>
    <col min="1" max="1" width="10.28515625" style="7" bestFit="1" customWidth="1"/>
    <col min="2" max="2" width="10" style="63" bestFit="1" customWidth="1"/>
    <col min="3" max="3" width="8.140625" style="67" bestFit="1" customWidth="1"/>
    <col min="4" max="4" width="10" style="65" bestFit="1" customWidth="1"/>
    <col min="5" max="5" width="8.140625" style="67" bestFit="1" customWidth="1"/>
    <col min="6" max="6" width="9.140625" style="6"/>
    <col min="7" max="7" width="19" style="6" bestFit="1" customWidth="1"/>
    <col min="8" max="8" width="11.7109375" style="6" customWidth="1"/>
    <col min="9" max="9" width="18.85546875" style="96" bestFit="1" customWidth="1"/>
    <col min="10" max="10" width="18.85546875" style="96" customWidth="1"/>
    <col min="11" max="11" width="13.7109375" style="96" bestFit="1" customWidth="1"/>
    <col min="12" max="12" width="13.7109375" style="96" customWidth="1"/>
    <col min="13" max="13" width="13" style="96" bestFit="1" customWidth="1"/>
    <col min="14" max="14" width="4.28515625" style="6" customWidth="1"/>
    <col min="15" max="15" width="15.42578125" style="6" customWidth="1"/>
    <col min="16" max="16" width="9.7109375" style="6" bestFit="1" customWidth="1"/>
    <col min="17" max="17" width="9.28515625" style="6" customWidth="1"/>
    <col min="18" max="18" width="9.28515625" style="96" customWidth="1"/>
    <col min="19" max="16384" width="9.140625" style="6"/>
  </cols>
  <sheetData>
    <row r="1" spans="1:18" ht="32.25" customHeight="1" x14ac:dyDescent="0.25">
      <c r="A1" s="5" t="s">
        <v>0</v>
      </c>
      <c r="B1" s="61" t="s">
        <v>38</v>
      </c>
      <c r="C1" s="16" t="s">
        <v>1</v>
      </c>
      <c r="D1" s="62" t="s">
        <v>5</v>
      </c>
      <c r="E1" s="17" t="s">
        <v>1</v>
      </c>
      <c r="G1" s="4" t="s">
        <v>2</v>
      </c>
      <c r="H1" s="3">
        <v>43921</v>
      </c>
      <c r="O1" s="121" t="s">
        <v>15</v>
      </c>
      <c r="P1" s="122"/>
      <c r="Q1" s="123"/>
    </row>
    <row r="2" spans="1:18" x14ac:dyDescent="0.25">
      <c r="A2" s="7">
        <v>42277</v>
      </c>
      <c r="B2" s="70">
        <v>10000</v>
      </c>
      <c r="C2" s="64"/>
      <c r="D2" s="72">
        <v>10000</v>
      </c>
      <c r="E2" s="64"/>
      <c r="G2" s="9" t="s">
        <v>3</v>
      </c>
      <c r="H2" s="68">
        <v>9.9099999999999991E-4</v>
      </c>
      <c r="I2" s="133"/>
      <c r="J2" s="134"/>
      <c r="K2" s="134"/>
      <c r="L2" s="134"/>
      <c r="M2" s="134"/>
      <c r="O2" s="124" t="s">
        <v>19</v>
      </c>
      <c r="P2" s="125"/>
      <c r="Q2" s="126"/>
    </row>
    <row r="3" spans="1:18" x14ac:dyDescent="0.25">
      <c r="A3" s="7">
        <v>42308</v>
      </c>
      <c r="B3" s="70">
        <v>10200</v>
      </c>
      <c r="C3" s="64">
        <f t="shared" ref="C3:C56" si="0">(B3-B2)/B2</f>
        <v>0.02</v>
      </c>
      <c r="D3" s="72">
        <f>D2*(1+E3)</f>
        <v>10843.545265351509</v>
      </c>
      <c r="E3" s="64">
        <v>8.4354526535150853E-2</v>
      </c>
      <c r="G3" s="10" t="s">
        <v>4</v>
      </c>
      <c r="H3" s="11">
        <f>(COUNTA(C3:C202))+I3</f>
        <v>54</v>
      </c>
      <c r="I3" s="26">
        <v>0</v>
      </c>
      <c r="J3" s="57"/>
      <c r="K3" s="12"/>
      <c r="L3" s="12"/>
      <c r="O3" s="127" t="s">
        <v>16</v>
      </c>
      <c r="P3" s="128"/>
      <c r="Q3" s="129"/>
    </row>
    <row r="4" spans="1:18" ht="15.75" thickBot="1" x14ac:dyDescent="0.3">
      <c r="A4" s="7">
        <v>42338</v>
      </c>
      <c r="B4" s="70">
        <v>10290</v>
      </c>
      <c r="C4" s="64">
        <f t="shared" si="0"/>
        <v>8.8235294117647058E-3</v>
      </c>
      <c r="D4" s="72">
        <f t="shared" ref="D4:D56" si="1">D3*(1+E4)</f>
        <v>10875.784626502378</v>
      </c>
      <c r="E4" s="64">
        <v>2.9731384304618746E-3</v>
      </c>
      <c r="O4" s="130" t="s">
        <v>17</v>
      </c>
      <c r="P4" s="131"/>
      <c r="Q4" s="132"/>
    </row>
    <row r="5" spans="1:18" x14ac:dyDescent="0.25">
      <c r="A5" s="7">
        <v>42369</v>
      </c>
      <c r="B5" s="70">
        <v>10140</v>
      </c>
      <c r="C5" s="64">
        <f t="shared" si="0"/>
        <v>-1.4577259475218658E-2</v>
      </c>
      <c r="D5" s="72">
        <f t="shared" si="1"/>
        <v>10704.25217846769</v>
      </c>
      <c r="E5" s="64">
        <v>-1.5771960729775159E-2</v>
      </c>
      <c r="G5" s="10"/>
      <c r="H5" s="37" t="str">
        <f>B1</f>
        <v>OIPIX</v>
      </c>
      <c r="I5" s="38"/>
      <c r="J5" s="58"/>
      <c r="M5" s="6"/>
    </row>
    <row r="6" spans="1:18" x14ac:dyDescent="0.25">
      <c r="A6" s="7">
        <v>42400</v>
      </c>
      <c r="B6" s="70">
        <v>9010</v>
      </c>
      <c r="C6" s="64">
        <f t="shared" si="0"/>
        <v>-0.11143984220907298</v>
      </c>
      <c r="D6" s="72">
        <f t="shared" si="1"/>
        <v>10173.072990921999</v>
      </c>
      <c r="E6" s="64">
        <v>-4.9623194473518928E-2</v>
      </c>
      <c r="G6" s="41" t="s">
        <v>40</v>
      </c>
      <c r="H6" s="47">
        <f>(L21-H2)-H7*(R27-H2)</f>
        <v>-5.542643514168899E-2</v>
      </c>
      <c r="I6" s="45"/>
      <c r="J6" s="48"/>
      <c r="M6" s="6"/>
    </row>
    <row r="7" spans="1:18" x14ac:dyDescent="0.25">
      <c r="A7" s="7">
        <v>42429</v>
      </c>
      <c r="B7" s="70">
        <v>8900</v>
      </c>
      <c r="C7" s="64">
        <f t="shared" si="0"/>
        <v>-1.2208657047724751E-2</v>
      </c>
      <c r="D7" s="72">
        <f t="shared" si="1"/>
        <v>10159.34815428957</v>
      </c>
      <c r="E7" s="64">
        <v>-1.3491338010330756E-3</v>
      </c>
      <c r="G7" s="41" t="s">
        <v>41</v>
      </c>
      <c r="H7" s="52">
        <f>COVAR(C3:C56,E3:E56)/VAR(E3:E56)</f>
        <v>1.1529848605289452</v>
      </c>
      <c r="I7" s="45"/>
      <c r="J7" s="48"/>
      <c r="M7" s="6"/>
    </row>
    <row r="8" spans="1:18" x14ac:dyDescent="0.25">
      <c r="A8" s="7">
        <v>42460</v>
      </c>
      <c r="B8" s="70">
        <v>9650</v>
      </c>
      <c r="C8" s="64">
        <f t="shared" si="0"/>
        <v>8.4269662921348312E-2</v>
      </c>
      <c r="D8" s="72">
        <f t="shared" si="1"/>
        <v>10848.531022332269</v>
      </c>
      <c r="E8" s="64">
        <v>6.7837311762143582E-2</v>
      </c>
      <c r="G8" s="49" t="s">
        <v>42</v>
      </c>
      <c r="H8" s="53">
        <f>RSQ(C3:C56,E3:E56)</f>
        <v>0.73381928261833762</v>
      </c>
      <c r="I8" s="45"/>
      <c r="J8" s="48"/>
      <c r="M8" s="6"/>
    </row>
    <row r="9" spans="1:18" x14ac:dyDescent="0.25">
      <c r="A9" s="7">
        <v>42490</v>
      </c>
      <c r="B9" s="70">
        <v>9830</v>
      </c>
      <c r="C9" s="64">
        <f t="shared" si="0"/>
        <v>1.8652849740932641E-2</v>
      </c>
      <c r="D9" s="72">
        <f t="shared" si="1"/>
        <v>10890.601848091266</v>
      </c>
      <c r="E9" s="64">
        <v>3.8780205054853578E-3</v>
      </c>
      <c r="G9" s="50"/>
      <c r="H9" s="51"/>
      <c r="I9" s="48"/>
      <c r="J9" s="48"/>
      <c r="M9" s="6"/>
    </row>
    <row r="10" spans="1:18" ht="15.75" thickBot="1" x14ac:dyDescent="0.3">
      <c r="A10" s="7">
        <v>42521</v>
      </c>
      <c r="B10" s="70">
        <v>10240</v>
      </c>
      <c r="C10" s="64">
        <f t="shared" si="0"/>
        <v>4.170905391658189E-2</v>
      </c>
      <c r="D10" s="72">
        <f t="shared" si="1"/>
        <v>11086.166765168044</v>
      </c>
      <c r="E10" s="64">
        <v>1.7957218508640294E-2</v>
      </c>
      <c r="I10" s="45"/>
      <c r="J10" s="48"/>
    </row>
    <row r="11" spans="1:18" x14ac:dyDescent="0.25">
      <c r="A11" s="7">
        <v>42551</v>
      </c>
      <c r="B11" s="70">
        <v>10260</v>
      </c>
      <c r="C11" s="64">
        <f t="shared" si="0"/>
        <v>1.953125E-3</v>
      </c>
      <c r="D11" s="72">
        <f t="shared" si="1"/>
        <v>11114.904892484112</v>
      </c>
      <c r="E11" s="64">
        <v>2.5922510390481435E-3</v>
      </c>
      <c r="G11" s="1" t="s">
        <v>9</v>
      </c>
      <c r="H11" s="13" t="str">
        <f>O12</f>
        <v>3MOS</v>
      </c>
      <c r="I11" s="13" t="s">
        <v>34</v>
      </c>
      <c r="J11" s="13" t="str">
        <f>O15</f>
        <v>1YR</v>
      </c>
      <c r="K11" s="13" t="s">
        <v>44</v>
      </c>
      <c r="L11" s="13" t="str">
        <f>O27</f>
        <v>Ann. Inception</v>
      </c>
      <c r="M11" s="91"/>
      <c r="O11" s="18"/>
      <c r="P11" s="19"/>
      <c r="Q11" s="40" t="str">
        <f>B1</f>
        <v>OIPIX</v>
      </c>
      <c r="R11" s="42" t="str">
        <f>D1</f>
        <v>SP500TR</v>
      </c>
    </row>
    <row r="12" spans="1:18" x14ac:dyDescent="0.25">
      <c r="A12" s="7">
        <v>42582</v>
      </c>
      <c r="B12" s="70">
        <v>10850</v>
      </c>
      <c r="C12" s="64">
        <f t="shared" si="0"/>
        <v>5.7504873294346975E-2</v>
      </c>
      <c r="D12" s="72">
        <f t="shared" si="1"/>
        <v>11524.689300509499</v>
      </c>
      <c r="E12" s="64">
        <v>3.6868008497534133E-2</v>
      </c>
      <c r="G12" s="2" t="str">
        <f>G19</f>
        <v>Class A</v>
      </c>
      <c r="H12" s="28">
        <f t="shared" ref="H12:L14" si="2">H19*100</f>
        <v>-30.049999999999997</v>
      </c>
      <c r="I12" s="28">
        <f t="shared" si="2"/>
        <v>-30.049999999999997</v>
      </c>
      <c r="J12" s="28">
        <f t="shared" si="2"/>
        <v>-23.94</v>
      </c>
      <c r="K12" s="28">
        <f t="shared" si="2"/>
        <v>-0.19</v>
      </c>
      <c r="L12" s="28">
        <f t="shared" si="2"/>
        <v>4.62</v>
      </c>
      <c r="M12" s="92"/>
      <c r="O12" s="20" t="s">
        <v>30</v>
      </c>
      <c r="P12" s="14">
        <f>EOMONTH($H$1,-3)</f>
        <v>43830</v>
      </c>
      <c r="Q12" s="94">
        <f t="shared" ref="Q12:Q18" si="3">SUMIF($A$2:$A$309,$P12,$B$2:$B$309)</f>
        <v>17691</v>
      </c>
      <c r="R12" s="43">
        <f t="shared" ref="R12:R18" si="4">SUMIF($A$2:$A$309,$P12,$D$2:$D$309)</f>
        <v>18356.464818201955</v>
      </c>
    </row>
    <row r="13" spans="1:18" x14ac:dyDescent="0.25">
      <c r="A13" s="7">
        <v>42613</v>
      </c>
      <c r="B13" s="70">
        <v>11450</v>
      </c>
      <c r="C13" s="64">
        <f t="shared" si="0"/>
        <v>5.5299539170506916E-2</v>
      </c>
      <c r="D13" s="72">
        <f t="shared" si="1"/>
        <v>11540.879005761628</v>
      </c>
      <c r="E13" s="64">
        <v>1.4047845308431395E-3</v>
      </c>
      <c r="G13" s="2" t="str">
        <f>G20</f>
        <v>Class C</v>
      </c>
      <c r="H13" s="28">
        <f t="shared" si="2"/>
        <v>-30.209999999999997</v>
      </c>
      <c r="I13" s="28">
        <f t="shared" si="2"/>
        <v>-30.209999999999997</v>
      </c>
      <c r="J13" s="28">
        <f t="shared" si="2"/>
        <v>-24.54</v>
      </c>
      <c r="K13" s="28">
        <f t="shared" si="2"/>
        <v>-0.95</v>
      </c>
      <c r="L13" s="28">
        <f t="shared" si="2"/>
        <v>3.81</v>
      </c>
      <c r="M13" s="92"/>
      <c r="O13" s="20" t="s">
        <v>31</v>
      </c>
      <c r="P13" s="14">
        <f>EOMONTH($H$1,-6)</f>
        <v>43738</v>
      </c>
      <c r="Q13" s="94">
        <f t="shared" si="3"/>
        <v>16319.08</v>
      </c>
      <c r="R13" s="43">
        <f t="shared" si="4"/>
        <v>16829.982885969035</v>
      </c>
    </row>
    <row r="14" spans="1:18" x14ac:dyDescent="0.25">
      <c r="A14" s="7">
        <v>42643</v>
      </c>
      <c r="B14" s="70">
        <v>11740</v>
      </c>
      <c r="C14" s="64">
        <f t="shared" si="0"/>
        <v>2.5327510917030567E-2</v>
      </c>
      <c r="D14" s="72">
        <f t="shared" si="1"/>
        <v>11543.035765803868</v>
      </c>
      <c r="E14" s="64">
        <v>1.8688004970535133E-4</v>
      </c>
      <c r="G14" s="2" t="str">
        <f>G21</f>
        <v>Class I</v>
      </c>
      <c r="H14" s="28">
        <f t="shared" si="2"/>
        <v>-29.998304222486009</v>
      </c>
      <c r="I14" s="28">
        <f t="shared" si="2"/>
        <v>-29.998304222486006</v>
      </c>
      <c r="J14" s="28">
        <f t="shared" si="2"/>
        <v>-23.782983369378041</v>
      </c>
      <c r="K14" s="28">
        <f t="shared" si="2"/>
        <v>7.4831925723195525E-2</v>
      </c>
      <c r="L14" s="28">
        <f t="shared" si="2"/>
        <v>4.8599999999999994</v>
      </c>
      <c r="M14" s="92"/>
      <c r="O14" s="20" t="s">
        <v>34</v>
      </c>
      <c r="P14" s="112">
        <v>43830</v>
      </c>
      <c r="Q14" s="94">
        <f t="shared" si="3"/>
        <v>17691</v>
      </c>
      <c r="R14" s="43">
        <f t="shared" si="4"/>
        <v>18356.464818201955</v>
      </c>
    </row>
    <row r="15" spans="1:18" x14ac:dyDescent="0.25">
      <c r="A15" s="7">
        <v>42674</v>
      </c>
      <c r="B15" s="70">
        <v>10890</v>
      </c>
      <c r="C15" s="64">
        <f t="shared" si="0"/>
        <v>-7.2402044293015333E-2</v>
      </c>
      <c r="D15" s="72">
        <f t="shared" si="1"/>
        <v>11332.485567914131</v>
      </c>
      <c r="E15" s="64">
        <v>-1.8240452699062937E-2</v>
      </c>
      <c r="G15" s="46" t="str">
        <f>R11</f>
        <v>SP500TR</v>
      </c>
      <c r="H15" s="29">
        <f>R21*100</f>
        <v>-19.59802062082192</v>
      </c>
      <c r="I15" s="29">
        <f>R23*100</f>
        <v>-19.59802062082192</v>
      </c>
      <c r="J15" s="29">
        <f>R24*100</f>
        <v>-6.9778937445051925</v>
      </c>
      <c r="K15" s="29">
        <f>R25*100</f>
        <v>5.1041904734265842</v>
      </c>
      <c r="L15" s="29">
        <f>R27*100</f>
        <v>9.0355083318856657</v>
      </c>
      <c r="M15" s="93"/>
      <c r="O15" s="20" t="s">
        <v>13</v>
      </c>
      <c r="P15" s="14">
        <f>EOMONTH($H$1,-12)</f>
        <v>43555</v>
      </c>
      <c r="Q15" s="94">
        <f t="shared" si="3"/>
        <v>16248.34</v>
      </c>
      <c r="R15" s="43">
        <f t="shared" si="4"/>
        <v>15866.079206312323</v>
      </c>
    </row>
    <row r="16" spans="1:18" x14ac:dyDescent="0.25">
      <c r="A16" s="7">
        <v>42704</v>
      </c>
      <c r="B16" s="70">
        <v>11420</v>
      </c>
      <c r="C16" s="64">
        <f t="shared" si="0"/>
        <v>4.8668503213957756E-2</v>
      </c>
      <c r="D16" s="72">
        <f t="shared" si="1"/>
        <v>11752.185470159682</v>
      </c>
      <c r="E16" s="64">
        <v>3.7035114647209877E-2</v>
      </c>
      <c r="G16" s="75" t="str">
        <f>G22</f>
        <v>Class A w/ Sales Charge</v>
      </c>
      <c r="H16" s="29">
        <f>H22*100</f>
        <v>-34.1</v>
      </c>
      <c r="I16" s="29">
        <f>I22*100</f>
        <v>-34.1</v>
      </c>
      <c r="J16" s="29">
        <f>J22*100</f>
        <v>-28.299999999999997</v>
      </c>
      <c r="K16" s="29">
        <f>K22*100</f>
        <v>-2.13</v>
      </c>
      <c r="L16" s="29">
        <f>L22*100</f>
        <v>3.26</v>
      </c>
      <c r="M16" s="93"/>
      <c r="O16" s="20" t="s">
        <v>44</v>
      </c>
      <c r="P16" s="14">
        <f>EOMONTH($H$1,-36)</f>
        <v>42825</v>
      </c>
      <c r="Q16" s="94">
        <f t="shared" si="3"/>
        <v>12356.24</v>
      </c>
      <c r="R16" s="43">
        <f t="shared" si="4"/>
        <v>12711.467521154456</v>
      </c>
    </row>
    <row r="17" spans="1:18" x14ac:dyDescent="0.25">
      <c r="A17" s="7">
        <v>42735</v>
      </c>
      <c r="B17" s="70">
        <v>11749.06</v>
      </c>
      <c r="C17" s="64">
        <f t="shared" si="0"/>
        <v>2.881436077057789E-2</v>
      </c>
      <c r="D17" s="72">
        <f t="shared" si="1"/>
        <v>11984.471327695879</v>
      </c>
      <c r="E17" s="64">
        <v>1.9765332850302686E-2</v>
      </c>
      <c r="M17" s="93"/>
      <c r="O17" s="20" t="s">
        <v>6</v>
      </c>
      <c r="P17" s="14">
        <f>A2</f>
        <v>42277</v>
      </c>
      <c r="Q17" s="94">
        <f t="shared" si="3"/>
        <v>10000</v>
      </c>
      <c r="R17" s="43">
        <f t="shared" si="4"/>
        <v>10000</v>
      </c>
    </row>
    <row r="18" spans="1:18" ht="15.75" thickBot="1" x14ac:dyDescent="0.3">
      <c r="A18" s="59">
        <v>42766</v>
      </c>
      <c r="B18" s="71">
        <v>11961.57</v>
      </c>
      <c r="C18" s="64">
        <f t="shared" si="0"/>
        <v>1.8087404439163662E-2</v>
      </c>
      <c r="D18" s="72">
        <f t="shared" si="1"/>
        <v>12211.771428251317</v>
      </c>
      <c r="E18" s="97">
        <v>1.8966218395479073E-2</v>
      </c>
      <c r="G18" s="30"/>
      <c r="H18" s="31" t="str">
        <f>H11</f>
        <v>3MOS</v>
      </c>
      <c r="I18" s="31" t="str">
        <f>I11</f>
        <v>YTD</v>
      </c>
      <c r="J18" s="31" t="str">
        <f>J11</f>
        <v>1YR</v>
      </c>
      <c r="K18" s="31" t="str">
        <f>K11</f>
        <v>3YR</v>
      </c>
      <c r="L18" s="31" t="str">
        <f>O27</f>
        <v>Ann. Inception</v>
      </c>
      <c r="O18" s="21" t="s">
        <v>7</v>
      </c>
      <c r="P18" s="22">
        <f>H1</f>
        <v>43921</v>
      </c>
      <c r="Q18" s="23">
        <f t="shared" si="3"/>
        <v>12384</v>
      </c>
      <c r="R18" s="44">
        <f t="shared" si="4"/>
        <v>14758.961057876815</v>
      </c>
    </row>
    <row r="19" spans="1:18" ht="15.75" thickBot="1" x14ac:dyDescent="0.3">
      <c r="A19" s="59">
        <v>42794</v>
      </c>
      <c r="B19" s="71">
        <v>12295.52</v>
      </c>
      <c r="C19" s="64">
        <f t="shared" si="0"/>
        <v>2.7918575906005712E-2</v>
      </c>
      <c r="D19" s="72">
        <f t="shared" si="1"/>
        <v>12696.678309436247</v>
      </c>
      <c r="E19" s="97">
        <v>3.970815241948622E-2</v>
      </c>
      <c r="G19" s="2" t="s">
        <v>10</v>
      </c>
      <c r="H19" s="98">
        <v>-0.30049999999999999</v>
      </c>
      <c r="I19" s="98">
        <v>-0.30049999999999999</v>
      </c>
      <c r="J19" s="98">
        <v>-0.2394</v>
      </c>
      <c r="K19" s="98">
        <v>-1.9E-3</v>
      </c>
      <c r="L19" s="98">
        <v>4.6199999999999998E-2</v>
      </c>
      <c r="M19" s="91"/>
    </row>
    <row r="20" spans="1:18" x14ac:dyDescent="0.25">
      <c r="A20" s="59">
        <v>42825</v>
      </c>
      <c r="B20" s="71">
        <v>12356.24</v>
      </c>
      <c r="C20" s="64">
        <f t="shared" si="0"/>
        <v>4.9383840618371037E-3</v>
      </c>
      <c r="D20" s="72">
        <f t="shared" si="1"/>
        <v>12711.467521154456</v>
      </c>
      <c r="E20" s="97">
        <v>1.1648095161407301E-3</v>
      </c>
      <c r="G20" s="2" t="s">
        <v>11</v>
      </c>
      <c r="H20" s="98">
        <v>-0.30209999999999998</v>
      </c>
      <c r="I20" s="98">
        <v>-0.30209999999999998</v>
      </c>
      <c r="J20" s="98">
        <v>-0.24540000000000001</v>
      </c>
      <c r="K20" s="98">
        <v>-9.4999999999999998E-3</v>
      </c>
      <c r="L20" s="98">
        <v>3.8100000000000002E-2</v>
      </c>
      <c r="M20" s="91"/>
      <c r="O20" s="119"/>
      <c r="P20" s="120"/>
      <c r="Q20" s="39" t="str">
        <f>Q11</f>
        <v>OIPIX</v>
      </c>
      <c r="R20" s="54" t="str">
        <f>R11</f>
        <v>SP500TR</v>
      </c>
    </row>
    <row r="21" spans="1:18" x14ac:dyDescent="0.25">
      <c r="A21" s="69" t="s">
        <v>35</v>
      </c>
      <c r="B21" s="71">
        <v>12609.24</v>
      </c>
      <c r="C21" s="64">
        <f t="shared" si="0"/>
        <v>2.047548445158074E-2</v>
      </c>
      <c r="D21" s="72">
        <f t="shared" si="1"/>
        <v>12842.021528386604</v>
      </c>
      <c r="E21" s="97">
        <v>1.0270569233243876E-2</v>
      </c>
      <c r="G21" s="2" t="s">
        <v>29</v>
      </c>
      <c r="H21" s="36">
        <f>Q21</f>
        <v>-0.29998304222486011</v>
      </c>
      <c r="I21" s="36">
        <f>Q23</f>
        <v>-0.29998304222486005</v>
      </c>
      <c r="J21" s="36">
        <f>Q24</f>
        <v>-0.23782983369378041</v>
      </c>
      <c r="K21" s="36">
        <f>Q25</f>
        <v>7.4831925723195525E-4</v>
      </c>
      <c r="L21" s="98">
        <v>4.8599999999999997E-2</v>
      </c>
      <c r="M21" s="91"/>
      <c r="O21" s="117" t="str">
        <f>O12</f>
        <v>3MOS</v>
      </c>
      <c r="P21" s="118"/>
      <c r="Q21" s="95">
        <f>($Q$18-Q12)/Q12</f>
        <v>-0.29998304222486011</v>
      </c>
      <c r="R21" s="55">
        <f>($R$18-R12)/R12</f>
        <v>-0.19598020620821921</v>
      </c>
    </row>
    <row r="22" spans="1:18" x14ac:dyDescent="0.25">
      <c r="A22" s="69" t="s">
        <v>36</v>
      </c>
      <c r="B22" s="71">
        <v>12983.67</v>
      </c>
      <c r="C22" s="64">
        <f t="shared" si="0"/>
        <v>2.9694890413696644E-2</v>
      </c>
      <c r="D22" s="72">
        <f t="shared" si="1"/>
        <v>13022.741214003816</v>
      </c>
      <c r="E22" s="97">
        <v>1.40725262932897E-2</v>
      </c>
      <c r="G22" s="2" t="s">
        <v>12</v>
      </c>
      <c r="H22" s="98">
        <v>-0.34100000000000003</v>
      </c>
      <c r="I22" s="98">
        <v>-0.34100000000000003</v>
      </c>
      <c r="J22" s="98">
        <v>-0.28299999999999997</v>
      </c>
      <c r="K22" s="98">
        <v>-2.1299999999999999E-2</v>
      </c>
      <c r="L22" s="98">
        <v>3.2599999999999997E-2</v>
      </c>
      <c r="M22" s="91"/>
      <c r="O22" s="117" t="str">
        <f>O13</f>
        <v>6MOS</v>
      </c>
      <c r="P22" s="118"/>
      <c r="Q22" s="95">
        <f>Q18/Q13-1</f>
        <v>-0.24113369136005214</v>
      </c>
      <c r="R22" s="55">
        <f>R18/R13-1</f>
        <v>-0.12305549222030443</v>
      </c>
    </row>
    <row r="23" spans="1:18" x14ac:dyDescent="0.25">
      <c r="A23" s="69" t="s">
        <v>37</v>
      </c>
      <c r="B23" s="71">
        <v>12902.71</v>
      </c>
      <c r="C23" s="64">
        <f>(B23-B22)/B22</f>
        <v>-6.2355250865125918E-3</v>
      </c>
      <c r="D23" s="72">
        <f t="shared" si="1"/>
        <v>13104.025858712612</v>
      </c>
      <c r="E23" s="97">
        <v>6.2417461403123653E-3</v>
      </c>
      <c r="M23" s="91"/>
      <c r="O23" s="117" t="str">
        <f>O14</f>
        <v>YTD</v>
      </c>
      <c r="P23" s="118"/>
      <c r="Q23" s="95">
        <f>Q18/Q14-1</f>
        <v>-0.29998304222486005</v>
      </c>
      <c r="R23" s="55">
        <f>R18/R14-1</f>
        <v>-0.19598020620821921</v>
      </c>
    </row>
    <row r="24" spans="1:18" x14ac:dyDescent="0.25">
      <c r="A24" s="59">
        <v>42947</v>
      </c>
      <c r="B24" s="71">
        <v>12821.75</v>
      </c>
      <c r="C24" s="64">
        <f t="shared" si="0"/>
        <v>-6.2746508291668286E-3</v>
      </c>
      <c r="D24" s="72">
        <f t="shared" si="1"/>
        <v>13373.480814639084</v>
      </c>
      <c r="E24" s="97">
        <v>2.0562761309518951E-2</v>
      </c>
      <c r="M24" s="91"/>
      <c r="O24" s="117" t="str">
        <f>O15</f>
        <v>1YR</v>
      </c>
      <c r="P24" s="118"/>
      <c r="Q24" s="95">
        <f>Q18/Q15-1</f>
        <v>-0.23782983369378041</v>
      </c>
      <c r="R24" s="55">
        <f>R18/R15-1</f>
        <v>-6.9778937445051925E-2</v>
      </c>
    </row>
    <row r="25" spans="1:18" x14ac:dyDescent="0.25">
      <c r="A25" s="59">
        <v>42978</v>
      </c>
      <c r="B25" s="71">
        <v>12963.43</v>
      </c>
      <c r="C25" s="64">
        <f t="shared" si="0"/>
        <v>1.104997367754014E-2</v>
      </c>
      <c r="D25" s="72">
        <f t="shared" si="1"/>
        <v>13414.431245570946</v>
      </c>
      <c r="E25" s="97">
        <v>3.0620622633290573E-3</v>
      </c>
      <c r="M25" s="6"/>
      <c r="O25" s="117" t="str">
        <f>O16</f>
        <v>3YR</v>
      </c>
      <c r="P25" s="118"/>
      <c r="Q25" s="95">
        <f>(Q18/Q16)^(1/3)-1</f>
        <v>7.4831925723195525E-4</v>
      </c>
      <c r="R25" s="55">
        <f>(R18/R16)^(1/3)-1</f>
        <v>5.1041904734265842E-2</v>
      </c>
    </row>
    <row r="26" spans="1:18" x14ac:dyDescent="0.25">
      <c r="A26" s="59">
        <v>43008</v>
      </c>
      <c r="B26" s="71">
        <v>13570.62</v>
      </c>
      <c r="C26" s="64">
        <f t="shared" si="0"/>
        <v>4.6838683897703036E-2</v>
      </c>
      <c r="D26" s="72">
        <f t="shared" si="1"/>
        <v>13691.140758003128</v>
      </c>
      <c r="E26" s="97">
        <v>2.0627748382813005E-2</v>
      </c>
      <c r="M26" s="6"/>
      <c r="O26" s="117" t="s">
        <v>14</v>
      </c>
      <c r="P26" s="118"/>
      <c r="Q26" s="95">
        <f>($Q$18-Q17)/Q17</f>
        <v>0.2384</v>
      </c>
      <c r="R26" s="55">
        <f>($R$18-R17)/R17</f>
        <v>0.47589610578768154</v>
      </c>
    </row>
    <row r="27" spans="1:18" ht="15.75" thickBot="1" x14ac:dyDescent="0.3">
      <c r="A27" s="59">
        <f>EOMONTH(A26,1)</f>
        <v>43039</v>
      </c>
      <c r="B27" s="71">
        <v>13732.53</v>
      </c>
      <c r="C27" s="64">
        <f t="shared" si="0"/>
        <v>1.1930921358051426E-2</v>
      </c>
      <c r="D27" s="72">
        <f t="shared" si="1"/>
        <v>14010.621342961265</v>
      </c>
      <c r="E27" s="97">
        <v>2.3334840434781512E-2</v>
      </c>
      <c r="M27" s="6"/>
      <c r="O27" s="115" t="s">
        <v>8</v>
      </c>
      <c r="P27" s="116"/>
      <c r="Q27" s="73">
        <f>(1+Q26)^(12/$H$3)-1</f>
        <v>4.8662565688309289E-2</v>
      </c>
      <c r="R27" s="56">
        <f>(1+R26)^(12/$H$3)-1</f>
        <v>9.0355083318856666E-2</v>
      </c>
    </row>
    <row r="28" spans="1:18" ht="15.75" thickBot="1" x14ac:dyDescent="0.3">
      <c r="A28" s="59">
        <f t="shared" ref="A28:A56" si="5">EOMONTH(A27,1)</f>
        <v>43069</v>
      </c>
      <c r="B28" s="71">
        <v>14015.89</v>
      </c>
      <c r="C28" s="64">
        <f t="shared" si="0"/>
        <v>2.0634216710249221E-2</v>
      </c>
      <c r="D28" s="72">
        <f t="shared" si="1"/>
        <v>14440.320769039014</v>
      </c>
      <c r="E28" s="97">
        <v>3.0669548163445581E-2</v>
      </c>
      <c r="M28" s="6"/>
      <c r="O28" s="96"/>
      <c r="P28" s="96"/>
      <c r="Q28" s="8"/>
      <c r="R28" s="8"/>
    </row>
    <row r="29" spans="1:18" x14ac:dyDescent="0.25">
      <c r="A29" s="59">
        <f t="shared" si="5"/>
        <v>43100</v>
      </c>
      <c r="B29" s="71">
        <v>14364.63</v>
      </c>
      <c r="C29" s="64">
        <f t="shared" si="0"/>
        <v>2.4881759203304234E-2</v>
      </c>
      <c r="D29" s="72">
        <f t="shared" si="1"/>
        <v>14600.873347767762</v>
      </c>
      <c r="E29" s="97">
        <v>1.1118352652732089E-2</v>
      </c>
      <c r="M29" s="6"/>
      <c r="O29" s="18"/>
      <c r="P29" s="19"/>
      <c r="Q29" s="40" t="str">
        <f>B1</f>
        <v>OIPIX</v>
      </c>
      <c r="R29" s="42" t="str">
        <f>D1</f>
        <v>SP500TR</v>
      </c>
    </row>
    <row r="30" spans="1:18" x14ac:dyDescent="0.25">
      <c r="A30" s="59">
        <f t="shared" si="5"/>
        <v>43131</v>
      </c>
      <c r="B30" s="71">
        <v>15120.12</v>
      </c>
      <c r="C30" s="64">
        <f t="shared" si="0"/>
        <v>5.2593766772969557E-2</v>
      </c>
      <c r="D30" s="72">
        <f t="shared" si="1"/>
        <v>15436.827938165419</v>
      </c>
      <c r="E30" s="97">
        <v>5.7253738902232287E-2</v>
      </c>
      <c r="M30" s="6"/>
      <c r="O30" s="111" t="s">
        <v>39</v>
      </c>
      <c r="P30" s="14">
        <f>A2</f>
        <v>42277</v>
      </c>
      <c r="Q30" s="15">
        <f t="shared" ref="Q30:Q36" si="6">SUMIF($A$2:$A$309,$P30,$B$2:$B$309)</f>
        <v>10000</v>
      </c>
      <c r="R30" s="43">
        <f t="shared" ref="R30:R36" si="7">SUMIF($A$2:$A$309,$P30,$D$2:$D$309)</f>
        <v>10000</v>
      </c>
    </row>
    <row r="31" spans="1:18" x14ac:dyDescent="0.25">
      <c r="A31" s="59">
        <f t="shared" si="5"/>
        <v>43159</v>
      </c>
      <c r="B31" s="71">
        <v>14830.34</v>
      </c>
      <c r="C31" s="64">
        <f t="shared" si="0"/>
        <v>-1.9165191810647048E-2</v>
      </c>
      <c r="D31" s="72">
        <f t="shared" si="1"/>
        <v>14867.89144494521</v>
      </c>
      <c r="E31" s="97">
        <v>-3.6855790289246793E-2</v>
      </c>
      <c r="M31" s="6"/>
      <c r="O31" s="111">
        <v>2015</v>
      </c>
      <c r="P31" s="14">
        <f>EOMONTH(P30,3)</f>
        <v>42369</v>
      </c>
      <c r="Q31" s="15">
        <f t="shared" si="6"/>
        <v>10140</v>
      </c>
      <c r="R31" s="43">
        <f t="shared" si="7"/>
        <v>10704.25217846769</v>
      </c>
    </row>
    <row r="32" spans="1:18" x14ac:dyDescent="0.25">
      <c r="A32" s="59">
        <f t="shared" si="5"/>
        <v>43190</v>
      </c>
      <c r="B32" s="71">
        <v>14540.56</v>
      </c>
      <c r="C32" s="64">
        <f t="shared" si="0"/>
        <v>-1.9539673399261288E-2</v>
      </c>
      <c r="D32" s="72">
        <f t="shared" si="1"/>
        <v>14490.038289493226</v>
      </c>
      <c r="E32" s="97">
        <v>-2.5414037817746205E-2</v>
      </c>
      <c r="M32" s="6"/>
      <c r="O32" s="111">
        <v>2016</v>
      </c>
      <c r="P32" s="14">
        <f>EOMONTH(P31,12)</f>
        <v>42735</v>
      </c>
      <c r="Q32" s="15">
        <f t="shared" si="6"/>
        <v>11749.06</v>
      </c>
      <c r="R32" s="43">
        <f t="shared" si="7"/>
        <v>11984.471327695879</v>
      </c>
    </row>
    <row r="33" spans="1:18" x14ac:dyDescent="0.25">
      <c r="A33" s="59">
        <f t="shared" si="5"/>
        <v>43220</v>
      </c>
      <c r="B33" s="71">
        <v>14550.91</v>
      </c>
      <c r="C33" s="64">
        <f t="shared" si="0"/>
        <v>7.1180202138021952E-4</v>
      </c>
      <c r="D33" s="72">
        <f t="shared" si="1"/>
        <v>14545.637882789906</v>
      </c>
      <c r="E33" s="97">
        <v>3.8370908472336041E-3</v>
      </c>
      <c r="M33" s="6"/>
      <c r="O33" s="111">
        <v>2017</v>
      </c>
      <c r="P33" s="14">
        <f>EOMONTH(P32,12)</f>
        <v>43100</v>
      </c>
      <c r="Q33" s="15">
        <f t="shared" si="6"/>
        <v>14364.63</v>
      </c>
      <c r="R33" s="43">
        <f t="shared" si="7"/>
        <v>14600.873347767762</v>
      </c>
    </row>
    <row r="34" spans="1:18" x14ac:dyDescent="0.25">
      <c r="A34" s="59">
        <f t="shared" si="5"/>
        <v>43251</v>
      </c>
      <c r="B34" s="71">
        <v>15265</v>
      </c>
      <c r="C34" s="64">
        <f t="shared" si="0"/>
        <v>4.9075281202344057E-2</v>
      </c>
      <c r="D34" s="72">
        <f t="shared" si="1"/>
        <v>14895.929325494319</v>
      </c>
      <c r="E34" s="97">
        <v>2.4082233142822096E-2</v>
      </c>
      <c r="M34" s="6"/>
      <c r="O34" s="111">
        <v>2018</v>
      </c>
      <c r="P34" s="14">
        <v>43465</v>
      </c>
      <c r="Q34" s="15">
        <f t="shared" si="6"/>
        <v>13713.22</v>
      </c>
      <c r="R34" s="43">
        <f t="shared" si="7"/>
        <v>13960.735763282997</v>
      </c>
    </row>
    <row r="35" spans="1:18" x14ac:dyDescent="0.25">
      <c r="A35" s="59">
        <f t="shared" si="5"/>
        <v>43281</v>
      </c>
      <c r="B35" s="71">
        <v>15637.57</v>
      </c>
      <c r="C35" s="64">
        <f t="shared" si="0"/>
        <v>2.4406812970848325E-2</v>
      </c>
      <c r="D35" s="72">
        <f t="shared" si="1"/>
        <v>14987.60563222481</v>
      </c>
      <c r="E35" s="97">
        <v>6.154453658261394E-3</v>
      </c>
      <c r="G35" s="27"/>
      <c r="H35" s="27"/>
      <c r="I35" s="8"/>
      <c r="J35" s="8"/>
      <c r="K35" s="8"/>
      <c r="L35" s="8"/>
      <c r="M35" s="6"/>
      <c r="O35" s="111">
        <v>2019</v>
      </c>
      <c r="P35" s="14">
        <v>43830</v>
      </c>
      <c r="Q35" s="15">
        <f t="shared" si="6"/>
        <v>17691</v>
      </c>
      <c r="R35" s="43">
        <f t="shared" si="7"/>
        <v>18356.464818201955</v>
      </c>
    </row>
    <row r="36" spans="1:18" ht="15.75" thickBot="1" x14ac:dyDescent="0.3">
      <c r="A36" s="59">
        <f t="shared" si="5"/>
        <v>43312</v>
      </c>
      <c r="B36" s="71">
        <v>15378.84</v>
      </c>
      <c r="C36" s="64">
        <f t="shared" si="0"/>
        <v>-1.6545409548926051E-2</v>
      </c>
      <c r="D36" s="72">
        <f t="shared" si="1"/>
        <v>15545.366187044328</v>
      </c>
      <c r="E36" s="97">
        <v>3.7214787238615266E-2</v>
      </c>
      <c r="G36" s="27"/>
      <c r="H36" s="27"/>
      <c r="I36" s="8"/>
      <c r="J36" s="8"/>
      <c r="K36" s="8"/>
      <c r="L36" s="8"/>
      <c r="M36" s="27"/>
      <c r="O36" s="110" t="s">
        <v>104</v>
      </c>
      <c r="P36" s="74">
        <f>H1</f>
        <v>43921</v>
      </c>
      <c r="Q36" s="23">
        <f t="shared" si="6"/>
        <v>12384</v>
      </c>
      <c r="R36" s="44">
        <f t="shared" si="7"/>
        <v>14758.961057876815</v>
      </c>
    </row>
    <row r="37" spans="1:18" ht="15.75" thickBot="1" x14ac:dyDescent="0.3">
      <c r="A37" s="59">
        <f t="shared" si="5"/>
        <v>43343</v>
      </c>
      <c r="B37" s="71">
        <v>16620.740000000002</v>
      </c>
      <c r="C37" s="64">
        <f t="shared" si="0"/>
        <v>8.0753814982144387E-2</v>
      </c>
      <c r="D37" s="72">
        <f t="shared" si="1"/>
        <v>16051.896688393006</v>
      </c>
      <c r="E37" s="97">
        <v>3.2584018623557753E-2</v>
      </c>
      <c r="M37" s="27"/>
    </row>
    <row r="38" spans="1:18" x14ac:dyDescent="0.25">
      <c r="A38" s="59">
        <f t="shared" si="5"/>
        <v>43373</v>
      </c>
      <c r="B38" s="71">
        <v>16424.11</v>
      </c>
      <c r="C38" s="64">
        <f t="shared" si="0"/>
        <v>-1.1830399849826241E-2</v>
      </c>
      <c r="D38" s="72">
        <f t="shared" si="1"/>
        <v>16143.264886546036</v>
      </c>
      <c r="E38" s="97">
        <v>5.6920499755706011E-3</v>
      </c>
      <c r="I38" s="6"/>
      <c r="J38" s="6"/>
      <c r="K38" s="6"/>
      <c r="L38" s="6"/>
      <c r="M38" s="6"/>
      <c r="O38" s="18"/>
      <c r="P38" s="19"/>
      <c r="Q38" s="40" t="str">
        <f>B1</f>
        <v>OIPIX</v>
      </c>
      <c r="R38" s="42" t="str">
        <f>D1</f>
        <v>SP500TR</v>
      </c>
    </row>
    <row r="39" spans="1:18" x14ac:dyDescent="0.25">
      <c r="A39" s="59">
        <f t="shared" si="5"/>
        <v>43404</v>
      </c>
      <c r="B39" s="71">
        <v>14851.04</v>
      </c>
      <c r="C39" s="64">
        <f t="shared" si="0"/>
        <v>-9.5778096956242967E-2</v>
      </c>
      <c r="D39" s="72">
        <f t="shared" si="1"/>
        <v>15039.872050910755</v>
      </c>
      <c r="E39" s="97">
        <v>-6.8350042162466096E-2</v>
      </c>
      <c r="I39" s="6"/>
      <c r="J39" s="6"/>
      <c r="K39" s="6"/>
      <c r="L39" s="6"/>
      <c r="M39" s="6"/>
      <c r="O39" s="111" t="s">
        <v>39</v>
      </c>
      <c r="P39" s="14">
        <f>P30</f>
        <v>42277</v>
      </c>
      <c r="Q39" s="94"/>
      <c r="R39" s="43"/>
    </row>
    <row r="40" spans="1:18" x14ac:dyDescent="0.25">
      <c r="A40" s="59">
        <f t="shared" si="5"/>
        <v>43434</v>
      </c>
      <c r="B40" s="71">
        <v>15016.62</v>
      </c>
      <c r="C40" s="64">
        <f t="shared" si="0"/>
        <v>1.1149387517641857E-2</v>
      </c>
      <c r="D40" s="72">
        <f t="shared" si="1"/>
        <v>15346.356055874106</v>
      </c>
      <c r="E40" s="97">
        <v>2.0378099223576251E-2</v>
      </c>
      <c r="H40" s="24"/>
      <c r="I40" s="24"/>
      <c r="J40" s="24"/>
      <c r="K40" s="24"/>
      <c r="L40" s="24"/>
      <c r="M40" s="6"/>
      <c r="O40" s="111">
        <f>O31</f>
        <v>2015</v>
      </c>
      <c r="P40" s="14">
        <f>P31</f>
        <v>42369</v>
      </c>
      <c r="Q40" s="95">
        <f t="shared" ref="Q40:R45" si="8">Q31/Q30-1</f>
        <v>1.4000000000000012E-2</v>
      </c>
      <c r="R40" s="55">
        <f t="shared" si="8"/>
        <v>7.0425217846769028E-2</v>
      </c>
    </row>
    <row r="41" spans="1:18" x14ac:dyDescent="0.25">
      <c r="A41" s="59">
        <f t="shared" si="5"/>
        <v>43465</v>
      </c>
      <c r="B41" s="71">
        <v>13713.22</v>
      </c>
      <c r="C41" s="64">
        <f t="shared" si="0"/>
        <v>-8.6797162077751275E-2</v>
      </c>
      <c r="D41" s="72">
        <f t="shared" si="1"/>
        <v>13960.735763282997</v>
      </c>
      <c r="E41" s="97">
        <v>-9.028985692409619E-2</v>
      </c>
      <c r="H41" s="24"/>
      <c r="I41" s="24"/>
      <c r="J41" s="24"/>
      <c r="K41" s="24"/>
      <c r="L41" s="24"/>
      <c r="M41" s="24"/>
      <c r="O41" s="111">
        <f>O32</f>
        <v>2016</v>
      </c>
      <c r="P41" s="14">
        <f>P32</f>
        <v>42735</v>
      </c>
      <c r="Q41" s="95">
        <f t="shared" si="8"/>
        <v>0.15868441814595657</v>
      </c>
      <c r="R41" s="55">
        <f t="shared" si="8"/>
        <v>0.119599120787105</v>
      </c>
    </row>
    <row r="42" spans="1:18" x14ac:dyDescent="0.25">
      <c r="A42" s="59">
        <f t="shared" si="5"/>
        <v>43496</v>
      </c>
      <c r="B42" s="71">
        <v>15116.38</v>
      </c>
      <c r="C42" s="64">
        <f t="shared" si="0"/>
        <v>0.10232170124886787</v>
      </c>
      <c r="D42" s="72">
        <f t="shared" si="1"/>
        <v>15079.478008050053</v>
      </c>
      <c r="E42" s="97">
        <v>8.0134905762586639E-2</v>
      </c>
      <c r="H42" s="24"/>
      <c r="I42" s="24"/>
      <c r="J42" s="24"/>
      <c r="K42" s="24"/>
      <c r="L42" s="24"/>
      <c r="M42" s="24"/>
      <c r="O42" s="111">
        <f>O33</f>
        <v>2017</v>
      </c>
      <c r="P42" s="14">
        <f>P33</f>
        <v>43100</v>
      </c>
      <c r="Q42" s="95">
        <f t="shared" si="8"/>
        <v>0.22261951168859473</v>
      </c>
      <c r="R42" s="55">
        <f t="shared" si="8"/>
        <v>0.21831601482707286</v>
      </c>
    </row>
    <row r="43" spans="1:18" x14ac:dyDescent="0.25">
      <c r="A43" s="59">
        <f t="shared" si="5"/>
        <v>43524</v>
      </c>
      <c r="B43" s="71">
        <v>15894.6</v>
      </c>
      <c r="C43" s="64">
        <f t="shared" si="0"/>
        <v>5.1481902413143966E-2</v>
      </c>
      <c r="D43" s="72">
        <f t="shared" si="1"/>
        <v>15563.656632597344</v>
      </c>
      <c r="E43" s="97">
        <v>3.2108447274422636E-2</v>
      </c>
      <c r="H43" s="24"/>
      <c r="I43" s="24"/>
      <c r="J43" s="24"/>
      <c r="K43" s="24"/>
      <c r="L43" s="24"/>
      <c r="M43" s="24"/>
      <c r="O43" s="111">
        <v>2018</v>
      </c>
      <c r="P43" s="14">
        <v>43465</v>
      </c>
      <c r="Q43" s="95">
        <f t="shared" si="8"/>
        <v>-4.534819205228402E-2</v>
      </c>
      <c r="R43" s="55">
        <f t="shared" si="8"/>
        <v>-4.3842417452558125E-2</v>
      </c>
    </row>
    <row r="44" spans="1:18" x14ac:dyDescent="0.25">
      <c r="A44" s="59">
        <f t="shared" si="5"/>
        <v>43555</v>
      </c>
      <c r="B44" s="71">
        <v>16248.34</v>
      </c>
      <c r="C44" s="64">
        <f t="shared" si="0"/>
        <v>2.2255357165326575E-2</v>
      </c>
      <c r="D44" s="72">
        <f t="shared" si="1"/>
        <v>15866.079206312323</v>
      </c>
      <c r="E44" s="97">
        <v>1.9431331650016537E-2</v>
      </c>
      <c r="H44" s="24"/>
      <c r="I44" s="24"/>
      <c r="J44" s="24"/>
      <c r="K44" s="24"/>
      <c r="L44" s="24"/>
      <c r="M44" s="24"/>
      <c r="O44" s="111">
        <v>2019</v>
      </c>
      <c r="P44" s="14">
        <v>43830</v>
      </c>
      <c r="Q44" s="95">
        <f t="shared" si="8"/>
        <v>0.29006899911180595</v>
      </c>
      <c r="R44" s="55">
        <f t="shared" si="8"/>
        <v>0.31486370986834444</v>
      </c>
    </row>
    <row r="45" spans="1:18" ht="15.75" thickBot="1" x14ac:dyDescent="0.3">
      <c r="A45" s="59">
        <f t="shared" si="5"/>
        <v>43585</v>
      </c>
      <c r="B45" s="71">
        <v>16755.36</v>
      </c>
      <c r="C45" s="64">
        <f t="shared" si="0"/>
        <v>3.1204418420589453E-2</v>
      </c>
      <c r="D45" s="72">
        <f t="shared" si="1"/>
        <v>16508.485590322049</v>
      </c>
      <c r="E45" s="97">
        <v>4.0489296420135323E-2</v>
      </c>
      <c r="H45" s="24"/>
      <c r="I45" s="24"/>
      <c r="J45" s="24"/>
      <c r="K45" s="24"/>
      <c r="L45" s="24"/>
      <c r="M45" s="24"/>
      <c r="O45" s="110" t="str">
        <f t="shared" ref="O45" si="9">O36</f>
        <v>2020 YTD</v>
      </c>
      <c r="P45" s="22">
        <f>P36</f>
        <v>43921</v>
      </c>
      <c r="Q45" s="73">
        <f t="shared" si="8"/>
        <v>-0.29998304222486005</v>
      </c>
      <c r="R45" s="56">
        <f t="shared" si="8"/>
        <v>-0.19598020620821921</v>
      </c>
    </row>
    <row r="46" spans="1:18" x14ac:dyDescent="0.25">
      <c r="A46" s="59">
        <f t="shared" si="5"/>
        <v>43616</v>
      </c>
      <c r="B46" s="71">
        <v>16189.38</v>
      </c>
      <c r="C46" s="64">
        <f t="shared" si="0"/>
        <v>-3.3779041453003776E-2</v>
      </c>
      <c r="D46" s="72">
        <f t="shared" si="1"/>
        <v>15459.40389393224</v>
      </c>
      <c r="E46" s="97">
        <v>-6.3548027506824978E-2</v>
      </c>
      <c r="H46" s="24"/>
      <c r="I46" s="24"/>
      <c r="J46" s="24"/>
      <c r="K46" s="24"/>
      <c r="L46" s="24"/>
      <c r="M46" s="24"/>
    </row>
    <row r="47" spans="1:18" x14ac:dyDescent="0.25">
      <c r="A47" s="59">
        <f t="shared" si="5"/>
        <v>43646</v>
      </c>
      <c r="B47" s="71">
        <v>17073.72</v>
      </c>
      <c r="C47" s="64">
        <f t="shared" si="0"/>
        <v>5.462469841340447E-2</v>
      </c>
      <c r="D47" s="72">
        <f t="shared" si="1"/>
        <v>16548.931843581697</v>
      </c>
      <c r="E47" s="97">
        <v>7.0476711594105623E-2</v>
      </c>
      <c r="H47" s="24"/>
      <c r="I47" s="24"/>
      <c r="J47" s="24"/>
      <c r="K47" s="24"/>
      <c r="L47" s="24"/>
      <c r="M47" s="24"/>
    </row>
    <row r="48" spans="1:18" x14ac:dyDescent="0.25">
      <c r="A48" s="59">
        <f t="shared" si="5"/>
        <v>43677</v>
      </c>
      <c r="B48" s="71">
        <v>17262.38</v>
      </c>
      <c r="C48" s="64">
        <f t="shared" si="0"/>
        <v>1.104973022867892E-2</v>
      </c>
      <c r="D48" s="72">
        <f t="shared" si="1"/>
        <v>16786.791665382898</v>
      </c>
      <c r="E48" s="97">
        <v>1.4373122328946719E-2</v>
      </c>
      <c r="H48" s="24"/>
      <c r="I48" s="24"/>
      <c r="J48" s="24"/>
      <c r="K48" s="24"/>
      <c r="L48" s="24"/>
      <c r="M48" s="24"/>
    </row>
    <row r="49" spans="1:13" x14ac:dyDescent="0.25">
      <c r="A49" s="59">
        <f t="shared" si="5"/>
        <v>43708</v>
      </c>
      <c r="B49" s="71">
        <v>17144.47</v>
      </c>
      <c r="C49" s="64">
        <f t="shared" si="0"/>
        <v>-6.8304602262260388E-3</v>
      </c>
      <c r="D49" s="72">
        <f t="shared" si="1"/>
        <v>16520.865953161909</v>
      </c>
      <c r="E49" s="97">
        <v>-1.5841366088397368E-2</v>
      </c>
      <c r="H49" s="24"/>
      <c r="I49" s="24"/>
      <c r="J49" s="24"/>
      <c r="K49" s="24"/>
      <c r="L49" s="24"/>
      <c r="M49" s="24"/>
    </row>
    <row r="50" spans="1:13" x14ac:dyDescent="0.25">
      <c r="A50" s="59">
        <f t="shared" si="5"/>
        <v>43738</v>
      </c>
      <c r="B50" s="71">
        <v>16319.08</v>
      </c>
      <c r="C50" s="64">
        <f t="shared" si="0"/>
        <v>-4.8143220525335644E-2</v>
      </c>
      <c r="D50" s="72">
        <f t="shared" si="1"/>
        <v>16829.982885969035</v>
      </c>
      <c r="E50" s="97">
        <v>1.8710697955149458E-2</v>
      </c>
      <c r="H50" s="24"/>
      <c r="I50" s="24"/>
      <c r="J50" s="24"/>
      <c r="K50" s="24"/>
      <c r="L50" s="24"/>
      <c r="M50" s="24"/>
    </row>
    <row r="51" spans="1:13" x14ac:dyDescent="0.25">
      <c r="A51" s="59">
        <f t="shared" si="5"/>
        <v>43769</v>
      </c>
      <c r="B51" s="71">
        <v>16578</v>
      </c>
      <c r="C51" s="64">
        <f t="shared" si="0"/>
        <v>1.5866090490395297E-2</v>
      </c>
      <c r="D51" s="72">
        <f t="shared" si="1"/>
        <v>17194.503342978085</v>
      </c>
      <c r="E51" s="97">
        <v>2.1658991543773043E-2</v>
      </c>
      <c r="H51" s="24"/>
      <c r="I51" s="24"/>
      <c r="J51" s="24"/>
      <c r="K51" s="24"/>
      <c r="L51" s="24"/>
      <c r="M51" s="24"/>
    </row>
    <row r="52" spans="1:13" x14ac:dyDescent="0.25">
      <c r="A52" s="59">
        <f t="shared" si="5"/>
        <v>43799</v>
      </c>
      <c r="B52" s="71">
        <v>17121</v>
      </c>
      <c r="C52" s="64">
        <f t="shared" si="0"/>
        <v>3.2754252623959465E-2</v>
      </c>
      <c r="D52" s="72">
        <f t="shared" si="1"/>
        <v>17818.647291305479</v>
      </c>
      <c r="E52" s="97">
        <v>3.6299039052051674E-2</v>
      </c>
      <c r="H52" s="24"/>
      <c r="I52" s="24"/>
      <c r="J52" s="24"/>
      <c r="K52" s="24"/>
      <c r="L52" s="24"/>
      <c r="M52" s="24"/>
    </row>
    <row r="53" spans="1:13" x14ac:dyDescent="0.25">
      <c r="A53" s="59">
        <f t="shared" si="5"/>
        <v>43830</v>
      </c>
      <c r="B53" s="71">
        <v>17691</v>
      </c>
      <c r="C53" s="64">
        <f t="shared" si="0"/>
        <v>3.3292447871035573E-2</v>
      </c>
      <c r="D53" s="72">
        <f t="shared" si="1"/>
        <v>18356.464818201955</v>
      </c>
      <c r="E53" s="97">
        <v>3.0182848232194415E-2</v>
      </c>
      <c r="H53" s="24"/>
      <c r="I53" s="24"/>
      <c r="J53" s="24"/>
      <c r="K53" s="24"/>
      <c r="L53" s="24"/>
      <c r="M53" s="24"/>
    </row>
    <row r="54" spans="1:13" x14ac:dyDescent="0.25">
      <c r="A54" s="59">
        <f t="shared" si="5"/>
        <v>43861</v>
      </c>
      <c r="B54" s="113">
        <v>17904</v>
      </c>
      <c r="C54" s="64">
        <f t="shared" si="0"/>
        <v>1.2040020349330167E-2</v>
      </c>
      <c r="D54" s="72">
        <f t="shared" si="1"/>
        <v>18349.266281437602</v>
      </c>
      <c r="E54" s="97">
        <v>-3.9215267403869269E-4</v>
      </c>
      <c r="H54" s="24"/>
      <c r="I54" s="24"/>
      <c r="J54" s="24"/>
      <c r="K54" s="24"/>
      <c r="L54" s="24"/>
      <c r="M54" s="24"/>
    </row>
    <row r="55" spans="1:13" x14ac:dyDescent="0.25">
      <c r="A55" s="59">
        <f t="shared" si="5"/>
        <v>43890</v>
      </c>
      <c r="B55" s="113">
        <v>16135</v>
      </c>
      <c r="C55" s="64">
        <f t="shared" si="0"/>
        <v>-9.8804736371760502E-2</v>
      </c>
      <c r="D55" s="72">
        <f t="shared" si="1"/>
        <v>16838.777985362063</v>
      </c>
      <c r="E55" s="97">
        <v>-8.2318729964890869E-2</v>
      </c>
      <c r="H55" s="24"/>
      <c r="I55" s="24"/>
      <c r="J55" s="24"/>
      <c r="K55" s="24"/>
      <c r="L55" s="24"/>
      <c r="M55" s="24"/>
    </row>
    <row r="56" spans="1:13" x14ac:dyDescent="0.25">
      <c r="A56" s="59">
        <f t="shared" si="5"/>
        <v>43921</v>
      </c>
      <c r="B56" s="113">
        <v>12384</v>
      </c>
      <c r="C56" s="64">
        <f t="shared" si="0"/>
        <v>-0.23247598388596219</v>
      </c>
      <c r="D56" s="72">
        <f t="shared" si="1"/>
        <v>14758.961057876815</v>
      </c>
      <c r="E56" s="97">
        <v>-0.12351353104680352</v>
      </c>
      <c r="H56" s="24"/>
      <c r="I56" s="24"/>
      <c r="J56" s="24"/>
      <c r="K56" s="24"/>
      <c r="L56" s="24"/>
      <c r="M56" s="24"/>
    </row>
    <row r="57" spans="1:13" x14ac:dyDescent="0.25">
      <c r="C57" s="64"/>
      <c r="E57" s="64"/>
      <c r="H57" s="24"/>
      <c r="I57" s="24"/>
      <c r="J57" s="24"/>
      <c r="K57" s="24"/>
      <c r="L57" s="24"/>
      <c r="M57" s="24"/>
    </row>
    <row r="58" spans="1:13" x14ac:dyDescent="0.25">
      <c r="C58" s="64"/>
      <c r="E58" s="64"/>
      <c r="H58" s="24"/>
      <c r="I58" s="24"/>
      <c r="J58" s="24"/>
      <c r="K58" s="24"/>
      <c r="L58" s="24"/>
      <c r="M58" s="24"/>
    </row>
    <row r="59" spans="1:13" x14ac:dyDescent="0.25">
      <c r="C59" s="64"/>
      <c r="E59" s="64"/>
      <c r="H59" s="24"/>
      <c r="I59" s="25"/>
      <c r="J59" s="25"/>
      <c r="K59" s="25"/>
      <c r="L59" s="25"/>
      <c r="M59" s="24"/>
    </row>
    <row r="60" spans="1:13" x14ac:dyDescent="0.25">
      <c r="C60" s="64"/>
      <c r="E60" s="64"/>
      <c r="H60" s="24"/>
      <c r="I60" s="25"/>
      <c r="J60" s="25"/>
      <c r="K60" s="25"/>
      <c r="L60" s="25"/>
      <c r="M60" s="25"/>
    </row>
    <row r="61" spans="1:13" x14ac:dyDescent="0.25">
      <c r="C61" s="64"/>
      <c r="E61" s="64"/>
      <c r="H61" s="24"/>
      <c r="I61" s="25"/>
      <c r="J61" s="25"/>
      <c r="K61" s="25"/>
      <c r="L61" s="25"/>
      <c r="M61" s="25"/>
    </row>
    <row r="62" spans="1:13" x14ac:dyDescent="0.25">
      <c r="C62" s="64"/>
      <c r="E62" s="64"/>
      <c r="H62" s="24"/>
      <c r="I62" s="25"/>
      <c r="J62" s="25"/>
      <c r="K62" s="25"/>
      <c r="L62" s="25"/>
      <c r="M62" s="25"/>
    </row>
    <row r="63" spans="1:13" x14ac:dyDescent="0.25">
      <c r="C63" s="64"/>
      <c r="E63" s="64"/>
      <c r="H63" s="24"/>
      <c r="I63" s="25"/>
      <c r="J63" s="25"/>
      <c r="K63" s="25"/>
      <c r="L63" s="25"/>
      <c r="M63" s="25"/>
    </row>
    <row r="64" spans="1:13" x14ac:dyDescent="0.25">
      <c r="C64" s="64"/>
      <c r="E64" s="64"/>
      <c r="H64" s="24"/>
      <c r="I64" s="25"/>
      <c r="J64" s="25"/>
      <c r="K64" s="25"/>
      <c r="L64" s="25"/>
      <c r="M64" s="25"/>
    </row>
    <row r="65" spans="3:13" x14ac:dyDescent="0.25">
      <c r="C65" s="64"/>
      <c r="E65" s="64"/>
      <c r="H65" s="24"/>
      <c r="I65" s="25"/>
      <c r="J65" s="25"/>
      <c r="K65" s="25"/>
      <c r="L65" s="25"/>
      <c r="M65" s="25"/>
    </row>
    <row r="66" spans="3:13" x14ac:dyDescent="0.25">
      <c r="C66" s="64"/>
      <c r="E66" s="64"/>
      <c r="H66" s="24"/>
      <c r="I66" s="25"/>
      <c r="J66" s="25"/>
      <c r="K66" s="25"/>
      <c r="L66" s="25"/>
      <c r="M66" s="25"/>
    </row>
    <row r="67" spans="3:13" x14ac:dyDescent="0.25">
      <c r="C67" s="64"/>
      <c r="E67" s="64"/>
      <c r="H67" s="24"/>
      <c r="I67" s="25"/>
      <c r="J67" s="25"/>
      <c r="K67" s="25"/>
      <c r="L67" s="25"/>
      <c r="M67" s="25"/>
    </row>
    <row r="68" spans="3:13" x14ac:dyDescent="0.25">
      <c r="C68" s="64"/>
      <c r="E68" s="64"/>
      <c r="H68" s="24"/>
      <c r="I68" s="25"/>
      <c r="J68" s="25"/>
      <c r="K68" s="25"/>
      <c r="L68" s="25"/>
      <c r="M68" s="25"/>
    </row>
    <row r="69" spans="3:13" x14ac:dyDescent="0.25">
      <c r="C69" s="64"/>
      <c r="E69" s="64"/>
      <c r="H69" s="24"/>
      <c r="I69" s="25"/>
      <c r="J69" s="25"/>
      <c r="K69" s="25"/>
      <c r="L69" s="25"/>
      <c r="M69" s="25"/>
    </row>
    <row r="70" spans="3:13" x14ac:dyDescent="0.25">
      <c r="C70" s="64"/>
      <c r="E70" s="64"/>
      <c r="H70" s="24"/>
      <c r="I70" s="25"/>
      <c r="J70" s="25"/>
      <c r="K70" s="25"/>
      <c r="L70" s="25"/>
      <c r="M70" s="25"/>
    </row>
    <row r="71" spans="3:13" x14ac:dyDescent="0.25">
      <c r="C71" s="64"/>
      <c r="E71" s="64"/>
      <c r="H71" s="24"/>
      <c r="I71" s="25"/>
      <c r="J71" s="25"/>
      <c r="K71" s="25"/>
      <c r="L71" s="25"/>
      <c r="M71" s="25"/>
    </row>
    <row r="72" spans="3:13" x14ac:dyDescent="0.25">
      <c r="C72" s="64"/>
      <c r="E72" s="64"/>
      <c r="H72" s="24"/>
      <c r="I72" s="25"/>
      <c r="J72" s="25"/>
      <c r="K72" s="25"/>
      <c r="L72" s="25"/>
      <c r="M72" s="25"/>
    </row>
    <row r="73" spans="3:13" x14ac:dyDescent="0.25">
      <c r="C73" s="64"/>
      <c r="E73" s="64"/>
      <c r="H73" s="24"/>
      <c r="I73" s="25"/>
      <c r="J73" s="25"/>
      <c r="K73" s="25"/>
      <c r="L73" s="25"/>
      <c r="M73" s="25"/>
    </row>
    <row r="74" spans="3:13" x14ac:dyDescent="0.25">
      <c r="C74" s="64"/>
      <c r="E74" s="64"/>
      <c r="H74" s="24"/>
      <c r="I74" s="25"/>
      <c r="J74" s="25"/>
      <c r="K74" s="25"/>
      <c r="L74" s="25"/>
      <c r="M74" s="25"/>
    </row>
    <row r="75" spans="3:13" x14ac:dyDescent="0.25">
      <c r="C75" s="64"/>
      <c r="E75" s="64"/>
      <c r="H75" s="24"/>
      <c r="I75" s="25"/>
      <c r="J75" s="25"/>
      <c r="K75" s="25"/>
      <c r="L75" s="25"/>
      <c r="M75" s="25"/>
    </row>
    <row r="76" spans="3:13" x14ac:dyDescent="0.25">
      <c r="C76" s="64"/>
      <c r="E76" s="64"/>
      <c r="H76" s="24"/>
      <c r="I76" s="25"/>
      <c r="J76" s="25"/>
      <c r="K76" s="25"/>
      <c r="L76" s="25"/>
      <c r="M76" s="25"/>
    </row>
    <row r="77" spans="3:13" x14ac:dyDescent="0.25">
      <c r="C77" s="64"/>
      <c r="E77" s="64"/>
      <c r="M77" s="25"/>
    </row>
    <row r="78" spans="3:13" x14ac:dyDescent="0.25">
      <c r="C78" s="64"/>
      <c r="E78" s="64"/>
    </row>
    <row r="79" spans="3:13" x14ac:dyDescent="0.25">
      <c r="C79" s="64"/>
      <c r="E79" s="64"/>
    </row>
    <row r="80" spans="3:13" x14ac:dyDescent="0.25">
      <c r="C80" s="64"/>
      <c r="E80" s="64"/>
    </row>
    <row r="81" spans="3:5" x14ac:dyDescent="0.25">
      <c r="C81" s="64"/>
      <c r="E81" s="64"/>
    </row>
    <row r="82" spans="3:5" x14ac:dyDescent="0.25">
      <c r="C82" s="64"/>
      <c r="E82" s="64"/>
    </row>
    <row r="83" spans="3:5" x14ac:dyDescent="0.25">
      <c r="C83" s="64"/>
      <c r="E83" s="64"/>
    </row>
    <row r="84" spans="3:5" x14ac:dyDescent="0.25">
      <c r="C84" s="64"/>
      <c r="D84" s="66"/>
      <c r="E84" s="64"/>
    </row>
    <row r="85" spans="3:5" x14ac:dyDescent="0.25">
      <c r="C85" s="64"/>
      <c r="D85" s="66"/>
      <c r="E85" s="64"/>
    </row>
    <row r="86" spans="3:5" x14ac:dyDescent="0.25">
      <c r="C86" s="64"/>
      <c r="D86" s="66"/>
      <c r="E86" s="64"/>
    </row>
    <row r="87" spans="3:5" x14ac:dyDescent="0.25">
      <c r="C87" s="64"/>
      <c r="E87" s="64"/>
    </row>
    <row r="88" spans="3:5" x14ac:dyDescent="0.25">
      <c r="C88" s="64"/>
      <c r="E88" s="64"/>
    </row>
    <row r="89" spans="3:5" x14ac:dyDescent="0.25">
      <c r="C89" s="64"/>
      <c r="E89" s="64"/>
    </row>
    <row r="90" spans="3:5" x14ac:dyDescent="0.25">
      <c r="C90" s="64"/>
      <c r="E90" s="64"/>
    </row>
    <row r="91" spans="3:5" x14ac:dyDescent="0.25">
      <c r="C91" s="64"/>
      <c r="E91" s="64"/>
    </row>
    <row r="92" spans="3:5" x14ac:dyDescent="0.25">
      <c r="C92" s="64"/>
      <c r="E92" s="64"/>
    </row>
    <row r="93" spans="3:5" x14ac:dyDescent="0.25">
      <c r="C93" s="64"/>
      <c r="E93" s="64"/>
    </row>
    <row r="94" spans="3:5" x14ac:dyDescent="0.25">
      <c r="C94" s="64"/>
      <c r="E94" s="64"/>
    </row>
    <row r="95" spans="3:5" x14ac:dyDescent="0.25">
      <c r="C95" s="64"/>
      <c r="E95" s="64"/>
    </row>
    <row r="96" spans="3:5" x14ac:dyDescent="0.25">
      <c r="C96" s="64"/>
      <c r="E96" s="64"/>
    </row>
    <row r="97" spans="3:5" x14ac:dyDescent="0.25">
      <c r="C97" s="64"/>
      <c r="E97" s="64"/>
    </row>
    <row r="98" spans="3:5" x14ac:dyDescent="0.25">
      <c r="C98" s="64"/>
      <c r="E98" s="64"/>
    </row>
    <row r="99" spans="3:5" x14ac:dyDescent="0.25">
      <c r="C99" s="64"/>
      <c r="E99" s="64"/>
    </row>
    <row r="100" spans="3:5" x14ac:dyDescent="0.25">
      <c r="C100" s="64"/>
      <c r="E100" s="64"/>
    </row>
    <row r="101" spans="3:5" x14ac:dyDescent="0.25">
      <c r="C101" s="64"/>
      <c r="E101" s="64"/>
    </row>
    <row r="102" spans="3:5" x14ac:dyDescent="0.25">
      <c r="C102" s="64"/>
      <c r="E102" s="64"/>
    </row>
    <row r="103" spans="3:5" x14ac:dyDescent="0.25">
      <c r="C103" s="64"/>
      <c r="E103" s="64"/>
    </row>
    <row r="104" spans="3:5" x14ac:dyDescent="0.25">
      <c r="C104" s="64"/>
      <c r="E104" s="64"/>
    </row>
    <row r="105" spans="3:5" x14ac:dyDescent="0.25">
      <c r="C105" s="64"/>
      <c r="E105" s="64"/>
    </row>
    <row r="106" spans="3:5" x14ac:dyDescent="0.25">
      <c r="C106" s="64"/>
      <c r="E106" s="64"/>
    </row>
    <row r="107" spans="3:5" x14ac:dyDescent="0.25">
      <c r="C107" s="64"/>
      <c r="E107" s="64"/>
    </row>
    <row r="108" spans="3:5" x14ac:dyDescent="0.25">
      <c r="C108" s="64"/>
      <c r="E108" s="64"/>
    </row>
    <row r="109" spans="3:5" x14ac:dyDescent="0.25">
      <c r="C109" s="64"/>
      <c r="E109" s="64"/>
    </row>
    <row r="110" spans="3:5" x14ac:dyDescent="0.25">
      <c r="C110" s="64"/>
      <c r="E110" s="64"/>
    </row>
    <row r="111" spans="3:5" x14ac:dyDescent="0.25">
      <c r="C111" s="64"/>
      <c r="E111" s="64"/>
    </row>
    <row r="112" spans="3:5" x14ac:dyDescent="0.25">
      <c r="C112" s="64"/>
      <c r="E112" s="64"/>
    </row>
    <row r="113" spans="3:5" x14ac:dyDescent="0.25">
      <c r="C113" s="64"/>
      <c r="E113" s="64"/>
    </row>
    <row r="114" spans="3:5" x14ac:dyDescent="0.25">
      <c r="C114" s="64"/>
      <c r="E114" s="64"/>
    </row>
    <row r="115" spans="3:5" x14ac:dyDescent="0.25">
      <c r="C115" s="64"/>
      <c r="E115" s="64"/>
    </row>
    <row r="116" spans="3:5" x14ac:dyDescent="0.25">
      <c r="C116" s="64"/>
      <c r="E116" s="64"/>
    </row>
  </sheetData>
  <mergeCells count="13">
    <mergeCell ref="O1:Q1"/>
    <mergeCell ref="O2:Q2"/>
    <mergeCell ref="O3:Q3"/>
    <mergeCell ref="O4:Q4"/>
    <mergeCell ref="I2:M2"/>
    <mergeCell ref="O27:P27"/>
    <mergeCell ref="O26:P26"/>
    <mergeCell ref="O22:P22"/>
    <mergeCell ref="O20:P20"/>
    <mergeCell ref="O21:P21"/>
    <mergeCell ref="O24:P24"/>
    <mergeCell ref="O23:P23"/>
    <mergeCell ref="O25:P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3:E11"/>
  <sheetViews>
    <sheetView tabSelected="1" zoomScale="90" zoomScaleNormal="90" workbookViewId="0">
      <selection activeCell="A6" sqref="A6"/>
    </sheetView>
  </sheetViews>
  <sheetFormatPr defaultColWidth="9.140625" defaultRowHeight="15" x14ac:dyDescent="0.25"/>
  <cols>
    <col min="1" max="1" width="21.140625" style="6" bestFit="1" customWidth="1"/>
    <col min="2" max="3" width="9.140625" style="6"/>
    <col min="4" max="4" width="52.7109375" style="6" bestFit="1" customWidth="1"/>
    <col min="5" max="16384" width="9.140625" style="6"/>
  </cols>
  <sheetData>
    <row r="3" spans="1:5" x14ac:dyDescent="0.25">
      <c r="A3" s="32" t="s">
        <v>18</v>
      </c>
      <c r="B3" s="33"/>
    </row>
    <row r="4" spans="1:5" x14ac:dyDescent="0.25">
      <c r="A4" s="34" t="s">
        <v>105</v>
      </c>
      <c r="B4" s="104">
        <v>0.35435014336280835</v>
      </c>
      <c r="E4" s="27"/>
    </row>
    <row r="5" spans="1:5" x14ac:dyDescent="0.25">
      <c r="A5" s="34" t="s">
        <v>106</v>
      </c>
      <c r="B5" s="104">
        <v>0.59707096283496608</v>
      </c>
      <c r="E5" s="27"/>
    </row>
    <row r="6" spans="1:5" x14ac:dyDescent="0.25">
      <c r="A6" s="34" t="s">
        <v>109</v>
      </c>
      <c r="B6" s="104">
        <v>0</v>
      </c>
      <c r="E6" s="27"/>
    </row>
    <row r="7" spans="1:5" x14ac:dyDescent="0.25">
      <c r="A7" s="34" t="s">
        <v>107</v>
      </c>
      <c r="B7" s="104">
        <v>0</v>
      </c>
      <c r="E7" s="27"/>
    </row>
    <row r="8" spans="1:5" x14ac:dyDescent="0.25">
      <c r="A8" s="34" t="s">
        <v>108</v>
      </c>
      <c r="B8" s="104">
        <v>4.8578893802225652E-2</v>
      </c>
      <c r="E8" s="27"/>
    </row>
    <row r="9" spans="1:5" x14ac:dyDescent="0.2">
      <c r="A9" s="105" t="s">
        <v>62</v>
      </c>
      <c r="B9" s="106">
        <v>0</v>
      </c>
      <c r="C9" s="107"/>
      <c r="D9" s="102" t="s">
        <v>91</v>
      </c>
      <c r="E9" s="27"/>
    </row>
    <row r="10" spans="1:5" x14ac:dyDescent="0.25">
      <c r="A10" s="34"/>
      <c r="B10" s="35"/>
      <c r="E10" s="27"/>
    </row>
    <row r="11" spans="1:5" x14ac:dyDescent="0.25">
      <c r="B11" s="60">
        <f>SUM(B4:B10)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180"/>
  <sheetViews>
    <sheetView showGridLines="0" zoomScale="115" zoomScaleNormal="115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customWidth="1"/>
    <col min="7" max="7" width="13.7109375" customWidth="1"/>
    <col min="10" max="10" width="17.7109375" bestFit="1" customWidth="1"/>
    <col min="11" max="11" width="11.7109375" bestFit="1" customWidth="1"/>
    <col min="12" max="12" width="7.28515625" bestFit="1" customWidth="1"/>
  </cols>
  <sheetData>
    <row r="1" spans="1:12" ht="38.1" customHeight="1" x14ac:dyDescent="0.25"/>
    <row r="2" spans="1:12" ht="3" customHeight="1" x14ac:dyDescent="0.25"/>
    <row r="3" spans="1:12" ht="12.95" customHeight="1" x14ac:dyDescent="0.25">
      <c r="C3" s="76" t="s">
        <v>20</v>
      </c>
    </row>
    <row r="4" spans="1:12" ht="12.95" customHeight="1" x14ac:dyDescent="0.25">
      <c r="C4" s="76" t="s">
        <v>46</v>
      </c>
    </row>
    <row r="5" spans="1:12" ht="12.95" customHeight="1" x14ac:dyDescent="0.25">
      <c r="C5" s="76" t="s">
        <v>101</v>
      </c>
    </row>
    <row r="6" spans="1:12" ht="12.95" customHeight="1" x14ac:dyDescent="0.25">
      <c r="C6" s="76" t="s">
        <v>21</v>
      </c>
    </row>
    <row r="7" spans="1:12" ht="12.95" customHeight="1" x14ac:dyDescent="0.25">
      <c r="A7" s="77" t="s">
        <v>22</v>
      </c>
      <c r="B7" s="77" t="s">
        <v>23</v>
      </c>
      <c r="C7" s="77" t="s">
        <v>24</v>
      </c>
      <c r="D7" s="77" t="s">
        <v>25</v>
      </c>
      <c r="E7" s="77" t="s">
        <v>26</v>
      </c>
      <c r="F7" s="77" t="s">
        <v>27</v>
      </c>
      <c r="G7" s="77" t="s">
        <v>28</v>
      </c>
    </row>
    <row r="8" spans="1:12" ht="12.95" customHeight="1" x14ac:dyDescent="0.25">
      <c r="A8" s="78" t="s">
        <v>47</v>
      </c>
      <c r="B8" s="79"/>
      <c r="C8" s="79"/>
      <c r="D8" s="79"/>
      <c r="E8" s="80"/>
      <c r="F8" s="80"/>
      <c r="G8" s="80"/>
    </row>
    <row r="9" spans="1:12" ht="12.95" customHeight="1" x14ac:dyDescent="0.25">
      <c r="A9" s="78" t="s">
        <v>48</v>
      </c>
      <c r="B9" s="79"/>
      <c r="C9" s="79"/>
      <c r="D9" s="79"/>
      <c r="E9" s="80"/>
      <c r="F9" s="80"/>
      <c r="G9" s="80"/>
      <c r="J9" s="99" t="s">
        <v>49</v>
      </c>
      <c r="K9" s="100">
        <f>G14</f>
        <v>630914.30000000005</v>
      </c>
      <c r="L9" s="101">
        <f>K9/$G$36</f>
        <v>0.35435014336280835</v>
      </c>
    </row>
    <row r="10" spans="1:12" ht="12.95" customHeight="1" x14ac:dyDescent="0.25">
      <c r="A10" s="80" t="s">
        <v>50</v>
      </c>
      <c r="B10" s="80"/>
      <c r="C10" s="80" t="s">
        <v>51</v>
      </c>
      <c r="D10" s="81">
        <v>440000</v>
      </c>
      <c r="E10" s="82">
        <v>95.247</v>
      </c>
      <c r="F10" s="83">
        <v>460746.09</v>
      </c>
      <c r="G10" s="83">
        <v>419086.8</v>
      </c>
      <c r="J10" s="99" t="s">
        <v>52</v>
      </c>
      <c r="K10" s="100">
        <f>G27</f>
        <v>1063074.52</v>
      </c>
      <c r="L10" s="101">
        <f t="shared" ref="L10:L14" si="0">K10/$G$36</f>
        <v>0.59707096283496608</v>
      </c>
    </row>
    <row r="11" spans="1:12" ht="12.95" customHeight="1" x14ac:dyDescent="0.25">
      <c r="A11" s="80" t="s">
        <v>60</v>
      </c>
      <c r="B11" s="80"/>
      <c r="C11" s="80" t="s">
        <v>61</v>
      </c>
      <c r="D11" s="81">
        <v>10000</v>
      </c>
      <c r="E11" s="82">
        <v>109.52500000000001</v>
      </c>
      <c r="F11" s="83">
        <v>11158.06</v>
      </c>
      <c r="G11" s="83">
        <v>10952.5</v>
      </c>
      <c r="J11" s="99" t="s">
        <v>53</v>
      </c>
      <c r="K11" s="100">
        <v>0</v>
      </c>
      <c r="L11" s="101">
        <f t="shared" si="0"/>
        <v>0</v>
      </c>
    </row>
    <row r="12" spans="1:12" ht="12.95" customHeight="1" x14ac:dyDescent="0.25">
      <c r="A12" s="80" t="s">
        <v>57</v>
      </c>
      <c r="B12" s="80"/>
      <c r="C12" s="80" t="s">
        <v>58</v>
      </c>
      <c r="D12" s="81">
        <v>110000</v>
      </c>
      <c r="E12" s="82">
        <v>94.5</v>
      </c>
      <c r="F12" s="83">
        <v>112708.79</v>
      </c>
      <c r="G12" s="83">
        <v>103950</v>
      </c>
      <c r="J12" s="99" t="s">
        <v>56</v>
      </c>
      <c r="K12">
        <v>0</v>
      </c>
      <c r="L12" s="101">
        <f t="shared" si="0"/>
        <v>0</v>
      </c>
    </row>
    <row r="13" spans="1:12" ht="12.95" customHeight="1" x14ac:dyDescent="0.25">
      <c r="A13" s="80" t="s">
        <v>54</v>
      </c>
      <c r="B13" s="80"/>
      <c r="C13" s="80" t="s">
        <v>55</v>
      </c>
      <c r="D13" s="81">
        <v>100000</v>
      </c>
      <c r="E13" s="82">
        <v>96.924999999999997</v>
      </c>
      <c r="F13" s="83">
        <v>107158.76</v>
      </c>
      <c r="G13" s="83">
        <v>96925</v>
      </c>
      <c r="J13" s="99" t="s">
        <v>59</v>
      </c>
      <c r="K13" s="100">
        <f>G30+G33</f>
        <v>86493.87999999999</v>
      </c>
      <c r="L13" s="101">
        <f t="shared" si="0"/>
        <v>4.8578893802225652E-2</v>
      </c>
    </row>
    <row r="14" spans="1:12" ht="12.95" customHeight="1" x14ac:dyDescent="0.25">
      <c r="A14" s="84" t="s">
        <v>63</v>
      </c>
      <c r="D14" s="85">
        <v>660000</v>
      </c>
      <c r="E14" s="86"/>
      <c r="F14" s="87">
        <v>691771.7</v>
      </c>
      <c r="G14" s="87">
        <v>630914.30000000005</v>
      </c>
      <c r="J14" s="99" t="s">
        <v>62</v>
      </c>
      <c r="K14" s="103">
        <v>0</v>
      </c>
      <c r="L14" s="101">
        <f t="shared" si="0"/>
        <v>0</v>
      </c>
    </row>
    <row r="15" spans="1:12" ht="12.95" customHeight="1" x14ac:dyDescent="0.25">
      <c r="A15" s="78" t="s">
        <v>64</v>
      </c>
      <c r="B15" s="79"/>
      <c r="C15" s="79"/>
      <c r="D15" s="79"/>
      <c r="E15" s="80"/>
      <c r="F15" s="80"/>
      <c r="G15" s="80"/>
    </row>
    <row r="16" spans="1:12" ht="12.95" customHeight="1" x14ac:dyDescent="0.25">
      <c r="A16" s="80" t="s">
        <v>81</v>
      </c>
      <c r="B16" s="80"/>
      <c r="C16" s="80" t="s">
        <v>82</v>
      </c>
      <c r="D16" s="81">
        <v>100000</v>
      </c>
      <c r="E16" s="82">
        <v>86</v>
      </c>
      <c r="F16" s="83">
        <v>98722.3</v>
      </c>
      <c r="G16" s="83">
        <v>86000</v>
      </c>
    </row>
    <row r="17" spans="1:7" ht="12.95" customHeight="1" x14ac:dyDescent="0.25">
      <c r="A17" s="80" t="s">
        <v>71</v>
      </c>
      <c r="B17" s="80"/>
      <c r="C17" s="80" t="s">
        <v>72</v>
      </c>
      <c r="D17" s="81">
        <v>115000</v>
      </c>
      <c r="E17" s="82">
        <v>87.504435000000001</v>
      </c>
      <c r="F17" s="83">
        <v>115127.98</v>
      </c>
      <c r="G17" s="83">
        <v>100630.1</v>
      </c>
    </row>
    <row r="18" spans="1:7" ht="12.95" customHeight="1" x14ac:dyDescent="0.25">
      <c r="A18" s="80" t="s">
        <v>77</v>
      </c>
      <c r="B18" s="80"/>
      <c r="C18" s="80" t="s">
        <v>78</v>
      </c>
      <c r="D18" s="81">
        <v>100000</v>
      </c>
      <c r="E18" s="82">
        <v>79</v>
      </c>
      <c r="F18" s="83">
        <v>104022.58</v>
      </c>
      <c r="G18" s="83">
        <v>79000</v>
      </c>
    </row>
    <row r="19" spans="1:7" ht="12.95" customHeight="1" x14ac:dyDescent="0.25">
      <c r="A19" s="80" t="s">
        <v>102</v>
      </c>
      <c r="B19" s="80"/>
      <c r="C19" s="80" t="s">
        <v>103</v>
      </c>
      <c r="D19" s="81">
        <v>100000</v>
      </c>
      <c r="E19" s="82">
        <v>87.601060000000004</v>
      </c>
      <c r="F19" s="83">
        <v>104250</v>
      </c>
      <c r="G19" s="83">
        <v>87601.06</v>
      </c>
    </row>
    <row r="20" spans="1:7" ht="12.95" customHeight="1" x14ac:dyDescent="0.25">
      <c r="A20" s="80" t="s">
        <v>75</v>
      </c>
      <c r="B20" s="80"/>
      <c r="C20" s="80" t="s">
        <v>76</v>
      </c>
      <c r="D20" s="81">
        <v>150000</v>
      </c>
      <c r="E20" s="82">
        <v>84.522327000000004</v>
      </c>
      <c r="F20" s="83">
        <v>155610</v>
      </c>
      <c r="G20" s="83">
        <v>126783.49</v>
      </c>
    </row>
    <row r="21" spans="1:7" ht="12.95" customHeight="1" x14ac:dyDescent="0.25">
      <c r="A21" s="80" t="s">
        <v>69</v>
      </c>
      <c r="B21" s="80"/>
      <c r="C21" s="80" t="s">
        <v>70</v>
      </c>
      <c r="D21" s="81">
        <v>90000</v>
      </c>
      <c r="E21" s="82">
        <v>84.5</v>
      </c>
      <c r="F21" s="83">
        <v>91935</v>
      </c>
      <c r="G21" s="83">
        <v>76050</v>
      </c>
    </row>
    <row r="22" spans="1:7" ht="12.95" customHeight="1" x14ac:dyDescent="0.25">
      <c r="A22" s="80" t="s">
        <v>79</v>
      </c>
      <c r="B22" s="80"/>
      <c r="C22" s="80" t="s">
        <v>80</v>
      </c>
      <c r="D22" s="81">
        <v>100000</v>
      </c>
      <c r="E22" s="82">
        <v>55.5</v>
      </c>
      <c r="F22" s="83">
        <v>103804.86</v>
      </c>
      <c r="G22" s="83">
        <v>55500</v>
      </c>
    </row>
    <row r="23" spans="1:7" ht="12.95" customHeight="1" x14ac:dyDescent="0.25">
      <c r="A23" s="80" t="s">
        <v>65</v>
      </c>
      <c r="B23" s="80"/>
      <c r="C23" s="80" t="s">
        <v>66</v>
      </c>
      <c r="D23" s="81">
        <v>200000</v>
      </c>
      <c r="E23" s="82">
        <v>96.769329999999997</v>
      </c>
      <c r="F23" s="83">
        <v>218500</v>
      </c>
      <c r="G23" s="83">
        <v>193538.66</v>
      </c>
    </row>
    <row r="24" spans="1:7" ht="12.95" customHeight="1" x14ac:dyDescent="0.25">
      <c r="A24" s="80" t="s">
        <v>73</v>
      </c>
      <c r="B24" s="80"/>
      <c r="C24" s="80" t="s">
        <v>74</v>
      </c>
      <c r="D24" s="81">
        <v>190000</v>
      </c>
      <c r="E24" s="82">
        <v>62.594467999999999</v>
      </c>
      <c r="F24" s="83">
        <v>190887.2</v>
      </c>
      <c r="G24" s="83">
        <v>118929.49</v>
      </c>
    </row>
    <row r="25" spans="1:7" ht="12.95" customHeight="1" x14ac:dyDescent="0.25">
      <c r="A25" s="80" t="s">
        <v>67</v>
      </c>
      <c r="B25" s="80"/>
      <c r="C25" s="80" t="s">
        <v>68</v>
      </c>
      <c r="D25" s="81">
        <v>75000</v>
      </c>
      <c r="E25" s="82">
        <v>107.80785299999999</v>
      </c>
      <c r="F25" s="83">
        <v>81937.5</v>
      </c>
      <c r="G25" s="83">
        <v>80855.89</v>
      </c>
    </row>
    <row r="26" spans="1:7" ht="12.95" customHeight="1" x14ac:dyDescent="0.25">
      <c r="A26" s="80" t="s">
        <v>83</v>
      </c>
      <c r="B26" s="80"/>
      <c r="C26" s="80" t="s">
        <v>84</v>
      </c>
      <c r="D26" s="81">
        <v>100000</v>
      </c>
      <c r="E26" s="82">
        <v>58.185830000000003</v>
      </c>
      <c r="F26" s="83">
        <v>85000</v>
      </c>
      <c r="G26" s="83">
        <v>58185.83</v>
      </c>
    </row>
    <row r="27" spans="1:7" ht="12.95" customHeight="1" x14ac:dyDescent="0.25">
      <c r="A27" s="84" t="s">
        <v>85</v>
      </c>
      <c r="D27" s="85">
        <v>1320000</v>
      </c>
      <c r="E27" s="86"/>
      <c r="F27" s="87">
        <v>1349797.42</v>
      </c>
      <c r="G27" s="87">
        <v>1063074.52</v>
      </c>
    </row>
    <row r="28" spans="1:7" ht="12.95" customHeight="1" x14ac:dyDescent="0.25">
      <c r="A28" s="78" t="s">
        <v>32</v>
      </c>
      <c r="B28" s="79"/>
      <c r="C28" s="79"/>
      <c r="D28" s="79"/>
      <c r="E28" s="80"/>
      <c r="F28" s="80"/>
      <c r="G28" s="80"/>
    </row>
    <row r="29" spans="1:7" ht="12.95" customHeight="1" x14ac:dyDescent="0.25">
      <c r="A29" s="80" t="s">
        <v>43</v>
      </c>
      <c r="B29" s="80"/>
      <c r="C29" s="80" t="s">
        <v>45</v>
      </c>
      <c r="D29" s="81">
        <v>85676.98</v>
      </c>
      <c r="E29" s="82">
        <v>100</v>
      </c>
      <c r="F29" s="83">
        <v>85676.98</v>
      </c>
      <c r="G29" s="83">
        <v>85676.98</v>
      </c>
    </row>
    <row r="30" spans="1:7" ht="12.95" customHeight="1" x14ac:dyDescent="0.25">
      <c r="A30" s="84" t="s">
        <v>33</v>
      </c>
      <c r="D30" s="85">
        <v>85676.98</v>
      </c>
      <c r="E30" s="86"/>
      <c r="F30" s="87">
        <v>85676.98</v>
      </c>
      <c r="G30" s="87">
        <v>85676.98</v>
      </c>
    </row>
    <row r="31" spans="1:7" ht="12.95" customHeight="1" x14ac:dyDescent="0.25">
      <c r="A31" s="78" t="s">
        <v>86</v>
      </c>
      <c r="B31" s="79"/>
      <c r="C31" s="79"/>
      <c r="D31" s="79"/>
      <c r="E31" s="80"/>
      <c r="F31" s="80"/>
      <c r="G31" s="80"/>
    </row>
    <row r="32" spans="1:7" ht="12.95" customHeight="1" x14ac:dyDescent="0.25">
      <c r="A32" s="80" t="s">
        <v>87</v>
      </c>
      <c r="B32" s="80"/>
      <c r="C32" s="80" t="s">
        <v>88</v>
      </c>
      <c r="D32" s="81">
        <v>816.9</v>
      </c>
      <c r="E32" s="82">
        <v>1</v>
      </c>
      <c r="F32" s="83">
        <v>816.9</v>
      </c>
      <c r="G32" s="83">
        <v>816.9</v>
      </c>
    </row>
    <row r="33" spans="1:7" ht="12.95" customHeight="1" x14ac:dyDescent="0.25">
      <c r="A33" s="84" t="s">
        <v>89</v>
      </c>
      <c r="D33" s="85">
        <v>816.9</v>
      </c>
      <c r="E33" s="86"/>
      <c r="F33" s="87">
        <v>816.9</v>
      </c>
      <c r="G33" s="87">
        <v>816.9</v>
      </c>
    </row>
    <row r="34" spans="1:7" ht="12.95" customHeight="1" x14ac:dyDescent="0.25">
      <c r="A34" s="84" t="s">
        <v>90</v>
      </c>
      <c r="D34" s="88">
        <v>2066493.88</v>
      </c>
      <c r="E34" s="86"/>
      <c r="F34" s="89">
        <v>2128063</v>
      </c>
      <c r="G34" s="89">
        <v>1780482.7</v>
      </c>
    </row>
    <row r="35" spans="1:7" ht="12.95" customHeight="1" x14ac:dyDescent="0.25">
      <c r="A35" s="90"/>
      <c r="B35" s="90"/>
      <c r="C35" s="90"/>
      <c r="D35" s="80"/>
      <c r="E35" s="80"/>
      <c r="F35" s="80"/>
      <c r="G35" s="80"/>
    </row>
    <row r="36" spans="1:7" ht="12.95" customHeight="1" x14ac:dyDescent="0.25">
      <c r="A36" s="84" t="s">
        <v>90</v>
      </c>
      <c r="D36" s="88">
        <v>2066493.88</v>
      </c>
      <c r="E36" s="86"/>
      <c r="F36" s="89">
        <v>2128063</v>
      </c>
      <c r="G36" s="89">
        <v>1780482.7</v>
      </c>
    </row>
    <row r="37" spans="1:7" ht="12.95" customHeight="1" x14ac:dyDescent="0.25"/>
    <row r="38" spans="1:7" ht="12.95" customHeight="1" x14ac:dyDescent="0.25"/>
    <row r="39" spans="1:7" ht="12.95" customHeight="1" x14ac:dyDescent="0.25"/>
    <row r="40" spans="1:7" ht="12.95" customHeight="1" x14ac:dyDescent="0.25"/>
    <row r="41" spans="1:7" ht="12.95" customHeight="1" x14ac:dyDescent="0.25"/>
    <row r="42" spans="1:7" ht="12.95" customHeight="1" x14ac:dyDescent="0.25"/>
    <row r="43" spans="1:7" ht="12.95" customHeight="1" x14ac:dyDescent="0.25"/>
    <row r="44" spans="1:7" ht="12.95" customHeight="1" x14ac:dyDescent="0.25"/>
    <row r="45" spans="1:7" ht="12.95" customHeight="1" x14ac:dyDescent="0.25"/>
    <row r="46" spans="1:7" ht="12.95" customHeight="1" x14ac:dyDescent="0.25"/>
    <row r="47" spans="1:7" ht="12.95" customHeight="1" x14ac:dyDescent="0.25"/>
    <row r="48" spans="1:7" ht="12.95" customHeight="1" x14ac:dyDescent="0.25"/>
    <row r="49" ht="12.95" customHeight="1" x14ac:dyDescent="0.25"/>
    <row r="50" ht="12.95" customHeight="1" x14ac:dyDescent="0.25"/>
    <row r="51" ht="12.95" customHeight="1" x14ac:dyDescent="0.25"/>
    <row r="52" ht="12.95" customHeight="1" x14ac:dyDescent="0.25"/>
    <row r="53" ht="12.95" customHeight="1" x14ac:dyDescent="0.25"/>
    <row r="54" ht="12.95" customHeight="1" x14ac:dyDescent="0.25"/>
    <row r="55" ht="12.95" customHeight="1" x14ac:dyDescent="0.25"/>
    <row r="56" ht="12.95" customHeight="1" x14ac:dyDescent="0.25"/>
    <row r="57" ht="12.95" customHeight="1" x14ac:dyDescent="0.25"/>
    <row r="58" ht="12.95" customHeight="1" x14ac:dyDescent="0.25"/>
    <row r="59" ht="12.95" customHeight="1" x14ac:dyDescent="0.25"/>
    <row r="60" ht="12.95" customHeight="1" x14ac:dyDescent="0.25"/>
    <row r="61" ht="12.95" customHeight="1" x14ac:dyDescent="0.25"/>
    <row r="62" ht="12.9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82BC-3ED6-4813-B480-150B484B3A08}">
  <sheetPr>
    <tabColor rgb="FFC00000"/>
  </sheetPr>
  <dimension ref="A1:D7"/>
  <sheetViews>
    <sheetView workbookViewId="0"/>
  </sheetViews>
  <sheetFormatPr defaultRowHeight="15" x14ac:dyDescent="0.25"/>
  <cols>
    <col min="2" max="3" width="9.140625" style="108"/>
  </cols>
  <sheetData>
    <row r="1" spans="1:4" x14ac:dyDescent="0.25">
      <c r="A1" t="s">
        <v>92</v>
      </c>
      <c r="B1" s="108" t="s">
        <v>38</v>
      </c>
      <c r="C1" s="108" t="s">
        <v>93</v>
      </c>
      <c r="D1" t="s">
        <v>94</v>
      </c>
    </row>
    <row r="2" spans="1:4" x14ac:dyDescent="0.25">
      <c r="A2">
        <f>'OIP Fact Sheet Backup'!O40</f>
        <v>2015</v>
      </c>
      <c r="B2" s="108">
        <f>'OIP Fact Sheet Backup'!Q40*100</f>
        <v>1.4000000000000012</v>
      </c>
      <c r="C2" s="108">
        <f>'OIP Fact Sheet Backup'!R40*100</f>
        <v>7.0425217846769028</v>
      </c>
      <c r="D2">
        <v>1</v>
      </c>
    </row>
    <row r="3" spans="1:4" x14ac:dyDescent="0.25">
      <c r="A3">
        <f>'OIP Fact Sheet Backup'!O41</f>
        <v>2016</v>
      </c>
      <c r="B3" s="108">
        <f>'OIP Fact Sheet Backup'!Q41*100</f>
        <v>15.868441814595657</v>
      </c>
      <c r="C3" s="108">
        <f>'OIP Fact Sheet Backup'!R41*100</f>
        <v>11.959912078710499</v>
      </c>
      <c r="D3">
        <v>2</v>
      </c>
    </row>
    <row r="4" spans="1:4" x14ac:dyDescent="0.25">
      <c r="A4">
        <f>'OIP Fact Sheet Backup'!O42</f>
        <v>2017</v>
      </c>
      <c r="B4" s="108">
        <f>'OIP Fact Sheet Backup'!Q42*100</f>
        <v>22.261951168859472</v>
      </c>
      <c r="C4" s="108">
        <f>'OIP Fact Sheet Backup'!R42*100</f>
        <v>21.831601482707285</v>
      </c>
      <c r="D4">
        <v>3</v>
      </c>
    </row>
    <row r="5" spans="1:4" x14ac:dyDescent="0.25">
      <c r="A5">
        <f>'OIP Fact Sheet Backup'!O43</f>
        <v>2018</v>
      </c>
      <c r="B5" s="108">
        <f>'OIP Fact Sheet Backup'!Q43*100</f>
        <v>-4.534819205228402</v>
      </c>
      <c r="C5" s="108">
        <f>'OIP Fact Sheet Backup'!R43*100</f>
        <v>-4.384241745255812</v>
      </c>
      <c r="D5">
        <v>4</v>
      </c>
    </row>
    <row r="6" spans="1:4" x14ac:dyDescent="0.25">
      <c r="A6">
        <f>'OIP Fact Sheet Backup'!O44</f>
        <v>2019</v>
      </c>
      <c r="B6" s="108">
        <f>'OIP Fact Sheet Backup'!Q44*100</f>
        <v>29.006899911180597</v>
      </c>
      <c r="C6" s="108">
        <f>'OIP Fact Sheet Backup'!R44*100</f>
        <v>31.486370986834444</v>
      </c>
      <c r="D6">
        <v>5</v>
      </c>
    </row>
    <row r="7" spans="1:4" x14ac:dyDescent="0.25">
      <c r="A7" t="str">
        <f>'OIP Fact Sheet Backup'!O45</f>
        <v>2020 YTD</v>
      </c>
      <c r="B7" s="108">
        <f>'OIP Fact Sheet Backup'!Q45*100</f>
        <v>-29.998304222486006</v>
      </c>
      <c r="C7" s="108">
        <f>'OIP Fact Sheet Backup'!R45*100</f>
        <v>-19.59802062082192</v>
      </c>
      <c r="D7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9851-9267-495D-A2F1-B865081A09AE}">
  <sheetPr>
    <tabColor rgb="FFC00000"/>
  </sheetPr>
  <dimension ref="A1:G6"/>
  <sheetViews>
    <sheetView workbookViewId="0">
      <selection activeCell="A4" sqref="A4"/>
    </sheetView>
  </sheetViews>
  <sheetFormatPr defaultRowHeight="15" x14ac:dyDescent="0.25"/>
  <cols>
    <col min="1" max="1" width="22" bestFit="1" customWidth="1"/>
    <col min="2" max="5" width="9.140625" style="108"/>
    <col min="6" max="6" width="14.140625" style="108" bestFit="1" customWidth="1"/>
  </cols>
  <sheetData>
    <row r="1" spans="1:7" x14ac:dyDescent="0.25">
      <c r="A1" t="str">
        <f>'OIP Fact Sheet Backup'!G11</f>
        <v>Share Class/Benchmark</v>
      </c>
      <c r="B1" s="108" t="str">
        <f>'OIP Fact Sheet Backup'!H11</f>
        <v>3MOS</v>
      </c>
      <c r="C1" s="108" t="str">
        <f>'OIP Fact Sheet Backup'!I11</f>
        <v>YTD</v>
      </c>
      <c r="D1" s="108" t="str">
        <f>'OIP Fact Sheet Backup'!J11</f>
        <v>1YR</v>
      </c>
      <c r="E1" s="108" t="str">
        <f>'OIP Fact Sheet Backup'!K11</f>
        <v>3YR</v>
      </c>
      <c r="F1" s="108" t="str">
        <f>'OIP Fact Sheet Backup'!L11</f>
        <v>Ann. Inception</v>
      </c>
      <c r="G1" t="s">
        <v>94</v>
      </c>
    </row>
    <row r="2" spans="1:7" x14ac:dyDescent="0.25">
      <c r="A2" t="str">
        <f>'OIP Fact Sheet Backup'!G12</f>
        <v>Class A</v>
      </c>
      <c r="B2" s="108">
        <f>'OIP Fact Sheet Backup'!H12</f>
        <v>-30.049999999999997</v>
      </c>
      <c r="C2" s="108">
        <f>'OIP Fact Sheet Backup'!I12</f>
        <v>-30.049999999999997</v>
      </c>
      <c r="D2" s="108">
        <f>'OIP Fact Sheet Backup'!J12</f>
        <v>-23.94</v>
      </c>
      <c r="E2" s="108">
        <f>'OIP Fact Sheet Backup'!K12</f>
        <v>-0.19</v>
      </c>
      <c r="F2" s="108">
        <f>'OIP Fact Sheet Backup'!L12</f>
        <v>4.62</v>
      </c>
      <c r="G2">
        <v>1</v>
      </c>
    </row>
    <row r="3" spans="1:7" x14ac:dyDescent="0.25">
      <c r="A3" t="str">
        <f>'OIP Fact Sheet Backup'!G13</f>
        <v>Class C</v>
      </c>
      <c r="B3" s="108">
        <f>'OIP Fact Sheet Backup'!H13</f>
        <v>-30.209999999999997</v>
      </c>
      <c r="C3" s="108">
        <f>'OIP Fact Sheet Backup'!I13</f>
        <v>-30.209999999999997</v>
      </c>
      <c r="D3" s="108">
        <f>'OIP Fact Sheet Backup'!J13</f>
        <v>-24.54</v>
      </c>
      <c r="E3" s="108">
        <f>'OIP Fact Sheet Backup'!K13</f>
        <v>-0.95</v>
      </c>
      <c r="F3" s="108">
        <f>'OIP Fact Sheet Backup'!L13</f>
        <v>3.81</v>
      </c>
      <c r="G3">
        <v>2</v>
      </c>
    </row>
    <row r="4" spans="1:7" x14ac:dyDescent="0.25">
      <c r="A4" t="str">
        <f>'OIP Fact Sheet Backup'!G14</f>
        <v>Class I</v>
      </c>
      <c r="B4" s="108">
        <f>'OIP Fact Sheet Backup'!H14</f>
        <v>-29.998304222486009</v>
      </c>
      <c r="C4" s="108">
        <f>'OIP Fact Sheet Backup'!I14</f>
        <v>-29.998304222486006</v>
      </c>
      <c r="D4" s="108">
        <f>'OIP Fact Sheet Backup'!J14</f>
        <v>-23.782983369378041</v>
      </c>
      <c r="E4" s="108">
        <f>'OIP Fact Sheet Backup'!K14</f>
        <v>7.4831925723195525E-2</v>
      </c>
      <c r="F4" s="108">
        <f>'OIP Fact Sheet Backup'!L14</f>
        <v>4.8599999999999994</v>
      </c>
      <c r="G4">
        <v>3</v>
      </c>
    </row>
    <row r="5" spans="1:7" x14ac:dyDescent="0.25">
      <c r="A5" t="s">
        <v>100</v>
      </c>
      <c r="B5" s="108">
        <f>'OIP Fact Sheet Backup'!H15</f>
        <v>-19.59802062082192</v>
      </c>
      <c r="C5" s="108">
        <f>'OIP Fact Sheet Backup'!I15</f>
        <v>-19.59802062082192</v>
      </c>
      <c r="D5" s="108">
        <f>'OIP Fact Sheet Backup'!J15</f>
        <v>-6.9778937445051925</v>
      </c>
      <c r="E5" s="108">
        <f>'OIP Fact Sheet Backup'!K15</f>
        <v>5.1041904734265842</v>
      </c>
      <c r="F5" s="108">
        <f>'OIP Fact Sheet Backup'!L15</f>
        <v>9.0355083318856657</v>
      </c>
      <c r="G5">
        <v>4</v>
      </c>
    </row>
    <row r="6" spans="1:7" x14ac:dyDescent="0.25">
      <c r="A6" t="str">
        <f>'OIP Fact Sheet Backup'!G16</f>
        <v>Class A w/ Sales Charge</v>
      </c>
      <c r="B6" s="108">
        <f>'OIP Fact Sheet Backup'!H16</f>
        <v>-34.1</v>
      </c>
      <c r="C6" s="108">
        <f>'OIP Fact Sheet Backup'!I16</f>
        <v>-34.1</v>
      </c>
      <c r="D6" s="108">
        <f>'OIP Fact Sheet Backup'!J16</f>
        <v>-28.299999999999997</v>
      </c>
      <c r="E6" s="108">
        <f>'OIP Fact Sheet Backup'!K16</f>
        <v>-2.13</v>
      </c>
      <c r="F6" s="108">
        <f>'OIP Fact Sheet Backup'!L16</f>
        <v>3.26</v>
      </c>
      <c r="G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5FB5-D912-40DC-9C08-29FC1A90D6D2}">
  <sheetPr>
    <tabColor rgb="FFC00000"/>
  </sheetPr>
  <dimension ref="A1:E6"/>
  <sheetViews>
    <sheetView workbookViewId="0">
      <selection activeCell="B1" sqref="B1:B1048576"/>
    </sheetView>
  </sheetViews>
  <sheetFormatPr defaultRowHeight="15" x14ac:dyDescent="0.25"/>
  <cols>
    <col min="1" max="1" width="25.28515625" customWidth="1"/>
    <col min="2" max="2" width="18.28515625" style="114" customWidth="1"/>
    <col min="4" max="4" width="22" customWidth="1"/>
  </cols>
  <sheetData>
    <row r="1" spans="1:5" x14ac:dyDescent="0.25">
      <c r="A1" t="s">
        <v>95</v>
      </c>
      <c r="B1" s="114" t="s">
        <v>96</v>
      </c>
      <c r="C1" t="s">
        <v>94</v>
      </c>
      <c r="D1" t="s">
        <v>97</v>
      </c>
      <c r="E1" t="s">
        <v>98</v>
      </c>
    </row>
    <row r="2" spans="1:5" x14ac:dyDescent="0.25">
      <c r="A2" t="str">
        <f>'OIP Portfolio'!A4</f>
        <v>Corporate Bonds</v>
      </c>
      <c r="B2" s="114">
        <f>'OIP Portfolio'!B4*100</f>
        <v>35.435014336280837</v>
      </c>
      <c r="C2">
        <v>1</v>
      </c>
      <c r="D2" t="str">
        <f>'OIP Portfolio'!A9</f>
        <v>S&amp;P 500 Exposure:</v>
      </c>
      <c r="E2" s="109">
        <f>'OIP Portfolio'!B9</f>
        <v>0</v>
      </c>
    </row>
    <row r="3" spans="1:5" x14ac:dyDescent="0.25">
      <c r="A3" t="str">
        <f>'OIP Portfolio'!A5</f>
        <v>Convertible Bonds</v>
      </c>
      <c r="B3" s="114">
        <f>'OIP Portfolio'!B5*100</f>
        <v>59.707096283496611</v>
      </c>
      <c r="C3">
        <v>2</v>
      </c>
      <c r="D3" t="s">
        <v>99</v>
      </c>
      <c r="E3" t="s">
        <v>99</v>
      </c>
    </row>
    <row r="4" spans="1:5" x14ac:dyDescent="0.25">
      <c r="A4" t="str">
        <f>'OIP Portfolio'!A8</f>
        <v>Cash</v>
      </c>
      <c r="B4" s="114">
        <f>'OIP Portfolio'!B8*100</f>
        <v>4.8578893802225656</v>
      </c>
      <c r="C4">
        <v>3</v>
      </c>
      <c r="D4" t="s">
        <v>99</v>
      </c>
      <c r="E4" t="s">
        <v>99</v>
      </c>
    </row>
    <row r="5" spans="1:5" x14ac:dyDescent="0.25">
      <c r="A5" t="str">
        <f>'OIP Portfolio'!A6</f>
        <v>U.S. Govt Securities</v>
      </c>
      <c r="B5" s="114">
        <f>'OIP Portfolio'!B6*100</f>
        <v>0</v>
      </c>
      <c r="C5">
        <v>4</v>
      </c>
      <c r="D5" t="s">
        <v>99</v>
      </c>
      <c r="E5" t="s">
        <v>99</v>
      </c>
    </row>
    <row r="6" spans="1:5" x14ac:dyDescent="0.25">
      <c r="A6" t="str">
        <f>'OIP Portfolio'!A7</f>
        <v>IPO Trades</v>
      </c>
      <c r="B6" s="114">
        <f>'OIP Portfolio'!B7*100</f>
        <v>0</v>
      </c>
      <c r="C6">
        <v>5</v>
      </c>
      <c r="D6" t="s">
        <v>99</v>
      </c>
      <c r="E6" t="s">
        <v>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OIP Fact Sheet Backup</vt:lpstr>
      <vt:lpstr>OIP Portfolio</vt:lpstr>
      <vt:lpstr>OIP</vt:lpstr>
      <vt:lpstr>OIP_EXPORT_AnnualReturn</vt:lpstr>
      <vt:lpstr>OIP_EXPORT_PerformanceTable</vt:lpstr>
      <vt:lpstr>OIP_EXPORT_PortfolioAllocation</vt:lpstr>
      <vt:lpstr>OIP!Print_Titles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2020-04-03T18:02:06Z</dcterms:modified>
</cp:coreProperties>
</file>