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TRX\"/>
    </mc:Choice>
  </mc:AlternateContent>
  <xr:revisionPtr revIDLastSave="0" documentId="13_ncr:1_{2001B2FC-05B1-46A4-AA8B-9A8AAC03DA24}" xr6:coauthVersionLast="46" xr6:coauthVersionMax="46" xr10:uidLastSave="{00000000-0000-0000-0000-000000000000}"/>
  <bookViews>
    <workbookView xWindow="-108" yWindow="-108" windowWidth="23256" windowHeight="12576" tabRatio="806" xr2:uid="{00000000-000D-0000-FFFF-FFFF00000000}"/>
  </bookViews>
  <sheets>
    <sheet name="TRX Fact Sheet Backup" sheetId="1" r:id="rId1"/>
    <sheet name="TRX Portfolio" sheetId="2" r:id="rId2"/>
    <sheet name="TRX_EXPORT_10kChart" sheetId="3" r:id="rId3"/>
    <sheet name="TRX_EXPORT_AnnualReturn" sheetId="4" r:id="rId4"/>
    <sheet name="TRX_EXPORT_PerformanceTable" sheetId="5" r:id="rId5"/>
    <sheet name="TRX_EXPORT_Perf&amp;RiskStatistics" sheetId="6" r:id="rId6"/>
    <sheet name="TRX_EXPORT_TopHoldings" sheetId="7" r:id="rId7"/>
    <sheet name="TRX_EXPORT_PortfolioAllocation" sheetId="8" r:id="rId8"/>
    <sheet name="TRX_EXPORT_PortCharacteristics" sheetId="9" r:id="rId9"/>
    <sheet name="TRX_EXPORT_PortfolioAssetAllo" sheetId="10" r:id="rId10"/>
    <sheet name="TRX_EXPORT_CapitalizationComp" sheetId="11" r:id="rId11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6" i="1" l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M43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O33" i="1"/>
  <c r="N33" i="1"/>
  <c r="D33" i="1"/>
  <c r="C33" i="1"/>
  <c r="D32" i="1"/>
  <c r="C32" i="1"/>
  <c r="D31" i="1"/>
  <c r="C31" i="1"/>
  <c r="P30" i="1"/>
  <c r="O30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U22" i="1"/>
  <c r="M22" i="1"/>
  <c r="D22" i="1"/>
  <c r="C22" i="1"/>
  <c r="U21" i="1"/>
  <c r="D21" i="1"/>
  <c r="C21" i="1"/>
  <c r="D20" i="1"/>
  <c r="C20" i="1"/>
  <c r="V19" i="1"/>
  <c r="V15" i="1" s="1"/>
  <c r="M19" i="1"/>
  <c r="D19" i="1"/>
  <c r="C19" i="1"/>
  <c r="V18" i="1"/>
  <c r="D18" i="1"/>
  <c r="C18" i="1"/>
  <c r="V17" i="1"/>
  <c r="D17" i="1"/>
  <c r="C17" i="1"/>
  <c r="V16" i="1"/>
  <c r="D16" i="1"/>
  <c r="C16" i="1"/>
  <c r="D15" i="1"/>
  <c r="C15" i="1"/>
  <c r="S14" i="1"/>
  <c r="R14" i="1"/>
  <c r="Q14" i="1"/>
  <c r="P14" i="1"/>
  <c r="O14" i="1"/>
  <c r="N14" i="1"/>
  <c r="D14" i="1"/>
  <c r="C14" i="1"/>
  <c r="D13" i="1"/>
  <c r="C13" i="1"/>
  <c r="Y12" i="1"/>
  <c r="X12" i="1"/>
  <c r="W12" i="1"/>
  <c r="P12" i="1"/>
  <c r="O12" i="1"/>
  <c r="D12" i="1"/>
  <c r="C12" i="1"/>
  <c r="D11" i="1"/>
  <c r="C11" i="1"/>
  <c r="P10" i="1"/>
  <c r="O10" i="1"/>
  <c r="D10" i="1"/>
  <c r="C10" i="1"/>
  <c r="P9" i="1"/>
  <c r="D9" i="1"/>
  <c r="C9" i="1"/>
  <c r="D8" i="1"/>
  <c r="C8" i="1"/>
  <c r="P7" i="1"/>
  <c r="O7" i="1"/>
  <c r="N7" i="1"/>
  <c r="D7" i="1"/>
  <c r="C7" i="1"/>
  <c r="D6" i="1"/>
  <c r="C6" i="1"/>
  <c r="D5" i="1"/>
  <c r="C5" i="1"/>
  <c r="H4" i="1"/>
  <c r="H5" i="1" s="1"/>
  <c r="D4" i="1"/>
  <c r="C4" i="1"/>
  <c r="N12" i="1" s="1"/>
  <c r="A4" i="1"/>
  <c r="O3" i="1"/>
  <c r="H3" i="1"/>
  <c r="E3" i="1"/>
  <c r="D3" i="1"/>
  <c r="C3" i="1"/>
  <c r="N30" i="1" s="1"/>
  <c r="B5" i="5"/>
  <c r="C5" i="5"/>
  <c r="D5" i="5"/>
  <c r="E5" i="5"/>
  <c r="F5" i="5"/>
  <c r="G5" i="5"/>
  <c r="B7" i="5"/>
  <c r="C7" i="5"/>
  <c r="D7" i="5"/>
  <c r="E7" i="5"/>
  <c r="F7" i="5"/>
  <c r="G7" i="5"/>
  <c r="B8" i="5"/>
  <c r="C8" i="5"/>
  <c r="D8" i="5"/>
  <c r="E8" i="5"/>
  <c r="F8" i="5"/>
  <c r="G8" i="5"/>
  <c r="G9" i="5"/>
  <c r="C11" i="4"/>
  <c r="E6" i="2"/>
  <c r="E5" i="2"/>
  <c r="H6" i="1" l="1"/>
  <c r="N27" i="1"/>
  <c r="G3" i="1"/>
  <c r="E4" i="1"/>
  <c r="V13" i="1"/>
  <c r="N3" i="1"/>
  <c r="N2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N9" i="1"/>
  <c r="N10" i="1"/>
  <c r="B114" i="3"/>
  <c r="B115" i="3"/>
  <c r="B116" i="3"/>
  <c r="W18" i="1" l="1"/>
  <c r="N41" i="1"/>
  <c r="P26" i="1"/>
  <c r="N36" i="1"/>
  <c r="O26" i="1"/>
  <c r="J4" i="1"/>
  <c r="N40" i="1"/>
  <c r="W19" i="1"/>
  <c r="J3" i="1"/>
  <c r="X18" i="1"/>
  <c r="N42" i="1"/>
  <c r="Q42" i="1" s="1"/>
  <c r="B10" i="4" s="1"/>
  <c r="W17" i="1"/>
  <c r="N37" i="1"/>
  <c r="Q37" i="1" s="1"/>
  <c r="B5" i="4" s="1"/>
  <c r="W14" i="1"/>
  <c r="N43" i="1"/>
  <c r="Q43" i="1" s="1"/>
  <c r="B11" i="4" s="1"/>
  <c r="N39" i="1"/>
  <c r="W13" i="1"/>
  <c r="W16" i="1"/>
  <c r="Y18" i="1"/>
  <c r="N34" i="1"/>
  <c r="Q34" i="1" s="1"/>
  <c r="B2" i="4" s="1"/>
  <c r="N38" i="1"/>
  <c r="Q38" i="1" s="1"/>
  <c r="B6" i="4" s="1"/>
  <c r="G4" i="1"/>
  <c r="E5" i="1"/>
  <c r="N35" i="1"/>
  <c r="Q35" i="1" s="1"/>
  <c r="B3" i="4" s="1"/>
  <c r="H7" i="1"/>
  <c r="W15" i="1"/>
  <c r="B111" i="3"/>
  <c r="B112" i="3"/>
  <c r="B113" i="3"/>
  <c r="W24" i="1" l="1"/>
  <c r="Q15" i="1" s="1"/>
  <c r="W26" i="1"/>
  <c r="W23" i="1"/>
  <c r="P15" i="1" s="1"/>
  <c r="W22" i="1"/>
  <c r="O15" i="1" s="1"/>
  <c r="W25" i="1"/>
  <c r="R15" i="1" s="1"/>
  <c r="W27" i="1"/>
  <c r="N28" i="1" s="1"/>
  <c r="W21" i="1"/>
  <c r="N15" i="1" s="1"/>
  <c r="Q36" i="1"/>
  <c r="B4" i="4" s="1"/>
  <c r="H8" i="1"/>
  <c r="Q39" i="1"/>
  <c r="B7" i="4" s="1"/>
  <c r="Q40" i="1"/>
  <c r="B8" i="4" s="1"/>
  <c r="G5" i="1"/>
  <c r="J5" i="1" s="1"/>
  <c r="E6" i="1"/>
  <c r="Q41" i="1"/>
  <c r="B9" i="4" s="1"/>
  <c r="B108" i="3"/>
  <c r="B109" i="3"/>
  <c r="B110" i="3"/>
  <c r="N29" i="1" l="1"/>
  <c r="S15" i="1"/>
  <c r="H9" i="1"/>
  <c r="G6" i="1"/>
  <c r="J6" i="1" s="1"/>
  <c r="E7" i="1"/>
  <c r="B4" i="6"/>
  <c r="B3" i="6"/>
  <c r="B105" i="3"/>
  <c r="B106" i="3"/>
  <c r="B107" i="3"/>
  <c r="C6" i="6"/>
  <c r="B6" i="6"/>
  <c r="B3" i="11"/>
  <c r="B4" i="11"/>
  <c r="B5" i="11"/>
  <c r="B2" i="11"/>
  <c r="A3" i="11"/>
  <c r="A4" i="11"/>
  <c r="A5" i="11"/>
  <c r="A2" i="11"/>
  <c r="B3" i="10"/>
  <c r="B4" i="10"/>
  <c r="B5" i="10"/>
  <c r="B2" i="10"/>
  <c r="A3" i="10"/>
  <c r="A4" i="10"/>
  <c r="A5" i="10"/>
  <c r="A2" i="10"/>
  <c r="B5" i="9"/>
  <c r="B2" i="9"/>
  <c r="B3" i="9"/>
  <c r="B4" i="9"/>
  <c r="B6" i="9"/>
  <c r="A3" i="9"/>
  <c r="A4" i="9"/>
  <c r="A5" i="9"/>
  <c r="A6" i="9"/>
  <c r="A2" i="9"/>
  <c r="B3" i="8"/>
  <c r="B4" i="8"/>
  <c r="B5" i="8"/>
  <c r="B6" i="8"/>
  <c r="B7" i="8"/>
  <c r="B8" i="8"/>
  <c r="B9" i="8"/>
  <c r="B10" i="8"/>
  <c r="B11" i="8"/>
  <c r="B12" i="8"/>
  <c r="B2" i="8"/>
  <c r="A3" i="8"/>
  <c r="A4" i="8"/>
  <c r="A5" i="8"/>
  <c r="A6" i="8"/>
  <c r="A7" i="8"/>
  <c r="A8" i="8"/>
  <c r="A9" i="8"/>
  <c r="A10" i="8"/>
  <c r="A11" i="8"/>
  <c r="A12" i="8"/>
  <c r="A2" i="8"/>
  <c r="B3" i="7"/>
  <c r="B4" i="7"/>
  <c r="B5" i="7"/>
  <c r="B6" i="7"/>
  <c r="B7" i="7"/>
  <c r="B8" i="7"/>
  <c r="B9" i="7"/>
  <c r="B10" i="7"/>
  <c r="B11" i="7"/>
  <c r="B2" i="7"/>
  <c r="A3" i="7"/>
  <c r="A4" i="7"/>
  <c r="A5" i="7"/>
  <c r="A6" i="7"/>
  <c r="A7" i="7"/>
  <c r="A8" i="7"/>
  <c r="A9" i="7"/>
  <c r="A10" i="7"/>
  <c r="A11" i="7"/>
  <c r="A2" i="7"/>
  <c r="C3" i="6"/>
  <c r="C4" i="6"/>
  <c r="C2" i="6"/>
  <c r="B3" i="5"/>
  <c r="C3" i="5"/>
  <c r="D3" i="5"/>
  <c r="E3" i="5"/>
  <c r="F3" i="5"/>
  <c r="G3" i="5"/>
  <c r="B1" i="5"/>
  <c r="C1" i="5"/>
  <c r="D1" i="5"/>
  <c r="E1" i="5"/>
  <c r="F1" i="5"/>
  <c r="G1" i="5"/>
  <c r="A1" i="5"/>
  <c r="C3" i="3"/>
  <c r="C4" i="3"/>
  <c r="C5" i="3"/>
  <c r="C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2" i="3"/>
  <c r="A3" i="3"/>
  <c r="A4" i="3"/>
  <c r="A5" i="3"/>
  <c r="A2" i="3"/>
  <c r="H10" i="1" l="1"/>
  <c r="J7" i="1"/>
  <c r="N11" i="1"/>
  <c r="E8" i="1"/>
  <c r="G7" i="1"/>
  <c r="C7" i="3"/>
  <c r="A6" i="3"/>
  <c r="H11" i="1" l="1"/>
  <c r="E9" i="1"/>
  <c r="G8" i="1"/>
  <c r="J8" i="1" s="1"/>
  <c r="O34" i="1"/>
  <c r="R34" i="1" s="1"/>
  <c r="C2" i="4" s="1"/>
  <c r="C8" i="3"/>
  <c r="A7" i="3"/>
  <c r="E10" i="1" l="1"/>
  <c r="G9" i="1"/>
  <c r="J9" i="1"/>
  <c r="H12" i="1"/>
  <c r="C9" i="3"/>
  <c r="A8" i="3"/>
  <c r="H13" i="1" l="1"/>
  <c r="E11" i="1"/>
  <c r="G10" i="1"/>
  <c r="A9" i="3"/>
  <c r="C10" i="3"/>
  <c r="G11" i="1" l="1"/>
  <c r="J11" i="1" s="1"/>
  <c r="E12" i="1"/>
  <c r="H14" i="1"/>
  <c r="J10" i="1"/>
  <c r="C11" i="3"/>
  <c r="A10" i="3"/>
  <c r="H15" i="1" l="1"/>
  <c r="E13" i="1"/>
  <c r="G12" i="1"/>
  <c r="A11" i="3"/>
  <c r="C12" i="3"/>
  <c r="E14" i="1" l="1"/>
  <c r="G13" i="1"/>
  <c r="J13" i="1" s="1"/>
  <c r="H16" i="1"/>
  <c r="J12" i="1"/>
  <c r="A114" i="3"/>
  <c r="A108" i="3"/>
  <c r="C13" i="3"/>
  <c r="A12" i="3"/>
  <c r="H17" i="1" l="1"/>
  <c r="E15" i="1"/>
  <c r="G14" i="1"/>
  <c r="A115" i="3"/>
  <c r="A109" i="3"/>
  <c r="A13" i="3"/>
  <c r="C14" i="3"/>
  <c r="J14" i="1" l="1"/>
  <c r="H18" i="1"/>
  <c r="G15" i="1"/>
  <c r="J15" i="1" s="1"/>
  <c r="E16" i="1"/>
  <c r="A116" i="3"/>
  <c r="A110" i="3"/>
  <c r="C15" i="3"/>
  <c r="A14" i="3"/>
  <c r="G16" i="1" l="1"/>
  <c r="E17" i="1"/>
  <c r="J16" i="1"/>
  <c r="H19" i="1"/>
  <c r="A111" i="3"/>
  <c r="A15" i="3"/>
  <c r="C16" i="3"/>
  <c r="G17" i="1" l="1"/>
  <c r="E18" i="1"/>
  <c r="H20" i="1"/>
  <c r="J17" i="1"/>
  <c r="A112" i="3"/>
  <c r="C17" i="3"/>
  <c r="A16" i="3"/>
  <c r="H21" i="1" l="1"/>
  <c r="E19" i="1"/>
  <c r="G18" i="1"/>
  <c r="A113" i="3"/>
  <c r="A17" i="3"/>
  <c r="C18" i="3"/>
  <c r="G19" i="1" l="1"/>
  <c r="J19" i="1" s="1"/>
  <c r="E20" i="1"/>
  <c r="J18" i="1"/>
  <c r="H22" i="1"/>
  <c r="C19" i="3"/>
  <c r="A18" i="3"/>
  <c r="H23" i="1" l="1"/>
  <c r="E21" i="1"/>
  <c r="G20" i="1"/>
  <c r="O35" i="1"/>
  <c r="R35" i="1" s="1"/>
  <c r="C3" i="4" s="1"/>
  <c r="C20" i="3"/>
  <c r="A19" i="3"/>
  <c r="J20" i="1" l="1"/>
  <c r="G21" i="1"/>
  <c r="J21" i="1" s="1"/>
  <c r="E22" i="1"/>
  <c r="H24" i="1"/>
  <c r="A20" i="3"/>
  <c r="C21" i="3"/>
  <c r="G22" i="1" l="1"/>
  <c r="E23" i="1"/>
  <c r="H25" i="1"/>
  <c r="C22" i="3"/>
  <c r="A21" i="3"/>
  <c r="E24" i="1" l="1"/>
  <c r="G23" i="1"/>
  <c r="H26" i="1"/>
  <c r="J23" i="1"/>
  <c r="J22" i="1"/>
  <c r="A22" i="3"/>
  <c r="C23" i="3"/>
  <c r="H27" i="1" l="1"/>
  <c r="G24" i="1"/>
  <c r="E25" i="1"/>
  <c r="C24" i="3"/>
  <c r="A23" i="3"/>
  <c r="E26" i="1" l="1"/>
  <c r="G25" i="1"/>
  <c r="J25" i="1" s="1"/>
  <c r="J24" i="1"/>
  <c r="H28" i="1"/>
  <c r="A24" i="3"/>
  <c r="C25" i="3"/>
  <c r="H29" i="1" l="1"/>
  <c r="E27" i="1"/>
  <c r="G26" i="1"/>
  <c r="C26" i="3"/>
  <c r="A25" i="3"/>
  <c r="E28" i="1" l="1"/>
  <c r="G27" i="1"/>
  <c r="H30" i="1"/>
  <c r="J27" i="1"/>
  <c r="J26" i="1"/>
  <c r="A26" i="3"/>
  <c r="C27" i="3"/>
  <c r="H31" i="1" l="1"/>
  <c r="E29" i="1"/>
  <c r="G28" i="1"/>
  <c r="C28" i="3"/>
  <c r="A27" i="3"/>
  <c r="J28" i="1" l="1"/>
  <c r="G29" i="1"/>
  <c r="J29" i="1" s="1"/>
  <c r="E30" i="1"/>
  <c r="H32" i="1"/>
  <c r="A28" i="3"/>
  <c r="C29" i="3"/>
  <c r="H33" i="1" l="1"/>
  <c r="E31" i="1"/>
  <c r="G30" i="1"/>
  <c r="C30" i="3"/>
  <c r="A29" i="3"/>
  <c r="J30" i="1" l="1"/>
  <c r="E32" i="1"/>
  <c r="G31" i="1"/>
  <c r="J31" i="1" s="1"/>
  <c r="H34" i="1"/>
  <c r="C31" i="3"/>
  <c r="A30" i="3"/>
  <c r="H35" i="1" l="1"/>
  <c r="G32" i="1"/>
  <c r="E33" i="1"/>
  <c r="O36" i="1"/>
  <c r="R36" i="1" s="1"/>
  <c r="C4" i="4" s="1"/>
  <c r="A31" i="3"/>
  <c r="C32" i="3"/>
  <c r="E34" i="1" l="1"/>
  <c r="G33" i="1"/>
  <c r="J33" i="1"/>
  <c r="J32" i="1"/>
  <c r="H36" i="1"/>
  <c r="C33" i="3"/>
  <c r="A32" i="3"/>
  <c r="H37" i="1" l="1"/>
  <c r="G34" i="1"/>
  <c r="E35" i="1"/>
  <c r="C34" i="3"/>
  <c r="A33" i="3"/>
  <c r="J34" i="1" l="1"/>
  <c r="E36" i="1"/>
  <c r="G35" i="1"/>
  <c r="J35" i="1" s="1"/>
  <c r="H38" i="1"/>
  <c r="A34" i="3"/>
  <c r="C35" i="3"/>
  <c r="H39" i="1" l="1"/>
  <c r="E37" i="1"/>
  <c r="G36" i="1"/>
  <c r="C36" i="3"/>
  <c r="A35" i="3"/>
  <c r="J36" i="1" l="1"/>
  <c r="E38" i="1"/>
  <c r="G37" i="1"/>
  <c r="J37" i="1" s="1"/>
  <c r="H40" i="1"/>
  <c r="A36" i="3"/>
  <c r="C37" i="3"/>
  <c r="H41" i="1" l="1"/>
  <c r="E39" i="1"/>
  <c r="G38" i="1"/>
  <c r="C38" i="3"/>
  <c r="A37" i="3"/>
  <c r="J38" i="1" l="1"/>
  <c r="G39" i="1"/>
  <c r="J39" i="1" s="1"/>
  <c r="E40" i="1"/>
  <c r="H42" i="1"/>
  <c r="A38" i="3"/>
  <c r="C39" i="3"/>
  <c r="H43" i="1" l="1"/>
  <c r="G40" i="1"/>
  <c r="E41" i="1"/>
  <c r="C40" i="3"/>
  <c r="A39" i="3"/>
  <c r="E42" i="1" l="1"/>
  <c r="G41" i="1"/>
  <c r="J40" i="1"/>
  <c r="J41" i="1"/>
  <c r="H44" i="1"/>
  <c r="A40" i="3"/>
  <c r="C41" i="3"/>
  <c r="H45" i="1" l="1"/>
  <c r="G42" i="1"/>
  <c r="E43" i="1"/>
  <c r="C42" i="3"/>
  <c r="A41" i="3"/>
  <c r="E44" i="1" l="1"/>
  <c r="G43" i="1"/>
  <c r="J42" i="1"/>
  <c r="J43" i="1"/>
  <c r="H46" i="1"/>
  <c r="A42" i="3"/>
  <c r="C43" i="3"/>
  <c r="H47" i="1" l="1"/>
  <c r="E45" i="1"/>
  <c r="G44" i="1"/>
  <c r="O37" i="1"/>
  <c r="R37" i="1" s="1"/>
  <c r="C5" i="4" s="1"/>
  <c r="C44" i="3"/>
  <c r="A43" i="3"/>
  <c r="J44" i="1" l="1"/>
  <c r="G45" i="1"/>
  <c r="E46" i="1"/>
  <c r="H48" i="1"/>
  <c r="C45" i="3"/>
  <c r="A44" i="3"/>
  <c r="H49" i="1" l="1"/>
  <c r="G46" i="1"/>
  <c r="E47" i="1"/>
  <c r="J45" i="1"/>
  <c r="A45" i="3"/>
  <c r="C46" i="3"/>
  <c r="G47" i="1" l="1"/>
  <c r="J47" i="1" s="1"/>
  <c r="E48" i="1"/>
  <c r="H50" i="1"/>
  <c r="J46" i="1"/>
  <c r="C47" i="3"/>
  <c r="A46" i="3"/>
  <c r="H51" i="1" l="1"/>
  <c r="E49" i="1"/>
  <c r="G48" i="1"/>
  <c r="A47" i="3"/>
  <c r="C48" i="3"/>
  <c r="J48" i="1" l="1"/>
  <c r="E50" i="1"/>
  <c r="G49" i="1"/>
  <c r="H52" i="1"/>
  <c r="C49" i="3"/>
  <c r="A48" i="3"/>
  <c r="H53" i="1" l="1"/>
  <c r="G50" i="1"/>
  <c r="J50" i="1" s="1"/>
  <c r="E51" i="1"/>
  <c r="J49" i="1"/>
  <c r="A49" i="3"/>
  <c r="C50" i="3"/>
  <c r="G51" i="1" l="1"/>
  <c r="E52" i="1"/>
  <c r="J51" i="1"/>
  <c r="H54" i="1"/>
  <c r="C51" i="3"/>
  <c r="A50" i="3"/>
  <c r="H55" i="1" l="1"/>
  <c r="E53" i="1"/>
  <c r="G52" i="1"/>
  <c r="A51" i="3"/>
  <c r="C52" i="3"/>
  <c r="G53" i="1" l="1"/>
  <c r="E54" i="1"/>
  <c r="J52" i="1"/>
  <c r="J53" i="1"/>
  <c r="H56" i="1"/>
  <c r="C53" i="3"/>
  <c r="A52" i="3"/>
  <c r="G54" i="1" l="1"/>
  <c r="E55" i="1"/>
  <c r="H57" i="1"/>
  <c r="Y17" i="1"/>
  <c r="A53" i="3"/>
  <c r="C54" i="3"/>
  <c r="H58" i="1" l="1"/>
  <c r="G55" i="1"/>
  <c r="E56" i="1"/>
  <c r="J55" i="1"/>
  <c r="J54" i="1"/>
  <c r="C55" i="3"/>
  <c r="A54" i="3"/>
  <c r="E57" i="1" l="1"/>
  <c r="G56" i="1"/>
  <c r="O38" i="1"/>
  <c r="R38" i="1" s="1"/>
  <c r="C6" i="4" s="1"/>
  <c r="X17" i="1"/>
  <c r="J56" i="1"/>
  <c r="H59" i="1"/>
  <c r="A55" i="3"/>
  <c r="C56" i="3"/>
  <c r="H60" i="1" l="1"/>
  <c r="E58" i="1"/>
  <c r="G57" i="1"/>
  <c r="C57" i="3"/>
  <c r="A56" i="3"/>
  <c r="J58" i="1" l="1"/>
  <c r="G58" i="1"/>
  <c r="E59" i="1"/>
  <c r="J57" i="1"/>
  <c r="H61" i="1"/>
  <c r="C58" i="3"/>
  <c r="A57" i="3"/>
  <c r="H62" i="1" l="1"/>
  <c r="G59" i="1"/>
  <c r="E60" i="1"/>
  <c r="A58" i="3"/>
  <c r="C59" i="3"/>
  <c r="J59" i="1" l="1"/>
  <c r="E61" i="1"/>
  <c r="G60" i="1"/>
  <c r="J60" i="1" s="1"/>
  <c r="H63" i="1"/>
  <c r="C60" i="3"/>
  <c r="A59" i="3"/>
  <c r="H64" i="1" l="1"/>
  <c r="G61" i="1"/>
  <c r="J61" i="1" s="1"/>
  <c r="E62" i="1"/>
  <c r="A60" i="3"/>
  <c r="C61" i="3"/>
  <c r="G62" i="1" l="1"/>
  <c r="E63" i="1"/>
  <c r="H65" i="1"/>
  <c r="J62" i="1"/>
  <c r="C62" i="3"/>
  <c r="A61" i="3"/>
  <c r="H66" i="1" l="1"/>
  <c r="G63" i="1"/>
  <c r="E64" i="1"/>
  <c r="C63" i="3"/>
  <c r="A62" i="3"/>
  <c r="E65" i="1" l="1"/>
  <c r="G64" i="1"/>
  <c r="J64" i="1"/>
  <c r="J63" i="1"/>
  <c r="H67" i="1"/>
  <c r="C64" i="3"/>
  <c r="A63" i="3"/>
  <c r="E66" i="1" l="1"/>
  <c r="G65" i="1"/>
  <c r="H68" i="1"/>
  <c r="J65" i="1"/>
  <c r="A64" i="3"/>
  <c r="C65" i="3"/>
  <c r="H69" i="1" l="1"/>
  <c r="G66" i="1"/>
  <c r="J66" i="1" s="1"/>
  <c r="E67" i="1"/>
  <c r="C66" i="3"/>
  <c r="A65" i="3"/>
  <c r="G67" i="1" l="1"/>
  <c r="E68" i="1"/>
  <c r="J67" i="1"/>
  <c r="H70" i="1"/>
  <c r="A66" i="3"/>
  <c r="C67" i="3"/>
  <c r="H71" i="1" l="1"/>
  <c r="E69" i="1"/>
  <c r="G68" i="1"/>
  <c r="O39" i="1"/>
  <c r="R39" i="1" s="1"/>
  <c r="C7" i="4" s="1"/>
  <c r="A67" i="3"/>
  <c r="C68" i="3"/>
  <c r="J68" i="1" l="1"/>
  <c r="G69" i="1"/>
  <c r="J69" i="1" s="1"/>
  <c r="E70" i="1"/>
  <c r="H72" i="1"/>
  <c r="C69" i="3"/>
  <c r="A68" i="3"/>
  <c r="H73" i="1" l="1"/>
  <c r="G70" i="1"/>
  <c r="J70" i="1" s="1"/>
  <c r="E71" i="1"/>
  <c r="A69" i="3"/>
  <c r="C70" i="3"/>
  <c r="G71" i="1" l="1"/>
  <c r="J71" i="1" s="1"/>
  <c r="E72" i="1"/>
  <c r="H74" i="1"/>
  <c r="C71" i="3"/>
  <c r="A70" i="3"/>
  <c r="H75" i="1" l="1"/>
  <c r="E73" i="1"/>
  <c r="G72" i="1"/>
  <c r="A71" i="3"/>
  <c r="C72" i="3"/>
  <c r="J72" i="1" l="1"/>
  <c r="E74" i="1"/>
  <c r="G73" i="1"/>
  <c r="J73" i="1" s="1"/>
  <c r="H76" i="1"/>
  <c r="C73" i="3"/>
  <c r="A72" i="3"/>
  <c r="H77" i="1" l="1"/>
  <c r="G74" i="1"/>
  <c r="E75" i="1"/>
  <c r="C74" i="3"/>
  <c r="A73" i="3"/>
  <c r="J74" i="1" l="1"/>
  <c r="G75" i="1"/>
  <c r="J75" i="1" s="1"/>
  <c r="E76" i="1"/>
  <c r="H78" i="1"/>
  <c r="A74" i="3"/>
  <c r="C75" i="3"/>
  <c r="H79" i="1" l="1"/>
  <c r="E77" i="1"/>
  <c r="G76" i="1"/>
  <c r="C76" i="3"/>
  <c r="A75" i="3"/>
  <c r="J76" i="1" l="1"/>
  <c r="G77" i="1"/>
  <c r="E78" i="1"/>
  <c r="H80" i="1"/>
  <c r="A76" i="3"/>
  <c r="C77" i="3"/>
  <c r="G78" i="1" l="1"/>
  <c r="E79" i="1"/>
  <c r="J77" i="1"/>
  <c r="H81" i="1"/>
  <c r="Y16" i="1"/>
  <c r="C78" i="3"/>
  <c r="A77" i="3"/>
  <c r="H82" i="1" l="1"/>
  <c r="G79" i="1"/>
  <c r="E80" i="1"/>
  <c r="J79" i="1"/>
  <c r="J78" i="1"/>
  <c r="A78" i="3"/>
  <c r="C79" i="3"/>
  <c r="E81" i="1" l="1"/>
  <c r="G80" i="1"/>
  <c r="J80" i="1" s="1"/>
  <c r="X16" i="1"/>
  <c r="O40" i="1"/>
  <c r="R40" i="1" s="1"/>
  <c r="C8" i="4" s="1"/>
  <c r="H83" i="1"/>
  <c r="C80" i="3"/>
  <c r="A79" i="3"/>
  <c r="H84" i="1" l="1"/>
  <c r="E82" i="1"/>
  <c r="G81" i="1"/>
  <c r="A80" i="3"/>
  <c r="C81" i="3"/>
  <c r="J81" i="1" l="1"/>
  <c r="J82" i="1"/>
  <c r="H85" i="1"/>
  <c r="G82" i="1"/>
  <c r="E83" i="1"/>
  <c r="A81" i="3"/>
  <c r="C82" i="3"/>
  <c r="J83" i="1" l="1"/>
  <c r="H86" i="1"/>
  <c r="G83" i="1"/>
  <c r="E84" i="1"/>
  <c r="C83" i="3"/>
  <c r="A82" i="3"/>
  <c r="E85" i="1" l="1"/>
  <c r="G84" i="1"/>
  <c r="H87" i="1"/>
  <c r="A83" i="3"/>
  <c r="C84" i="3"/>
  <c r="J84" i="1" l="1"/>
  <c r="G85" i="1"/>
  <c r="E86" i="1"/>
  <c r="H88" i="1"/>
  <c r="C85" i="3"/>
  <c r="A84" i="3"/>
  <c r="H89" i="1" l="1"/>
  <c r="G86" i="1"/>
  <c r="E87" i="1"/>
  <c r="J85" i="1"/>
  <c r="A85" i="3"/>
  <c r="C86" i="3"/>
  <c r="H90" i="1" l="1"/>
  <c r="G87" i="1"/>
  <c r="J87" i="1" s="1"/>
  <c r="E88" i="1"/>
  <c r="J86" i="1"/>
  <c r="C87" i="3"/>
  <c r="A86" i="3"/>
  <c r="E89" i="1" l="1"/>
  <c r="G88" i="1"/>
  <c r="H91" i="1"/>
  <c r="A87" i="3"/>
  <c r="C88" i="3"/>
  <c r="H92" i="1" l="1"/>
  <c r="J88" i="1"/>
  <c r="E90" i="1"/>
  <c r="G89" i="1"/>
  <c r="C89" i="3"/>
  <c r="A88" i="3"/>
  <c r="G90" i="1" l="1"/>
  <c r="J90" i="1" s="1"/>
  <c r="E91" i="1"/>
  <c r="J89" i="1"/>
  <c r="H93" i="1"/>
  <c r="A89" i="3"/>
  <c r="C90" i="3"/>
  <c r="H94" i="1" l="1"/>
  <c r="G91" i="1"/>
  <c r="E92" i="1"/>
  <c r="C91" i="3"/>
  <c r="A90" i="3"/>
  <c r="E93" i="1" l="1"/>
  <c r="G92" i="1"/>
  <c r="O41" i="1"/>
  <c r="R41" i="1" s="1"/>
  <c r="C9" i="4" s="1"/>
  <c r="J92" i="1"/>
  <c r="J91" i="1"/>
  <c r="H95" i="1"/>
  <c r="A91" i="3"/>
  <c r="C92" i="3"/>
  <c r="H96" i="1" l="1"/>
  <c r="G93" i="1"/>
  <c r="E94" i="1"/>
  <c r="C93" i="3"/>
  <c r="A92" i="3"/>
  <c r="J93" i="1" l="1"/>
  <c r="G94" i="1"/>
  <c r="J94" i="1" s="1"/>
  <c r="E95" i="1"/>
  <c r="H97" i="1"/>
  <c r="A93" i="3"/>
  <c r="C94" i="3"/>
  <c r="G95" i="1" l="1"/>
  <c r="E96" i="1"/>
  <c r="H98" i="1"/>
  <c r="C95" i="3"/>
  <c r="A94" i="3"/>
  <c r="H99" i="1" l="1"/>
  <c r="E97" i="1"/>
  <c r="G96" i="1"/>
  <c r="J95" i="1"/>
  <c r="J96" i="1"/>
  <c r="A95" i="3"/>
  <c r="C96" i="3"/>
  <c r="E98" i="1" l="1"/>
  <c r="G97" i="1"/>
  <c r="J97" i="1" s="1"/>
  <c r="H100" i="1"/>
  <c r="C97" i="3"/>
  <c r="A96" i="3"/>
  <c r="H101" i="1" l="1"/>
  <c r="G98" i="1"/>
  <c r="E99" i="1"/>
  <c r="A97" i="3"/>
  <c r="C98" i="3"/>
  <c r="J98" i="1" l="1"/>
  <c r="G99" i="1"/>
  <c r="J99" i="1" s="1"/>
  <c r="E100" i="1"/>
  <c r="H102" i="1"/>
  <c r="C99" i="3"/>
  <c r="A98" i="3"/>
  <c r="H103" i="1" l="1"/>
  <c r="E101" i="1"/>
  <c r="G100" i="1"/>
  <c r="A99" i="3"/>
  <c r="C100" i="3"/>
  <c r="J100" i="1" l="1"/>
  <c r="G101" i="1"/>
  <c r="J101" i="1" s="1"/>
  <c r="E102" i="1"/>
  <c r="H104" i="1"/>
  <c r="C101" i="3"/>
  <c r="A100" i="3"/>
  <c r="G102" i="1" l="1"/>
  <c r="E103" i="1"/>
  <c r="H105" i="1"/>
  <c r="Y15" i="1"/>
  <c r="Y14" i="1"/>
  <c r="A101" i="3"/>
  <c r="C102" i="3"/>
  <c r="H106" i="1" l="1"/>
  <c r="G103" i="1"/>
  <c r="E104" i="1"/>
  <c r="J102" i="1"/>
  <c r="J103" i="1"/>
  <c r="A102" i="3"/>
  <c r="C103" i="3"/>
  <c r="E105" i="1" l="1"/>
  <c r="G104" i="1"/>
  <c r="O42" i="1"/>
  <c r="R42" i="1" s="1"/>
  <c r="C10" i="4" s="1"/>
  <c r="X15" i="1"/>
  <c r="X14" i="1"/>
  <c r="J104" i="1"/>
  <c r="H107" i="1"/>
  <c r="C104" i="3"/>
  <c r="A103" i="3"/>
  <c r="H108" i="1" l="1"/>
  <c r="E106" i="1"/>
  <c r="G105" i="1"/>
  <c r="C105" i="3"/>
  <c r="A104" i="3"/>
  <c r="J105" i="1" l="1"/>
  <c r="J106" i="1"/>
  <c r="G106" i="1"/>
  <c r="E107" i="1"/>
  <c r="H109" i="1"/>
  <c r="A105" i="3"/>
  <c r="C106" i="3"/>
  <c r="H110" i="1" l="1"/>
  <c r="G107" i="1"/>
  <c r="E108" i="1"/>
  <c r="J107" i="1"/>
  <c r="C107" i="3"/>
  <c r="A106" i="3"/>
  <c r="E109" i="1" l="1"/>
  <c r="G108" i="1"/>
  <c r="J108" i="1" s="1"/>
  <c r="H111" i="1"/>
  <c r="C108" i="3"/>
  <c r="A107" i="3"/>
  <c r="H112" i="1" l="1"/>
  <c r="G109" i="1"/>
  <c r="J109" i="1" s="1"/>
  <c r="E110" i="1"/>
  <c r="C109" i="3"/>
  <c r="B2" i="5"/>
  <c r="D2" i="5"/>
  <c r="F2" i="5"/>
  <c r="C2" i="5"/>
  <c r="E2" i="5"/>
  <c r="G110" i="1" l="1"/>
  <c r="E111" i="1"/>
  <c r="H113" i="1"/>
  <c r="J110" i="1"/>
  <c r="C110" i="3"/>
  <c r="G2" i="5"/>
  <c r="H114" i="1" l="1"/>
  <c r="Y13" i="1"/>
  <c r="G111" i="1"/>
  <c r="E112" i="1"/>
  <c r="C111" i="3"/>
  <c r="B5" i="6"/>
  <c r="E113" i="1" l="1"/>
  <c r="G112" i="1"/>
  <c r="J111" i="1"/>
  <c r="J112" i="1"/>
  <c r="H115" i="1"/>
  <c r="C112" i="3"/>
  <c r="H116" i="1" l="1"/>
  <c r="E114" i="1"/>
  <c r="G113" i="1"/>
  <c r="X13" i="1"/>
  <c r="C113" i="3"/>
  <c r="J113" i="1" l="1"/>
  <c r="G114" i="1"/>
  <c r="J114" i="1" s="1"/>
  <c r="E115" i="1"/>
  <c r="Y19" i="1"/>
  <c r="C114" i="3"/>
  <c r="C4" i="5"/>
  <c r="F4" i="5"/>
  <c r="D4" i="5"/>
  <c r="E4" i="5"/>
  <c r="Y23" i="1" l="1"/>
  <c r="P19" i="1" s="1"/>
  <c r="Y22" i="1"/>
  <c r="O19" i="1" s="1"/>
  <c r="Y21" i="1"/>
  <c r="N19" i="1" s="1"/>
  <c r="Y26" i="1"/>
  <c r="Y24" i="1"/>
  <c r="Q19" i="1" s="1"/>
  <c r="Y25" i="1"/>
  <c r="R19" i="1" s="1"/>
  <c r="Y27" i="1"/>
  <c r="P28" i="1" s="1"/>
  <c r="J115" i="1"/>
  <c r="G115" i="1"/>
  <c r="E116" i="1"/>
  <c r="C115" i="3"/>
  <c r="S19" i="1" l="1"/>
  <c r="G6" i="5" s="1"/>
  <c r="P29" i="1"/>
  <c r="F6" i="5"/>
  <c r="R22" i="1"/>
  <c r="F9" i="5" s="1"/>
  <c r="N22" i="1"/>
  <c r="B9" i="5" s="1"/>
  <c r="B6" i="5"/>
  <c r="E6" i="5"/>
  <c r="Q22" i="1"/>
  <c r="E9" i="5" s="1"/>
  <c r="G116" i="1"/>
  <c r="O27" i="1" s="1"/>
  <c r="O43" i="1"/>
  <c r="X19" i="1"/>
  <c r="O22" i="1"/>
  <c r="C9" i="5" s="1"/>
  <c r="C6" i="5"/>
  <c r="J116" i="1"/>
  <c r="P27" i="1" s="1"/>
  <c r="D6" i="5"/>
  <c r="P22" i="1"/>
  <c r="D9" i="5" s="1"/>
  <c r="C116" i="3"/>
  <c r="B4" i="5"/>
  <c r="X26" i="1" l="1"/>
  <c r="O29" i="1" s="1"/>
  <c r="X27" i="1"/>
  <c r="O28" i="1" s="1"/>
  <c r="X24" i="1"/>
  <c r="X25" i="1"/>
  <c r="X21" i="1"/>
  <c r="P8" i="1"/>
  <c r="P11" i="1"/>
  <c r="G4" i="5"/>
  <c r="O11" i="1" l="1"/>
  <c r="N8" i="1"/>
  <c r="B2" i="6" s="1"/>
  <c r="C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macdonald</author>
  </authors>
  <commentList>
    <comment ref="E1" authorId="0" shapeId="0" xr:uid="{73B8F079-664D-4DF6-8C75-535B49646A96}">
      <text>
        <r>
          <rPr>
            <b/>
            <sz val="9"/>
            <color indexed="81"/>
            <rFont val="Tahoma"/>
            <family val="2"/>
          </rPr>
          <t>patrick macdonald:</t>
        </r>
        <r>
          <rPr>
            <sz val="9"/>
            <color indexed="81"/>
            <rFont val="Tahoma"/>
            <family val="2"/>
          </rPr>
          <t xml:space="preserve">
Returns provided by MAP</t>
        </r>
      </text>
    </comment>
  </commentList>
</comments>
</file>

<file path=xl/sharedStrings.xml><?xml version="1.0" encoding="utf-8"?>
<sst xmlns="http://schemas.openxmlformats.org/spreadsheetml/2006/main" count="141" uniqueCount="98">
  <si>
    <t>Date</t>
  </si>
  <si>
    <t>% Return</t>
  </si>
  <si>
    <t>DD</t>
  </si>
  <si>
    <t>CURRENT</t>
  </si>
  <si>
    <t>Risk Free Rate:</t>
  </si>
  <si>
    <t>Months:</t>
  </si>
  <si>
    <t>Inception</t>
  </si>
  <si>
    <t>Current</t>
  </si>
  <si>
    <t>Cumulative Return</t>
  </si>
  <si>
    <t>Ann. Inception</t>
  </si>
  <si>
    <t>Share Class/Benchmark</t>
  </si>
  <si>
    <t>Class A</t>
  </si>
  <si>
    <t>Class C</t>
  </si>
  <si>
    <t>Class A w/ Sales Charge</t>
  </si>
  <si>
    <t>TRXAX</t>
  </si>
  <si>
    <t>1YR</t>
  </si>
  <si>
    <t>3YR</t>
  </si>
  <si>
    <t>MSCI AWCI, grs</t>
  </si>
  <si>
    <t>Number of Holdings</t>
  </si>
  <si>
    <t>P/E Ratio</t>
  </si>
  <si>
    <t>Turnover</t>
  </si>
  <si>
    <t>Average Duration</t>
  </si>
  <si>
    <t>Less than $500MM</t>
  </si>
  <si>
    <t>$500MM - $2BN</t>
  </si>
  <si>
    <t>$2BN - $7BN</t>
  </si>
  <si>
    <t>Greater than $7BN</t>
  </si>
  <si>
    <t>CAPITALIZATION COMPOSITE</t>
  </si>
  <si>
    <t>PORTFOLIO CHARACTERISTICS</t>
  </si>
  <si>
    <t>Top Equity &amp; Bond Holdings</t>
  </si>
  <si>
    <t>Cash</t>
  </si>
  <si>
    <t>Novartis AG-ADR</t>
  </si>
  <si>
    <t>Portfolio Sector Allocation</t>
  </si>
  <si>
    <t>Wtd. Avg. Market Cap $B</t>
  </si>
  <si>
    <t>TRx Blended</t>
  </si>
  <si>
    <t>partial</t>
  </si>
  <si>
    <t>COLOR CODES</t>
  </si>
  <si>
    <t>From Gemini</t>
  </si>
  <si>
    <t>Included in Fact Sheet</t>
  </si>
  <si>
    <t>Not in Fact Sheet</t>
  </si>
  <si>
    <t>Cisco Systems Inc</t>
  </si>
  <si>
    <t>5YR</t>
  </si>
  <si>
    <t>YTD</t>
  </si>
  <si>
    <t>Cumulative</t>
  </si>
  <si>
    <t>CUT &amp; PASTE FACT SHEET</t>
  </si>
  <si>
    <t>Nestle - ADR</t>
  </si>
  <si>
    <t>QTD</t>
  </si>
  <si>
    <t>ASSET ALLOCATION</t>
  </si>
  <si>
    <t>Fixed Income</t>
  </si>
  <si>
    <t>U.S. Equities</t>
  </si>
  <si>
    <t>Non-U.S. Equities</t>
  </si>
  <si>
    <t>Tetra Tech Inc</t>
  </si>
  <si>
    <t>Class I</t>
  </si>
  <si>
    <t>Sanofi ADR</t>
  </si>
  <si>
    <t>TRX Blended</t>
  </si>
  <si>
    <t>Orange - ADR</t>
  </si>
  <si>
    <t>Johnson &amp; Johnson</t>
  </si>
  <si>
    <t>Year</t>
  </si>
  <si>
    <t>50% MSCI ACWI/50% ML A-AAA 1-3yr US Corp</t>
  </si>
  <si>
    <t>Benchmark</t>
  </si>
  <si>
    <t>ID</t>
  </si>
  <si>
    <t>Label</t>
  </si>
  <si>
    <t>50% MSCI ACWI / 50% ML A-AAA 1-3yr US Corp.</t>
  </si>
  <si>
    <t>Value</t>
  </si>
  <si>
    <t>50% ACWI/50% ML A-AAA 1-3YR</t>
  </si>
  <si>
    <t>% positive months</t>
  </si>
  <si>
    <t>max DD</t>
  </si>
  <si>
    <t># positive months</t>
  </si>
  <si>
    <t>Alpha:</t>
  </si>
  <si>
    <t>Beta:</t>
  </si>
  <si>
    <t>R-squared:</t>
  </si>
  <si>
    <t>Sharpe Ratio:</t>
  </si>
  <si>
    <t>Standard Deviation:</t>
  </si>
  <si>
    <t>2011 YTD</t>
  </si>
  <si>
    <t>US Allocation From Equity Country Allocation:</t>
  </si>
  <si>
    <t>Equity Allocation from Asset Allocation:</t>
  </si>
  <si>
    <t>Use MAP equity allocation file (based on 59.97% Equity allocation)</t>
  </si>
  <si>
    <t>MSCI AWCI, Gross</t>
  </si>
  <si>
    <t>Alpha*</t>
  </si>
  <si>
    <t>Beta*</t>
  </si>
  <si>
    <t>R-Squared*</t>
  </si>
  <si>
    <t>Sharpe Ratio*</t>
  </si>
  <si>
    <t>Standard Deviation*</t>
  </si>
  <si>
    <t>MAP</t>
  </si>
  <si>
    <t>CONSUMER STAPLES</t>
  </si>
  <si>
    <t>HEALTH CARE</t>
  </si>
  <si>
    <t>$150.5B</t>
  </si>
  <si>
    <t>INFORMATION TECHNOLOGY</t>
  </si>
  <si>
    <t>CONSUMER DISCRETIONARY</t>
  </si>
  <si>
    <t>COMMUNICATION SERVICES</t>
  </si>
  <si>
    <t>UTILITIES</t>
  </si>
  <si>
    <t>MATERIALS</t>
  </si>
  <si>
    <t>FINANCIALS</t>
  </si>
  <si>
    <t>Cash and Equivalent</t>
  </si>
  <si>
    <t>INDUSTRIALS</t>
  </si>
  <si>
    <t>ENERGY</t>
  </si>
  <si>
    <t>Bunge LTD</t>
  </si>
  <si>
    <t>Groupe Bruxelles Lambert SA</t>
  </si>
  <si>
    <t>50% ACWI Value/50% ML A-AAA 1-3YR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</si>
</sst>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0.0%"/>
    <numFmt numFmtId="167" formatCode="&quot;$&quot;#,##0.0"/>
    <numFmt numFmtId="168" formatCode="0.0000%"/>
    <numFmt numFmtId="169" formatCode="[$-10409]#,##0.00;\(#,##0.00\)"/>
    <numFmt numFmtId="170" formatCode="0.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.5"/>
      <color theme="1"/>
      <name val="Roboto Condensed"/>
    </font>
    <font>
      <sz val="8.5"/>
      <color theme="1"/>
      <name val="Roboto Condensed Light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.5"/>
      <color rgb="FF000000"/>
      <name val="Roboto Condensed Light"/>
    </font>
    <font>
      <sz val="8.5"/>
      <color rgb="FF000000"/>
      <name val="Roboto Condensed"/>
    </font>
    <font>
      <b/>
      <sz val="8"/>
      <color theme="1"/>
      <name val="Arial"/>
      <family val="2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Univers LT Std 57 Cn"/>
      <family val="2"/>
    </font>
    <font>
      <sz val="9"/>
      <color theme="1"/>
      <name val="Univers LT Std 47 Cn Lt"/>
      <family val="2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sz val="8"/>
      <color rgb="FFFF0000"/>
      <name val="Calibri"/>
      <family val="2"/>
      <scheme val="minor"/>
    </font>
    <font>
      <sz val="9"/>
      <name val="Univers LT Std 47 Cn Lt"/>
      <family val="2"/>
    </font>
    <font>
      <sz val="9"/>
      <name val="Univers LT Std 57 Cn"/>
      <family val="2"/>
    </font>
    <font>
      <b/>
      <sz val="9"/>
      <color rgb="FFFF0000"/>
      <name val="Univers LT Std 47 Cn Lt"/>
      <family val="2"/>
    </font>
    <font>
      <sz val="8.5"/>
      <name val="Roboto Condensed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7F7F7F"/>
      </bottom>
      <diagonal/>
    </border>
    <border>
      <left/>
      <right/>
      <top style="thin">
        <color rgb="FFF2F2F2"/>
      </top>
      <bottom/>
      <diagonal/>
    </border>
    <border>
      <left/>
      <right style="medium">
        <color indexed="64"/>
      </right>
      <top style="thin">
        <color rgb="FFF2F2F2"/>
      </top>
      <bottom style="thin">
        <color rgb="FFF2F2F2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32" fillId="0" borderId="0"/>
    <xf numFmtId="9" fontId="5" fillId="0" borderId="0" applyFont="0" applyFill="0" applyBorder="0" applyAlignment="0" applyProtection="0">
      <alignment wrapText="1"/>
    </xf>
    <xf numFmtId="9" fontId="32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0" fontId="7" fillId="0" borderId="9" xfId="0" applyFont="1" applyBorder="1"/>
    <xf numFmtId="0" fontId="7" fillId="0" borderId="0" xfId="0" applyFont="1"/>
    <xf numFmtId="0" fontId="4" fillId="0" borderId="0" xfId="0" applyFont="1" applyAlignment="1">
      <alignment horizontal="center" vertical="center"/>
    </xf>
    <xf numFmtId="0" fontId="3" fillId="6" borderId="0" xfId="0" applyFont="1" applyFill="1"/>
    <xf numFmtId="10" fontId="4" fillId="6" borderId="5" xfId="2" applyNumberFormat="1" applyFont="1" applyFill="1" applyBorder="1" applyAlignment="1">
      <alignment horizontal="center"/>
    </xf>
    <xf numFmtId="0" fontId="7" fillId="0" borderId="19" xfId="0" applyFont="1" applyBorder="1"/>
    <xf numFmtId="166" fontId="6" fillId="0" borderId="20" xfId="2" applyNumberFormat="1" applyFont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0" fontId="0" fillId="0" borderId="2" xfId="0" applyBorder="1"/>
    <xf numFmtId="0" fontId="3" fillId="6" borderId="2" xfId="0" applyFont="1" applyFill="1" applyBorder="1"/>
    <xf numFmtId="0" fontId="4" fillId="6" borderId="0" xfId="0" applyFont="1" applyFill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22" xfId="0" applyFont="1" applyBorder="1"/>
    <xf numFmtId="0" fontId="10" fillId="0" borderId="24" xfId="0" applyFont="1" applyBorder="1" applyAlignment="1">
      <alignment wrapText="1" readingOrder="1"/>
    </xf>
    <xf numFmtId="0" fontId="10" fillId="0" borderId="25" xfId="0" applyFont="1" applyBorder="1" applyAlignment="1">
      <alignment wrapText="1" readingOrder="1"/>
    </xf>
    <xf numFmtId="0" fontId="10" fillId="0" borderId="26" xfId="0" applyFont="1" applyBorder="1" applyAlignment="1">
      <alignment wrapText="1" readingOrder="1"/>
    </xf>
    <xf numFmtId="14" fontId="12" fillId="0" borderId="0" xfId="0" applyNumberFormat="1" applyFont="1" applyAlignment="1">
      <alignment horizontal="center" vertical="center"/>
    </xf>
    <xf numFmtId="43" fontId="13" fillId="0" borderId="10" xfId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43" fontId="13" fillId="4" borderId="0" xfId="1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8" fillId="2" borderId="9" xfId="0" applyFont="1" applyFill="1" applyBorder="1" applyAlignment="1">
      <alignment horizontal="right" vertical="center"/>
    </xf>
    <xf numFmtId="14" fontId="20" fillId="0" borderId="0" xfId="0" applyNumberFormat="1" applyFont="1" applyAlignment="1">
      <alignment horizontal="center" vertical="center"/>
    </xf>
    <xf numFmtId="0" fontId="18" fillId="0" borderId="9" xfId="0" applyFont="1" applyBorder="1" applyAlignment="1">
      <alignment horizontal="right" vertical="center"/>
    </xf>
    <xf numFmtId="0" fontId="21" fillId="0" borderId="0" xfId="0" applyFont="1" applyAlignment="1">
      <alignment vertical="center"/>
    </xf>
    <xf numFmtId="0" fontId="22" fillId="0" borderId="9" xfId="0" applyFont="1" applyBorder="1" applyAlignment="1">
      <alignment vertical="center"/>
    </xf>
    <xf numFmtId="0" fontId="22" fillId="0" borderId="0" xfId="0" applyFont="1" applyAlignment="1">
      <alignment horizontal="left" vertical="center"/>
    </xf>
    <xf numFmtId="43" fontId="16" fillId="0" borderId="9" xfId="0" applyNumberFormat="1" applyFont="1" applyBorder="1" applyAlignment="1">
      <alignment horizontal="center" vertical="center"/>
    </xf>
    <xf numFmtId="165" fontId="16" fillId="0" borderId="9" xfId="0" applyNumberFormat="1" applyFont="1" applyBorder="1" applyAlignment="1">
      <alignment horizontal="center" vertical="center"/>
    </xf>
    <xf numFmtId="0" fontId="16" fillId="5" borderId="19" xfId="0" applyFont="1" applyFill="1" applyBorder="1" applyAlignment="1">
      <alignment vertical="center"/>
    </xf>
    <xf numFmtId="2" fontId="23" fillId="0" borderId="9" xfId="2" applyNumberFormat="1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2" fontId="23" fillId="0" borderId="9" xfId="1" applyNumberFormat="1" applyFont="1" applyBorder="1" applyAlignment="1">
      <alignment horizontal="center" vertical="center"/>
    </xf>
    <xf numFmtId="2" fontId="24" fillId="0" borderId="9" xfId="0" applyNumberFormat="1" applyFont="1" applyBorder="1" applyAlignment="1">
      <alignment horizontal="center" vertical="center"/>
    </xf>
    <xf numFmtId="10" fontId="23" fillId="0" borderId="9" xfId="2" applyNumberFormat="1" applyFont="1" applyBorder="1" applyAlignment="1">
      <alignment horizontal="center" vertical="center"/>
    </xf>
    <xf numFmtId="10" fontId="24" fillId="0" borderId="9" xfId="2" applyNumberFormat="1" applyFont="1" applyBorder="1" applyAlignment="1">
      <alignment horizontal="center" vertical="center"/>
    </xf>
    <xf numFmtId="43" fontId="13" fillId="0" borderId="11" xfId="0" applyNumberFormat="1" applyFont="1" applyBorder="1" applyAlignment="1">
      <alignment vertical="center" wrapText="1"/>
    </xf>
    <xf numFmtId="165" fontId="17" fillId="0" borderId="11" xfId="0" applyNumberFormat="1" applyFont="1" applyBorder="1" applyAlignment="1">
      <alignment vertical="center"/>
    </xf>
    <xf numFmtId="165" fontId="17" fillId="0" borderId="12" xfId="0" applyNumberFormat="1" applyFont="1" applyBorder="1" applyAlignment="1">
      <alignment vertical="center" wrapText="1"/>
    </xf>
    <xf numFmtId="14" fontId="25" fillId="0" borderId="0" xfId="0" applyNumberFormat="1" applyFont="1" applyAlignment="1">
      <alignment vertical="center"/>
    </xf>
    <xf numFmtId="0" fontId="26" fillId="0" borderId="19" xfId="0" applyFont="1" applyBorder="1" applyAlignment="1">
      <alignment horizontal="left" vertical="center" readingOrder="1"/>
    </xf>
    <xf numFmtId="0" fontId="26" fillId="0" borderId="9" xfId="0" applyFont="1" applyBorder="1" applyAlignment="1">
      <alignment horizontal="center" vertical="center" readingOrder="1"/>
    </xf>
    <xf numFmtId="0" fontId="26" fillId="0" borderId="20" xfId="0" applyFont="1" applyBorder="1" applyAlignment="1">
      <alignment horizontal="center" vertical="center" readingOrder="1"/>
    </xf>
    <xf numFmtId="0" fontId="27" fillId="5" borderId="19" xfId="0" applyFont="1" applyFill="1" applyBorder="1" applyAlignment="1">
      <alignment horizontal="left" vertical="center" readingOrder="1"/>
    </xf>
    <xf numFmtId="2" fontId="28" fillId="0" borderId="9" xfId="0" applyNumberFormat="1" applyFont="1" applyBorder="1" applyAlignment="1">
      <alignment horizontal="center" vertical="center" readingOrder="1"/>
    </xf>
    <xf numFmtId="2" fontId="28" fillId="0" borderId="20" xfId="0" applyNumberFormat="1" applyFont="1" applyBorder="1" applyAlignment="1">
      <alignment horizontal="center" vertical="center" readingOrder="1"/>
    </xf>
    <xf numFmtId="2" fontId="28" fillId="4" borderId="9" xfId="0" applyNumberFormat="1" applyFont="1" applyFill="1" applyBorder="1" applyAlignment="1">
      <alignment horizontal="center" vertical="center" readingOrder="1"/>
    </xf>
    <xf numFmtId="2" fontId="28" fillId="4" borderId="20" xfId="0" applyNumberFormat="1" applyFont="1" applyFill="1" applyBorder="1" applyAlignment="1">
      <alignment horizontal="center" vertical="center" readingOrder="1"/>
    </xf>
    <xf numFmtId="0" fontId="29" fillId="5" borderId="19" xfId="0" applyFont="1" applyFill="1" applyBorder="1" applyAlignment="1">
      <alignment horizontal="left" vertical="center" readingOrder="1"/>
    </xf>
    <xf numFmtId="2" fontId="30" fillId="0" borderId="9" xfId="0" applyNumberFormat="1" applyFont="1" applyBorder="1" applyAlignment="1">
      <alignment horizontal="center" vertical="center" readingOrder="1"/>
    </xf>
    <xf numFmtId="43" fontId="29" fillId="5" borderId="19" xfId="0" applyNumberFormat="1" applyFont="1" applyFill="1" applyBorder="1" applyAlignment="1">
      <alignment horizontal="left" vertical="center" readingOrder="1"/>
    </xf>
    <xf numFmtId="14" fontId="25" fillId="0" borderId="16" xfId="0" applyNumberFormat="1" applyFont="1" applyBorder="1" applyAlignment="1">
      <alignment vertical="center"/>
    </xf>
    <xf numFmtId="0" fontId="16" fillId="7" borderId="9" xfId="0" applyFont="1" applyFill="1" applyBorder="1" applyAlignment="1">
      <alignment vertical="center"/>
    </xf>
    <xf numFmtId="166" fontId="23" fillId="0" borderId="9" xfId="2" applyNumberFormat="1" applyFont="1" applyBorder="1" applyAlignment="1">
      <alignment horizontal="center" vertical="center"/>
    </xf>
    <xf numFmtId="166" fontId="24" fillId="0" borderId="9" xfId="2" applyNumberFormat="1" applyFont="1" applyBorder="1" applyAlignment="1">
      <alignment horizontal="center" vertical="center"/>
    </xf>
    <xf numFmtId="10" fontId="23" fillId="0" borderId="9" xfId="0" applyNumberFormat="1" applyFont="1" applyBorder="1" applyAlignment="1">
      <alignment horizontal="center" vertical="center"/>
    </xf>
    <xf numFmtId="10" fontId="24" fillId="0" borderId="9" xfId="0" applyNumberFormat="1" applyFont="1" applyBorder="1" applyAlignment="1">
      <alignment horizontal="center" vertical="center"/>
    </xf>
    <xf numFmtId="0" fontId="31" fillId="7" borderId="9" xfId="0" applyFont="1" applyFill="1" applyBorder="1" applyAlignment="1">
      <alignment vertical="center"/>
    </xf>
    <xf numFmtId="14" fontId="25" fillId="3" borderId="0" xfId="0" applyNumberFormat="1" applyFont="1" applyFill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8" fillId="4" borderId="9" xfId="0" applyFont="1" applyFill="1" applyBorder="1" applyAlignment="1">
      <alignment horizontal="center" vertical="center" readingOrder="1"/>
    </xf>
    <xf numFmtId="0" fontId="28" fillId="4" borderId="20" xfId="0" applyFont="1" applyFill="1" applyBorder="1" applyAlignment="1">
      <alignment horizontal="center" vertical="center" readingOrder="1"/>
    </xf>
    <xf numFmtId="10" fontId="1" fillId="0" borderId="0" xfId="2" applyNumberFormat="1" applyAlignment="1">
      <alignment vertical="center"/>
    </xf>
    <xf numFmtId="10" fontId="1" fillId="0" borderId="0" xfId="2" applyNumberFormat="1" applyAlignment="1">
      <alignment horizontal="center" vertical="center"/>
    </xf>
    <xf numFmtId="1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center" vertical="center"/>
    </xf>
    <xf numFmtId="0" fontId="27" fillId="5" borderId="9" xfId="0" applyFont="1" applyFill="1" applyBorder="1" applyAlignment="1">
      <alignment horizontal="center" vertical="center" readingOrder="1"/>
    </xf>
    <xf numFmtId="14" fontId="1" fillId="3" borderId="0" xfId="0" applyNumberFormat="1" applyFont="1" applyFill="1" applyAlignment="1">
      <alignment vertical="center"/>
    </xf>
    <xf numFmtId="4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3" fillId="0" borderId="0" xfId="0" applyFont="1" applyAlignment="1">
      <alignment vertical="center"/>
    </xf>
    <xf numFmtId="10" fontId="2" fillId="3" borderId="0" xfId="0" applyNumberFormat="1" applyFont="1" applyFill="1"/>
    <xf numFmtId="167" fontId="6" fillId="0" borderId="9" xfId="3" applyNumberFormat="1" applyFont="1" applyFill="1" applyBorder="1" applyAlignment="1">
      <alignment horizontal="center"/>
    </xf>
    <xf numFmtId="166" fontId="6" fillId="0" borderId="9" xfId="2" applyNumberFormat="1" applyFont="1" applyFill="1" applyBorder="1" applyAlignment="1">
      <alignment horizontal="center"/>
    </xf>
    <xf numFmtId="166" fontId="6" fillId="0" borderId="20" xfId="2" applyNumberFormat="1" applyFont="1" applyFill="1" applyBorder="1" applyAlignment="1">
      <alignment horizontal="center"/>
    </xf>
    <xf numFmtId="10" fontId="2" fillId="3" borderId="0" xfId="2" applyNumberFormat="1" applyFont="1" applyFill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70" fontId="0" fillId="0" borderId="0" xfId="0" applyNumberFormat="1"/>
    <xf numFmtId="0" fontId="1" fillId="0" borderId="0" xfId="0" applyFont="1" applyAlignment="1">
      <alignment vertical="center"/>
    </xf>
    <xf numFmtId="14" fontId="1" fillId="3" borderId="9" xfId="0" applyNumberFormat="1" applyFont="1" applyFill="1" applyBorder="1" applyAlignment="1">
      <alignment horizontal="center" vertical="center"/>
    </xf>
    <xf numFmtId="43" fontId="1" fillId="0" borderId="13" xfId="1" applyFont="1" applyBorder="1" applyAlignment="1">
      <alignment vertical="center"/>
    </xf>
    <xf numFmtId="10" fontId="1" fillId="0" borderId="0" xfId="2" applyNumberFormat="1" applyFont="1" applyAlignment="1">
      <alignment horizontal="center" vertical="center"/>
    </xf>
    <xf numFmtId="10" fontId="1" fillId="0" borderId="14" xfId="2" applyNumberFormat="1" applyFont="1" applyBorder="1" applyAlignment="1">
      <alignment horizontal="center" vertical="center"/>
    </xf>
    <xf numFmtId="43" fontId="1" fillId="0" borderId="0" xfId="1" applyFont="1" applyAlignment="1">
      <alignment vertical="center"/>
    </xf>
    <xf numFmtId="169" fontId="1" fillId="0" borderId="13" xfId="1" applyNumberFormat="1" applyFont="1" applyBorder="1" applyAlignment="1">
      <alignment horizontal="right" vertical="center"/>
    </xf>
    <xf numFmtId="168" fontId="1" fillId="3" borderId="18" xfId="0" applyNumberFormat="1" applyFont="1" applyFill="1" applyBorder="1" applyAlignment="1">
      <alignment horizontal="center" vertical="center"/>
    </xf>
    <xf numFmtId="169" fontId="1" fillId="0" borderId="13" xfId="1" applyNumberFormat="1" applyFont="1" applyBorder="1" applyAlignment="1">
      <alignment vertical="center"/>
    </xf>
    <xf numFmtId="10" fontId="1" fillId="4" borderId="0" xfId="2" applyNumberFormat="1" applyFont="1" applyFill="1" applyAlignment="1">
      <alignment horizontal="center" vertical="center"/>
    </xf>
    <xf numFmtId="10" fontId="1" fillId="0" borderId="0" xfId="2" applyNumberFormat="1" applyFont="1" applyAlignment="1">
      <alignment vertical="center"/>
    </xf>
    <xf numFmtId="0" fontId="1" fillId="0" borderId="9" xfId="0" applyFont="1" applyBorder="1" applyAlignment="1">
      <alignment vertical="center"/>
    </xf>
    <xf numFmtId="2" fontId="1" fillId="0" borderId="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65" fontId="1" fillId="0" borderId="0" xfId="1" applyNumberFormat="1" applyFont="1" applyAlignment="1">
      <alignment horizontal="center" vertical="center"/>
    </xf>
    <xf numFmtId="165" fontId="1" fillId="0" borderId="14" xfId="1" applyNumberFormat="1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165" fontId="1" fillId="0" borderId="16" xfId="1" applyNumberFormat="1" applyFont="1" applyBorder="1" applyAlignment="1">
      <alignment horizontal="center" vertical="center"/>
    </xf>
    <xf numFmtId="165" fontId="1" fillId="0" borderId="17" xfId="1" applyNumberFormat="1" applyFont="1" applyBorder="1" applyAlignment="1">
      <alignment horizontal="center" vertical="center"/>
    </xf>
    <xf numFmtId="10" fontId="1" fillId="0" borderId="9" xfId="2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169" fontId="1" fillId="4" borderId="13" xfId="1" applyNumberFormat="1" applyFont="1" applyFill="1" applyBorder="1" applyAlignment="1">
      <alignment vertical="center"/>
    </xf>
    <xf numFmtId="43" fontId="1" fillId="0" borderId="0" xfId="1" applyFont="1" applyAlignment="1">
      <alignment horizontal="center" vertical="center"/>
    </xf>
    <xf numFmtId="43" fontId="1" fillId="0" borderId="13" xfId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3" fontId="1" fillId="4" borderId="13" xfId="1" applyNumberFormat="1" applyFont="1" applyFill="1" applyBorder="1" applyAlignment="1">
      <alignment vertical="center"/>
    </xf>
    <xf numFmtId="0" fontId="10" fillId="0" borderId="0" xfId="0" applyFont="1" applyAlignment="1">
      <alignment wrapText="1" readingOrder="1"/>
    </xf>
    <xf numFmtId="10" fontId="11" fillId="0" borderId="5" xfId="0" applyNumberFormat="1" applyFont="1" applyBorder="1" applyAlignment="1">
      <alignment wrapText="1" readingOrder="1"/>
    </xf>
    <xf numFmtId="2" fontId="34" fillId="0" borderId="9" xfId="0" applyNumberFormat="1" applyFont="1" applyBorder="1" applyAlignment="1">
      <alignment horizontal="center" vertical="center" readingOrder="1"/>
    </xf>
    <xf numFmtId="2" fontId="34" fillId="0" borderId="20" xfId="0" applyNumberFormat="1" applyFont="1" applyBorder="1" applyAlignment="1">
      <alignment horizontal="center" vertical="center" readingOrder="1"/>
    </xf>
    <xf numFmtId="2" fontId="30" fillId="4" borderId="9" xfId="0" applyNumberFormat="1" applyFont="1" applyFill="1" applyBorder="1" applyAlignment="1">
      <alignment horizontal="center" vertical="center" readingOrder="1"/>
    </xf>
    <xf numFmtId="2" fontId="36" fillId="0" borderId="9" xfId="0" applyNumberFormat="1" applyFont="1" applyBorder="1" applyAlignment="1">
      <alignment horizontal="center" vertical="center" readingOrder="1"/>
    </xf>
    <xf numFmtId="10" fontId="36" fillId="0" borderId="9" xfId="2" applyNumberFormat="1" applyFont="1" applyBorder="1" applyAlignment="1">
      <alignment horizontal="center" vertical="center"/>
    </xf>
    <xf numFmtId="165" fontId="1" fillId="4" borderId="13" xfId="1" applyNumberFormat="1" applyFont="1" applyFill="1" applyBorder="1" applyAlignment="1">
      <alignment vertical="center"/>
    </xf>
    <xf numFmtId="10" fontId="6" fillId="9" borderId="20" xfId="2" applyNumberFormat="1" applyFont="1" applyFill="1" applyBorder="1" applyAlignment="1">
      <alignment horizontal="center"/>
    </xf>
    <xf numFmtId="166" fontId="37" fillId="0" borderId="27" xfId="0" applyNumberFormat="1" applyFont="1" applyBorder="1" applyAlignment="1">
      <alignment wrapText="1" readingOrder="1"/>
    </xf>
    <xf numFmtId="9" fontId="6" fillId="0" borderId="9" xfId="2" applyFont="1" applyFill="1" applyBorder="1" applyAlignment="1">
      <alignment horizontal="center"/>
    </xf>
    <xf numFmtId="170" fontId="6" fillId="0" borderId="9" xfId="1" applyNumberFormat="1" applyFont="1" applyFill="1" applyBorder="1" applyAlignment="1">
      <alignment horizontal="center"/>
    </xf>
    <xf numFmtId="166" fontId="6" fillId="0" borderId="23" xfId="2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2" fontId="34" fillId="4" borderId="9" xfId="0" applyNumberFormat="1" applyFont="1" applyFill="1" applyBorder="1" applyAlignment="1">
      <alignment horizontal="center" vertical="center" readingOrder="1"/>
    </xf>
    <xf numFmtId="2" fontId="35" fillId="4" borderId="20" xfId="0" applyNumberFormat="1" applyFont="1" applyFill="1" applyBorder="1" applyAlignment="1">
      <alignment horizontal="center" vertical="center" readingOrder="1"/>
    </xf>
    <xf numFmtId="10" fontId="38" fillId="4" borderId="9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left"/>
    </xf>
    <xf numFmtId="0" fontId="3" fillId="6" borderId="16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</cellXfs>
  <cellStyles count="8">
    <cellStyle name="Comma" xfId="1" builtinId="3"/>
    <cellStyle name="Currency" xfId="3" builtinId="4"/>
    <cellStyle name="Normal" xfId="0" builtinId="0"/>
    <cellStyle name="Normal 2" xfId="4" xr:uid="{00000000-0005-0000-0000-000003000000}"/>
    <cellStyle name="Normal 3" xfId="5" xr:uid="{00000000-0005-0000-0000-000030000000}"/>
    <cellStyle name="Percent" xfId="2" builtinId="5"/>
    <cellStyle name="Percent 2" xfId="6" xr:uid="{00000000-0005-0000-0000-000003000000}"/>
    <cellStyle name="Percent 3" xfId="7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Y181"/>
  <sheetViews>
    <sheetView tabSelected="1" zoomScale="115" zoomScaleNormal="115" workbookViewId="0">
      <pane ySplit="1" topLeftCell="A2" activePane="bottomLeft" state="frozen"/>
      <selection pane="bottomLeft"/>
    </sheetView>
  </sheetViews>
  <sheetFormatPr defaultColWidth="9.109375" defaultRowHeight="14.4" outlineLevelRow="1" x14ac:dyDescent="0.3"/>
  <cols>
    <col min="1" max="1" width="10.44140625" style="30" bestFit="1" customWidth="1"/>
    <col min="2" max="2" width="11.109375" style="93" bestFit="1" customWidth="1"/>
    <col min="3" max="3" width="8.109375" style="140" bestFit="1" customWidth="1"/>
    <col min="4" max="4" width="6.88671875" style="123" bestFit="1" customWidth="1"/>
    <col min="5" max="5" width="11.109375" style="121" bestFit="1" customWidth="1"/>
    <col min="6" max="6" width="8.109375" style="140" bestFit="1" customWidth="1"/>
    <col min="7" max="7" width="8.33203125" style="140" bestFit="1" customWidth="1"/>
    <col min="8" max="8" width="16.33203125" style="122" bestFit="1" customWidth="1"/>
    <col min="9" max="9" width="8.109375" style="140" bestFit="1" customWidth="1"/>
    <col min="10" max="10" width="8.33203125" style="123" bestFit="1" customWidth="1"/>
    <col min="11" max="12" width="9.109375" style="91"/>
    <col min="13" max="13" width="25.5546875" style="91" bestFit="1" customWidth="1"/>
    <col min="14" max="14" width="13.5546875" style="91" customWidth="1"/>
    <col min="15" max="16" width="13.5546875" style="140" customWidth="1"/>
    <col min="17" max="17" width="16.33203125" style="140" bestFit="1" customWidth="1"/>
    <col min="18" max="18" width="16.33203125" style="140" customWidth="1"/>
    <col min="19" max="19" width="11.33203125" style="91" customWidth="1"/>
    <col min="20" max="20" width="8.88671875" style="91" bestFit="1" customWidth="1"/>
    <col min="21" max="21" width="11.44140625" style="91" bestFit="1" customWidth="1"/>
    <col min="22" max="22" width="10.33203125" style="91" bestFit="1" customWidth="1"/>
    <col min="23" max="23" width="8.5546875" style="91" bestFit="1" customWidth="1"/>
    <col min="24" max="24" width="14.6640625" style="91" bestFit="1" customWidth="1"/>
    <col min="25" max="25" width="16.33203125" style="91" bestFit="1" customWidth="1"/>
    <col min="26" max="16384" width="9.109375" style="91"/>
  </cols>
  <sheetData>
    <row r="1" spans="1:25" ht="32.25" customHeight="1" x14ac:dyDescent="0.3">
      <c r="A1" s="20" t="s">
        <v>0</v>
      </c>
      <c r="B1" s="21" t="s">
        <v>14</v>
      </c>
      <c r="C1" s="22" t="s">
        <v>1</v>
      </c>
      <c r="D1" s="23" t="s">
        <v>2</v>
      </c>
      <c r="E1" s="24" t="s">
        <v>33</v>
      </c>
      <c r="F1" s="25" t="s">
        <v>1</v>
      </c>
      <c r="G1" s="26" t="s">
        <v>2</v>
      </c>
      <c r="H1" s="21" t="s">
        <v>17</v>
      </c>
      <c r="I1" s="27" t="s">
        <v>1</v>
      </c>
      <c r="J1" s="28" t="s">
        <v>2</v>
      </c>
      <c r="M1" s="29" t="s">
        <v>3</v>
      </c>
      <c r="N1" s="92">
        <v>44196</v>
      </c>
      <c r="U1" s="148" t="s">
        <v>35</v>
      </c>
      <c r="V1" s="149"/>
      <c r="W1" s="150"/>
    </row>
    <row r="2" spans="1:25" x14ac:dyDescent="0.3">
      <c r="A2" s="30">
        <v>40753</v>
      </c>
      <c r="B2" s="93">
        <v>10000</v>
      </c>
      <c r="C2" s="94"/>
      <c r="D2" s="95"/>
      <c r="E2" s="96">
        <v>10000</v>
      </c>
      <c r="F2" s="94"/>
      <c r="G2" s="94"/>
      <c r="H2" s="97">
        <v>10000</v>
      </c>
      <c r="I2" s="94"/>
      <c r="J2" s="95"/>
      <c r="K2" s="75"/>
      <c r="L2" s="75"/>
      <c r="M2" s="31" t="s">
        <v>4</v>
      </c>
      <c r="N2" s="98">
        <v>7.2300000000000001E-4</v>
      </c>
      <c r="O2" s="32"/>
      <c r="P2" s="32"/>
      <c r="Q2" s="69"/>
      <c r="R2" s="69"/>
      <c r="S2" s="69"/>
      <c r="U2" s="151" t="s">
        <v>36</v>
      </c>
      <c r="V2" s="152"/>
      <c r="W2" s="153"/>
    </row>
    <row r="3" spans="1:25" x14ac:dyDescent="0.3">
      <c r="A3" s="30">
        <v>40755</v>
      </c>
      <c r="B3" s="99">
        <v>10000</v>
      </c>
      <c r="C3" s="94">
        <f>B3/B2-1</f>
        <v>0</v>
      </c>
      <c r="D3" s="95">
        <f>(B3-(MAX($B$2:B3)))/(MAX($B$2:B3))</f>
        <v>0</v>
      </c>
      <c r="E3" s="96">
        <f>E2*(1+F3)</f>
        <v>10020</v>
      </c>
      <c r="F3" s="100">
        <v>2.0000000000000018E-3</v>
      </c>
      <c r="G3" s="94">
        <f>(E3-(MAX($E$2:E3)))/(MAX($E$2:E3))</f>
        <v>0</v>
      </c>
      <c r="H3" s="97">
        <f>H2*(1+I3)</f>
        <v>10000</v>
      </c>
      <c r="I3" s="94">
        <v>0</v>
      </c>
      <c r="J3" s="94">
        <f>(H3-(MAX($E$2:H3)))/(MAX($E$2:H3))</f>
        <v>-1.996007984031936E-3</v>
      </c>
      <c r="K3" s="101"/>
      <c r="L3" s="75"/>
      <c r="M3" s="102" t="s">
        <v>5</v>
      </c>
      <c r="N3" s="103">
        <f>(COUNTA(C4:C1212))+O3</f>
        <v>113.06451612903226</v>
      </c>
      <c r="O3" s="33">
        <f>2/31</f>
        <v>6.4516129032258063E-2</v>
      </c>
      <c r="P3" s="34" t="s">
        <v>34</v>
      </c>
      <c r="U3" s="154" t="s">
        <v>37</v>
      </c>
      <c r="V3" s="155"/>
      <c r="W3" s="156"/>
    </row>
    <row r="4" spans="1:25" ht="15" thickBot="1" x14ac:dyDescent="0.35">
      <c r="A4" s="30">
        <f>EOMONTH(A3,1)</f>
        <v>40786</v>
      </c>
      <c r="B4" s="99">
        <v>9898.5</v>
      </c>
      <c r="C4" s="94">
        <f t="shared" ref="C4:C67" si="0">B4/B3-1</f>
        <v>-1.0149999999999992E-2</v>
      </c>
      <c r="D4" s="95">
        <f>(B4-(MAX($B$2:B4)))/(MAX($B$2:B4))</f>
        <v>-1.0149999999999999E-2</v>
      </c>
      <c r="E4" s="96">
        <f t="shared" ref="E4:E67" si="1">E3*(1+F4)</f>
        <v>9636.2340000000004</v>
      </c>
      <c r="F4" s="100">
        <v>-3.8300000000000001E-2</v>
      </c>
      <c r="G4" s="94">
        <f>(E4-(MAX($E$2:E4)))/(MAX($E$2:E4))</f>
        <v>-3.8299999999999959E-2</v>
      </c>
      <c r="H4" s="97">
        <f t="shared" ref="H4:H67" si="2">H3*(1+I4)</f>
        <v>9273.4944244508661</v>
      </c>
      <c r="I4" s="94">
        <v>-7.2650557554913453E-2</v>
      </c>
      <c r="J4" s="94">
        <f>(H4-(MAX($E$2:H4)))/(MAX($E$2:H4))</f>
        <v>-7.4501554446021356E-2</v>
      </c>
      <c r="K4" s="101"/>
      <c r="L4" s="75"/>
      <c r="U4" s="157" t="s">
        <v>38</v>
      </c>
      <c r="V4" s="158"/>
      <c r="W4" s="159"/>
    </row>
    <row r="5" spans="1:25" x14ac:dyDescent="0.3">
      <c r="A5" s="30">
        <f t="shared" ref="A5:A68" si="3">EOMONTH(A4,1)</f>
        <v>40816</v>
      </c>
      <c r="B5" s="99">
        <v>9537.9</v>
      </c>
      <c r="C5" s="94">
        <f t="shared" si="0"/>
        <v>-3.6429762085164463E-2</v>
      </c>
      <c r="D5" s="95">
        <f>(B5-(MAX($B$2:B5)))/(MAX($B$2:B5))</f>
        <v>-4.6210000000000036E-2</v>
      </c>
      <c r="E5" s="96">
        <f t="shared" si="1"/>
        <v>9157.313170200001</v>
      </c>
      <c r="F5" s="100">
        <v>-4.9699999999999994E-2</v>
      </c>
      <c r="G5" s="94">
        <f>(E5-(MAX($E$2:E5)))/(MAX($E$2:E5))</f>
        <v>-8.6096489999999901E-2</v>
      </c>
      <c r="H5" s="97">
        <f t="shared" si="2"/>
        <v>8401.4395376460361</v>
      </c>
      <c r="I5" s="94">
        <v>-9.4037354948479313E-2</v>
      </c>
      <c r="J5" s="94">
        <f>(H5-(MAX($E$2:H5)))/(MAX($E$2:H5))</f>
        <v>-0.16153298027484669</v>
      </c>
      <c r="K5" s="101"/>
      <c r="L5" s="75"/>
      <c r="M5" s="141" t="s">
        <v>43</v>
      </c>
      <c r="N5" s="142"/>
      <c r="O5" s="142"/>
      <c r="P5" s="142"/>
      <c r="Q5" s="142"/>
      <c r="R5" s="142"/>
      <c r="S5" s="143"/>
    </row>
    <row r="6" spans="1:25" x14ac:dyDescent="0.3">
      <c r="A6" s="30">
        <f t="shared" si="3"/>
        <v>40847</v>
      </c>
      <c r="B6" s="99">
        <v>10028.1</v>
      </c>
      <c r="C6" s="94">
        <f t="shared" si="0"/>
        <v>5.139496115497133E-2</v>
      </c>
      <c r="D6" s="95">
        <f>(B6-(MAX($B$2:B6)))/(MAX($B$2:B6))</f>
        <v>0</v>
      </c>
      <c r="E6" s="96">
        <f t="shared" si="1"/>
        <v>9683.8586774865016</v>
      </c>
      <c r="F6" s="100">
        <v>5.7500000000000002E-2</v>
      </c>
      <c r="G6" s="94">
        <f>(E6-(MAX($E$2:E6)))/(MAX($E$2:E6))</f>
        <v>-3.3547038174999835E-2</v>
      </c>
      <c r="H6" s="97">
        <f t="shared" si="2"/>
        <v>9303.1006789937419</v>
      </c>
      <c r="I6" s="94">
        <v>0.10732221987761137</v>
      </c>
      <c r="J6" s="94">
        <f>(H6-(MAX($E$2:H6)))/(MAX($E$2:H6))</f>
        <v>-7.154683842377825E-2</v>
      </c>
      <c r="K6" s="101"/>
      <c r="L6" s="75"/>
      <c r="M6" s="104"/>
      <c r="S6" s="105"/>
    </row>
    <row r="7" spans="1:25" x14ac:dyDescent="0.3">
      <c r="A7" s="30">
        <f t="shared" si="3"/>
        <v>40877</v>
      </c>
      <c r="B7" s="99">
        <v>10014.9</v>
      </c>
      <c r="C7" s="94">
        <f t="shared" si="0"/>
        <v>-1.3163011936458968E-3</v>
      </c>
      <c r="D7" s="95">
        <f>(B7-(MAX($B$2:B7)))/(MAX($B$2:B7))</f>
        <v>-1.3163011936459276E-3</v>
      </c>
      <c r="E7" s="96">
        <f t="shared" si="1"/>
        <v>9517.2963082337337</v>
      </c>
      <c r="F7" s="100">
        <v>-1.72E-2</v>
      </c>
      <c r="G7" s="94">
        <f>(E7-(MAX($E$2:E7)))/(MAX($E$2:E7))</f>
        <v>-5.0170029118389844E-2</v>
      </c>
      <c r="H7" s="97">
        <f t="shared" si="2"/>
        <v>9029.9076355771449</v>
      </c>
      <c r="I7" s="94">
        <v>-2.9365805320527461E-2</v>
      </c>
      <c r="J7" s="94">
        <f>(H7-(MAX($E$2:H7)))/(MAX($E$2:H7))</f>
        <v>-9.88116132158538E-2</v>
      </c>
      <c r="K7" s="101"/>
      <c r="L7" s="75"/>
      <c r="M7" s="106"/>
      <c r="N7" s="35" t="str">
        <f>B1</f>
        <v>TRXAX</v>
      </c>
      <c r="O7" s="36" t="str">
        <f>E1</f>
        <v>TRx Blended</v>
      </c>
      <c r="P7" s="36" t="str">
        <f>H1</f>
        <v>MSCI AWCI, grs</v>
      </c>
      <c r="S7" s="105"/>
    </row>
    <row r="8" spans="1:25" x14ac:dyDescent="0.3">
      <c r="A8" s="30">
        <f t="shared" si="3"/>
        <v>40908</v>
      </c>
      <c r="B8" s="99">
        <v>9999.35</v>
      </c>
      <c r="C8" s="94">
        <f t="shared" si="0"/>
        <v>-1.55268649711926E-3</v>
      </c>
      <c r="D8" s="95">
        <f>(B8-(MAX($B$2:B8)))/(MAX($B$2:B8))</f>
        <v>-2.8669438876756312E-3</v>
      </c>
      <c r="E8" s="96">
        <f t="shared" si="1"/>
        <v>9522.0549563878503</v>
      </c>
      <c r="F8" s="100">
        <v>5.0000000000000001E-4</v>
      </c>
      <c r="G8" s="94">
        <f>(E8-(MAX($E$2:E8)))/(MAX($E$2:E8))</f>
        <v>-4.9695114132949067E-2</v>
      </c>
      <c r="H8" s="97">
        <f t="shared" si="2"/>
        <v>9014.8385838637041</v>
      </c>
      <c r="I8" s="94">
        <v>-1.6687935604201565E-3</v>
      </c>
      <c r="J8" s="94">
        <f>(H8-(MAX($E$2:H8)))/(MAX($E$2:H8))</f>
        <v>-0.1003155105924447</v>
      </c>
      <c r="K8" s="101"/>
      <c r="L8" s="75"/>
      <c r="M8" s="37" t="s">
        <v>67</v>
      </c>
      <c r="N8" s="38">
        <f>((N29-N2)-N9*(O29-N2))*100</f>
        <v>-0.11566864533123986</v>
      </c>
      <c r="O8" s="39"/>
      <c r="P8" s="38">
        <f>((P29-N2)-P9*(O29-N2))*100</f>
        <v>-1.923817378183204</v>
      </c>
      <c r="S8" s="105"/>
    </row>
    <row r="9" spans="1:25" x14ac:dyDescent="0.3">
      <c r="A9" s="30">
        <f t="shared" si="3"/>
        <v>40939</v>
      </c>
      <c r="B9" s="99">
        <v>10182.69</v>
      </c>
      <c r="C9" s="94">
        <f t="shared" si="0"/>
        <v>1.8335191787466121E-2</v>
      </c>
      <c r="D9" s="95">
        <f>(B9-(MAX($B$2:B9)))/(MAX($B$2:B9))</f>
        <v>0</v>
      </c>
      <c r="E9" s="96">
        <f t="shared" si="1"/>
        <v>9849.613646887592</v>
      </c>
      <c r="F9" s="100">
        <v>3.44E-2</v>
      </c>
      <c r="G9" s="94">
        <f>(E9-(MAX($E$2:E9)))/(MAX($E$2:E9))</f>
        <v>-1.7004626059122552E-2</v>
      </c>
      <c r="H9" s="97">
        <f t="shared" si="2"/>
        <v>9541.5462619887603</v>
      </c>
      <c r="I9" s="94">
        <v>5.8426745329400287E-2</v>
      </c>
      <c r="J9" s="94">
        <f>(H9-(MAX($E$2:H9)))/(MAX($E$2:H9))</f>
        <v>-4.7749874053017935E-2</v>
      </c>
      <c r="K9" s="101"/>
      <c r="L9" s="75"/>
      <c r="M9" s="37" t="s">
        <v>68</v>
      </c>
      <c r="N9" s="40">
        <f>COVAR(C3:C116,F3:F116)/VAR(F4:F116)</f>
        <v>0.89162609226947742</v>
      </c>
      <c r="O9" s="40">
        <v>1</v>
      </c>
      <c r="P9" s="40">
        <f>COVAR(I3:I116,F3:F116)/VAR(F3:F116)</f>
        <v>1.8921419830380075</v>
      </c>
      <c r="S9" s="105"/>
    </row>
    <row r="10" spans="1:25" x14ac:dyDescent="0.3">
      <c r="A10" s="30">
        <f t="shared" si="3"/>
        <v>40968</v>
      </c>
      <c r="B10" s="99">
        <v>10318.69</v>
      </c>
      <c r="C10" s="94">
        <f t="shared" si="0"/>
        <v>1.3355999249707207E-2</v>
      </c>
      <c r="D10" s="95">
        <f>(B10-(MAX($B$2:B10)))/(MAX($B$2:B10))</f>
        <v>0</v>
      </c>
      <c r="E10" s="96">
        <f t="shared" si="1"/>
        <v>10119.493060812312</v>
      </c>
      <c r="F10" s="100">
        <v>2.7400000000000001E-2</v>
      </c>
      <c r="G10" s="94">
        <f>(E10-(MAX($E$2:E10)))/(MAX($E$2:E10))</f>
        <v>0</v>
      </c>
      <c r="H10" s="97">
        <f t="shared" si="2"/>
        <v>10026.41516123885</v>
      </c>
      <c r="I10" s="94">
        <v>5.0816595752587013E-2</v>
      </c>
      <c r="J10" s="94">
        <f>(H10-(MAX($E$2:H10)))/(MAX($E$2:H10))</f>
        <v>-9.1978816541616569E-3</v>
      </c>
      <c r="K10" s="101"/>
      <c r="L10" s="75"/>
      <c r="M10" s="37" t="s">
        <v>69</v>
      </c>
      <c r="N10" s="41">
        <f>RSQ(C3:C116,F3:F116)</f>
        <v>0.84262260266598865</v>
      </c>
      <c r="O10" s="41">
        <f>RSQ(F3:F116,F3:F116)</f>
        <v>1</v>
      </c>
      <c r="P10" s="41">
        <f>RSQ(I3:I116,F3:F116)</f>
        <v>0.99470654793193891</v>
      </c>
      <c r="S10" s="105"/>
    </row>
    <row r="11" spans="1:25" x14ac:dyDescent="0.3">
      <c r="A11" s="30">
        <f t="shared" si="3"/>
        <v>40999</v>
      </c>
      <c r="B11" s="99">
        <v>10431.61</v>
      </c>
      <c r="C11" s="94">
        <f t="shared" si="0"/>
        <v>1.0943249579161707E-2</v>
      </c>
      <c r="D11" s="95">
        <f>(B11-(MAX($B$2:B11)))/(MAX($B$2:B11))</f>
        <v>0</v>
      </c>
      <c r="E11" s="96">
        <f t="shared" si="1"/>
        <v>10167.05467819813</v>
      </c>
      <c r="F11" s="100">
        <v>4.6999999999999993E-3</v>
      </c>
      <c r="G11" s="94">
        <f>(E11-(MAX($E$2:E11)))/(MAX($E$2:E11))</f>
        <v>0</v>
      </c>
      <c r="H11" s="97">
        <f t="shared" si="2"/>
        <v>10097.860194656689</v>
      </c>
      <c r="I11" s="94">
        <v>7.1256807412123369E-3</v>
      </c>
      <c r="J11" s="94">
        <f>(H11-(MAX($E$2:H11)))/(MAX($E$2:H11))</f>
        <v>-6.8057550324598631E-3</v>
      </c>
      <c r="K11" s="101"/>
      <c r="L11" s="75"/>
      <c r="M11" s="37" t="s">
        <v>70</v>
      </c>
      <c r="N11" s="40">
        <f>(N29-$N$2)/N12</f>
        <v>0.73451278638375272</v>
      </c>
      <c r="O11" s="42">
        <f>(O29-$N$2)/O12</f>
        <v>0.83148190839201841</v>
      </c>
      <c r="P11" s="42">
        <f>(P29-$N$2)/P12</f>
        <v>0.68816280138502051</v>
      </c>
      <c r="S11" s="105"/>
    </row>
    <row r="12" spans="1:25" x14ac:dyDescent="0.3">
      <c r="A12" s="30">
        <f t="shared" si="3"/>
        <v>41029</v>
      </c>
      <c r="B12" s="99">
        <v>10413.73</v>
      </c>
      <c r="C12" s="94">
        <f t="shared" si="0"/>
        <v>-1.7140211338423361E-3</v>
      </c>
      <c r="D12" s="95">
        <f>(B12-(MAX($B$2:B12)))/(MAX($B$2:B12))</f>
        <v>-1.7140211338423329E-3</v>
      </c>
      <c r="E12" s="96">
        <f t="shared" si="1"/>
        <v>10121.30293214624</v>
      </c>
      <c r="F12" s="100">
        <v>-4.5000000000000005E-3</v>
      </c>
      <c r="G12" s="94">
        <f>(E12-(MAX($E$2:E12)))/(MAX($E$2:E12))</f>
        <v>-4.4999999999998661E-3</v>
      </c>
      <c r="H12" s="97">
        <f t="shared" si="2"/>
        <v>9988.8311734359195</v>
      </c>
      <c r="I12" s="94">
        <v>-1.0797240120086316E-2</v>
      </c>
      <c r="J12" s="94">
        <f>(H12-(MAX($E$2:H12)))/(MAX($E$2:H12))</f>
        <v>-1.7529511781262164E-2</v>
      </c>
      <c r="K12" s="101"/>
      <c r="L12" s="75"/>
      <c r="M12" s="37" t="s">
        <v>71</v>
      </c>
      <c r="N12" s="43">
        <f>STDEV(C4:C116)*SQRT(12)</f>
        <v>7.4189856007822866E-2</v>
      </c>
      <c r="O12" s="44">
        <f>STDEV(F4:F116)*SQRT(12)</f>
        <v>7.5063749398543766E-2</v>
      </c>
      <c r="P12" s="44">
        <f>STDEV(I4:I116)*SQRT(12)</f>
        <v>0.14365533681099346</v>
      </c>
      <c r="S12" s="105"/>
      <c r="U12" s="107"/>
      <c r="V12" s="108"/>
      <c r="W12" s="45" t="str">
        <f>B1</f>
        <v>TRXAX</v>
      </c>
      <c r="X12" s="46" t="str">
        <f>E1</f>
        <v>TRx Blended</v>
      </c>
      <c r="Y12" s="47" t="str">
        <f>H1</f>
        <v>MSCI AWCI, grs</v>
      </c>
    </row>
    <row r="13" spans="1:25" x14ac:dyDescent="0.3">
      <c r="A13" s="30">
        <f t="shared" si="3"/>
        <v>41060</v>
      </c>
      <c r="B13" s="99">
        <v>9941.75</v>
      </c>
      <c r="C13" s="94">
        <f t="shared" si="0"/>
        <v>-4.532285741996378E-2</v>
      </c>
      <c r="D13" s="95">
        <f>(B13-(MAX($B$2:B13)))/(MAX($B$2:B13))</f>
        <v>-4.6959194218342187E-2</v>
      </c>
      <c r="E13" s="96">
        <f t="shared" si="1"/>
        <v>9663.8200396132306</v>
      </c>
      <c r="F13" s="100">
        <v>-4.5199999999999997E-2</v>
      </c>
      <c r="G13" s="94">
        <f>(E13-(MAX($E$2:E13)))/(MAX($E$2:E13))</f>
        <v>-4.9496599999999807E-2</v>
      </c>
      <c r="H13" s="97">
        <f t="shared" si="2"/>
        <v>9102.2390838016527</v>
      </c>
      <c r="I13" s="94">
        <v>-8.8758341615788883E-2</v>
      </c>
      <c r="J13" s="94">
        <f>(H13-(MAX($E$2:H13)))/(MAX($E$2:H13))</f>
        <v>-0.10473196300201179</v>
      </c>
      <c r="K13" s="101"/>
      <c r="L13" s="75"/>
      <c r="M13" s="104"/>
      <c r="S13" s="105"/>
      <c r="U13" s="109" t="s">
        <v>45</v>
      </c>
      <c r="V13" s="48">
        <f>EOMONTH(V19,-3)</f>
        <v>44104</v>
      </c>
      <c r="W13" s="110">
        <f t="shared" ref="W13:W19" si="4">SUMIF(A:A,$V13,B:B)</f>
        <v>15224</v>
      </c>
      <c r="X13" s="110">
        <f t="shared" ref="X13:X19" si="5">SUMIF(A:A,$V13,E:E)</f>
        <v>16548.299196460677</v>
      </c>
      <c r="Y13" s="111">
        <f t="shared" ref="Y13:Y19" si="6">SUMIF(A:A,$V13,H:H)</f>
        <v>21308.470906190552</v>
      </c>
    </row>
    <row r="14" spans="1:25" x14ac:dyDescent="0.3">
      <c r="A14" s="30">
        <f t="shared" si="3"/>
        <v>41090</v>
      </c>
      <c r="B14" s="99">
        <v>10182.76</v>
      </c>
      <c r="C14" s="94">
        <f t="shared" si="0"/>
        <v>2.4242210878366421E-2</v>
      </c>
      <c r="D14" s="95">
        <f>(B14-(MAX($B$2:B14)))/(MAX($B$2:B14))</f>
        <v>-2.3855378028894904E-2</v>
      </c>
      <c r="E14" s="96">
        <f t="shared" si="1"/>
        <v>9920.8776526669426</v>
      </c>
      <c r="F14" s="100">
        <v>2.6600000000000002E-2</v>
      </c>
      <c r="G14" s="94">
        <f>(E14-(MAX($E$2:E14)))/(MAX($E$2:E14))</f>
        <v>-2.4213209559999796E-2</v>
      </c>
      <c r="H14" s="97">
        <f t="shared" si="2"/>
        <v>9556.2607477795282</v>
      </c>
      <c r="I14" s="94">
        <v>4.9880217361665702E-2</v>
      </c>
      <c r="J14" s="94">
        <f>(H14-(MAX($E$2:H14)))/(MAX($E$2:H14))</f>
        <v>-6.0075798719600358E-2</v>
      </c>
      <c r="K14" s="101"/>
      <c r="L14" s="75"/>
      <c r="M14" s="49" t="s">
        <v>10</v>
      </c>
      <c r="N14" s="50" t="str">
        <f>U13</f>
        <v>QTD</v>
      </c>
      <c r="O14" s="50" t="str">
        <f>U14</f>
        <v>YTD</v>
      </c>
      <c r="P14" s="50" t="str">
        <f>U15</f>
        <v>1YR</v>
      </c>
      <c r="Q14" s="50" t="str">
        <f>U16</f>
        <v>3YR</v>
      </c>
      <c r="R14" s="50" t="str">
        <f>U17</f>
        <v>5YR</v>
      </c>
      <c r="S14" s="51" t="str">
        <f>U18</f>
        <v>Inception</v>
      </c>
      <c r="T14" s="69"/>
      <c r="U14" s="109" t="s">
        <v>41</v>
      </c>
      <c r="V14" s="67">
        <v>43830</v>
      </c>
      <c r="W14" s="110">
        <f t="shared" si="4"/>
        <v>16015</v>
      </c>
      <c r="X14" s="110">
        <f t="shared" si="5"/>
        <v>16042.626142873261</v>
      </c>
      <c r="Y14" s="111">
        <f t="shared" si="6"/>
        <v>20937.826865459945</v>
      </c>
    </row>
    <row r="15" spans="1:25" x14ac:dyDescent="0.3">
      <c r="A15" s="30">
        <f t="shared" si="3"/>
        <v>41121</v>
      </c>
      <c r="B15" s="99">
        <v>10383.14</v>
      </c>
      <c r="C15" s="94">
        <f t="shared" si="0"/>
        <v>1.9678358323283573E-2</v>
      </c>
      <c r="D15" s="95">
        <f>(B15-(MAX($B$2:B15)))/(MAX($B$2:B15))</f>
        <v>-4.6464543824012942E-3</v>
      </c>
      <c r="E15" s="96">
        <f t="shared" si="1"/>
        <v>10027.031043550478</v>
      </c>
      <c r="F15" s="100">
        <v>1.0700000000000001E-2</v>
      </c>
      <c r="G15" s="94">
        <f>(E15-(MAX($E$2:E15)))/(MAX($E$2:E15))</f>
        <v>-1.3772290902291881E-2</v>
      </c>
      <c r="H15" s="97">
        <f t="shared" si="2"/>
        <v>9690.2866665484762</v>
      </c>
      <c r="I15" s="94">
        <v>1.4024933214603852E-2</v>
      </c>
      <c r="J15" s="94">
        <f>(H15-(MAX($E$2:H15)))/(MAX($E$2:H15))</f>
        <v>-4.689342456985289E-2</v>
      </c>
      <c r="K15" s="101"/>
      <c r="L15" s="75"/>
      <c r="M15" s="52" t="s">
        <v>11</v>
      </c>
      <c r="N15" s="53">
        <f>W21*100</f>
        <v>8.9923804519180131</v>
      </c>
      <c r="O15" s="53">
        <f>W22*100</f>
        <v>3.6091164533250009</v>
      </c>
      <c r="P15" s="53">
        <f>W23*100</f>
        <v>3.6091164533250009</v>
      </c>
      <c r="Q15" s="53">
        <f>W24*100</f>
        <v>3.7833485746914697</v>
      </c>
      <c r="R15" s="53">
        <f>W25*100</f>
        <v>5.414607529489901</v>
      </c>
      <c r="S15" s="54">
        <f>W26*100</f>
        <v>5.5216397857715371</v>
      </c>
      <c r="T15" s="69"/>
      <c r="U15" s="109" t="s">
        <v>15</v>
      </c>
      <c r="V15" s="48">
        <f>EOMONTH(V19,-12)</f>
        <v>43830</v>
      </c>
      <c r="W15" s="110">
        <f t="shared" si="4"/>
        <v>16015</v>
      </c>
      <c r="X15" s="110">
        <f t="shared" si="5"/>
        <v>16042.626142873261</v>
      </c>
      <c r="Y15" s="111">
        <f t="shared" si="6"/>
        <v>20937.826865459945</v>
      </c>
    </row>
    <row r="16" spans="1:25" x14ac:dyDescent="0.3">
      <c r="A16" s="30">
        <f t="shared" si="3"/>
        <v>41152</v>
      </c>
      <c r="B16" s="99">
        <v>10605.35</v>
      </c>
      <c r="C16" s="94">
        <f t="shared" si="0"/>
        <v>2.1401040533018056E-2</v>
      </c>
      <c r="D16" s="95">
        <f>(B16-(MAX($B$2:B16)))/(MAX($B$2:B16))</f>
        <v>0</v>
      </c>
      <c r="E16" s="96">
        <f t="shared" si="1"/>
        <v>10156.379744012278</v>
      </c>
      <c r="F16" s="100">
        <v>1.29E-2</v>
      </c>
      <c r="G16" s="94">
        <f>(E16-(MAX($E$2:E16)))/(MAX($E$2:E16))</f>
        <v>-1.0499534549315574E-3</v>
      </c>
      <c r="H16" s="97">
        <f t="shared" si="2"/>
        <v>9905.8627475313315</v>
      </c>
      <c r="I16" s="94">
        <v>2.2246615440907336E-2</v>
      </c>
      <c r="J16" s="94">
        <f>(H16-(MAX($E$2:H16)))/(MAX($E$2:H16))</f>
        <v>-2.5690029112058324E-2</v>
      </c>
      <c r="K16" s="101"/>
      <c r="L16" s="75"/>
      <c r="M16" s="52" t="s">
        <v>12</v>
      </c>
      <c r="N16" s="70">
        <v>8.8000000000000007</v>
      </c>
      <c r="O16" s="70">
        <v>2.84</v>
      </c>
      <c r="P16" s="70">
        <v>2.84</v>
      </c>
      <c r="Q16" s="55">
        <v>3.04</v>
      </c>
      <c r="R16" s="70">
        <v>4.63</v>
      </c>
      <c r="S16" s="71">
        <v>4.7300000000000004</v>
      </c>
      <c r="T16" s="69"/>
      <c r="U16" s="109" t="s">
        <v>16</v>
      </c>
      <c r="V16" s="48">
        <f>EOMONTH(N1,-36)</f>
        <v>43100</v>
      </c>
      <c r="W16" s="110">
        <f t="shared" si="4"/>
        <v>14843.69</v>
      </c>
      <c r="X16" s="110">
        <f t="shared" si="5"/>
        <v>14359.133979164135</v>
      </c>
      <c r="Y16" s="111">
        <f t="shared" si="6"/>
        <v>18060.701685960954</v>
      </c>
    </row>
    <row r="17" spans="1:25" x14ac:dyDescent="0.3">
      <c r="A17" s="30">
        <f t="shared" si="3"/>
        <v>41182</v>
      </c>
      <c r="B17" s="99">
        <v>10808.93</v>
      </c>
      <c r="C17" s="94">
        <f t="shared" si="0"/>
        <v>1.9195971844399251E-2</v>
      </c>
      <c r="D17" s="95">
        <f>(B17-(MAX($B$2:B17)))/(MAX($B$2:B17))</f>
        <v>0</v>
      </c>
      <c r="E17" s="96">
        <f t="shared" si="1"/>
        <v>10338.178941430098</v>
      </c>
      <c r="F17" s="100">
        <v>1.7899999999999999E-2</v>
      </c>
      <c r="G17" s="94">
        <f>(E17-(MAX($E$2:E17)))/(MAX($E$2:E17))</f>
        <v>0</v>
      </c>
      <c r="H17" s="97">
        <f t="shared" si="2"/>
        <v>10221.958267590901</v>
      </c>
      <c r="I17" s="94">
        <v>3.190994344620246E-2</v>
      </c>
      <c r="J17" s="94">
        <f>(H17-(MAX($E$2:H17)))/(MAX($E$2:H17))</f>
        <v>-1.1241890326878095E-2</v>
      </c>
      <c r="K17" s="101"/>
      <c r="L17" s="75"/>
      <c r="M17" s="57" t="s">
        <v>63</v>
      </c>
      <c r="N17" s="144">
        <v>7.59</v>
      </c>
      <c r="O17" s="132">
        <v>10.99</v>
      </c>
      <c r="P17" s="132">
        <v>10.99</v>
      </c>
      <c r="Q17" s="132">
        <v>7.44</v>
      </c>
      <c r="R17" s="132">
        <v>8.01</v>
      </c>
      <c r="S17" s="145">
        <v>6.29</v>
      </c>
      <c r="T17" s="81"/>
      <c r="U17" s="109" t="s">
        <v>40</v>
      </c>
      <c r="V17" s="48">
        <f>EOMONTH(N1,-60)</f>
        <v>42369</v>
      </c>
      <c r="W17" s="110">
        <f t="shared" si="4"/>
        <v>12747.38</v>
      </c>
      <c r="X17" s="110">
        <f t="shared" si="5"/>
        <v>12113.190042907261</v>
      </c>
      <c r="Y17" s="111">
        <f t="shared" si="6"/>
        <v>13358.625702483727</v>
      </c>
    </row>
    <row r="18" spans="1:25" x14ac:dyDescent="0.3">
      <c r="A18" s="30">
        <f t="shared" si="3"/>
        <v>41213</v>
      </c>
      <c r="B18" s="99">
        <v>10798.78</v>
      </c>
      <c r="C18" s="94">
        <f t="shared" si="0"/>
        <v>-9.3903836920028461E-4</v>
      </c>
      <c r="D18" s="95">
        <f>(B18-(MAX($B$2:B18)))/(MAX($B$2:B18))</f>
        <v>-9.3903836920024796E-4</v>
      </c>
      <c r="E18" s="96">
        <f t="shared" si="1"/>
        <v>10317.502583547239</v>
      </c>
      <c r="F18" s="100">
        <v>-2E-3</v>
      </c>
      <c r="G18" s="94">
        <f>(E18-(MAX($E$2:E18)))/(MAX($E$2:E18))</f>
        <v>-1.9999999999999346E-3</v>
      </c>
      <c r="H18" s="97">
        <f t="shared" si="2"/>
        <v>10156.540854858436</v>
      </c>
      <c r="I18" s="94">
        <v>-6.3996947571065554E-3</v>
      </c>
      <c r="J18" s="94">
        <f>(H18-(MAX($E$2:H18)))/(MAX($E$2:H18))</f>
        <v>-1.7569640417399817E-2</v>
      </c>
      <c r="K18" s="101"/>
      <c r="L18" s="75"/>
      <c r="M18" s="57" t="s">
        <v>97</v>
      </c>
      <c r="N18" s="55">
        <v>8.6</v>
      </c>
      <c r="O18" s="55">
        <v>3.07</v>
      </c>
      <c r="P18" s="55">
        <v>3.07</v>
      </c>
      <c r="Q18" s="70">
        <v>3.77</v>
      </c>
      <c r="R18" s="55">
        <v>5.77</v>
      </c>
      <c r="S18" s="56">
        <v>4.8600000000000003</v>
      </c>
      <c r="T18" s="69" t="s">
        <v>82</v>
      </c>
      <c r="U18" s="109" t="s">
        <v>6</v>
      </c>
      <c r="V18" s="48">
        <f>A2</f>
        <v>40753</v>
      </c>
      <c r="W18" s="110">
        <f t="shared" si="4"/>
        <v>10000</v>
      </c>
      <c r="X18" s="110">
        <f t="shared" si="5"/>
        <v>10000</v>
      </c>
      <c r="Y18" s="111">
        <f t="shared" si="6"/>
        <v>10000</v>
      </c>
    </row>
    <row r="19" spans="1:25" x14ac:dyDescent="0.3">
      <c r="A19" s="30">
        <f t="shared" si="3"/>
        <v>41243</v>
      </c>
      <c r="B19" s="99">
        <v>10920.57</v>
      </c>
      <c r="C19" s="94">
        <f t="shared" si="0"/>
        <v>1.1278125862365762E-2</v>
      </c>
      <c r="D19" s="95">
        <f>(B19-(MAX($B$2:B19)))/(MAX($B$2:B19))</f>
        <v>0</v>
      </c>
      <c r="E19" s="96">
        <f t="shared" si="1"/>
        <v>10388.693351373713</v>
      </c>
      <c r="F19" s="100">
        <v>6.8999999999999999E-3</v>
      </c>
      <c r="G19" s="94">
        <f>(E19-(MAX($E$2:E19)))/(MAX($E$2:E19))</f>
        <v>0</v>
      </c>
      <c r="H19" s="97">
        <f t="shared" si="2"/>
        <v>10291.275905472723</v>
      </c>
      <c r="I19" s="94">
        <v>1.3265840460813472E-2</v>
      </c>
      <c r="J19" s="94">
        <f>(H19-(MAX($E$2:H19)))/(MAX($E$2:H19))</f>
        <v>-9.3772568508924559E-3</v>
      </c>
      <c r="K19" s="101"/>
      <c r="L19" s="75"/>
      <c r="M19" s="59" t="str">
        <f>H1</f>
        <v>MSCI AWCI, grs</v>
      </c>
      <c r="N19" s="129">
        <f>Y21*100</f>
        <v>14.787179126190807</v>
      </c>
      <c r="O19" s="129">
        <f>Y22*100</f>
        <v>16.819156187075947</v>
      </c>
      <c r="P19" s="129">
        <f>Y23*100</f>
        <v>16.819156187075947</v>
      </c>
      <c r="Q19" s="129">
        <f>Y24*100</f>
        <v>10.637838704654822</v>
      </c>
      <c r="R19" s="129">
        <f>Y25*100</f>
        <v>12.859150649440698</v>
      </c>
      <c r="S19" s="130">
        <f>Y26*100</f>
        <v>9.9581259013761922</v>
      </c>
      <c r="T19" s="69"/>
      <c r="U19" s="112" t="s">
        <v>7</v>
      </c>
      <c r="V19" s="60">
        <f>N1</f>
        <v>44196</v>
      </c>
      <c r="W19" s="113">
        <f t="shared" si="4"/>
        <v>16593</v>
      </c>
      <c r="X19" s="113">
        <f t="shared" si="5"/>
        <v>17804.323345201181</v>
      </c>
      <c r="Y19" s="114">
        <f t="shared" si="6"/>
        <v>24459.392668141201</v>
      </c>
    </row>
    <row r="20" spans="1:25" x14ac:dyDescent="0.3">
      <c r="A20" s="30">
        <f t="shared" si="3"/>
        <v>41274</v>
      </c>
      <c r="B20" s="99">
        <v>11206.8</v>
      </c>
      <c r="C20" s="94">
        <f t="shared" si="0"/>
        <v>2.6210170348250905E-2</v>
      </c>
      <c r="D20" s="95">
        <f>(B20-(MAX($B$2:B20)))/(MAX($B$2:B20))</f>
        <v>0</v>
      </c>
      <c r="E20" s="96">
        <f t="shared" si="1"/>
        <v>10516.47427959561</v>
      </c>
      <c r="F20" s="100">
        <v>1.23E-2</v>
      </c>
      <c r="G20" s="94">
        <f>(E20-(MAX($E$2:E20)))/(MAX($E$2:E20))</f>
        <v>0</v>
      </c>
      <c r="H20" s="97">
        <f t="shared" si="2"/>
        <v>10529.36692254507</v>
      </c>
      <c r="I20" s="94">
        <v>2.3135228251507156E-2</v>
      </c>
      <c r="J20" s="94">
        <f>(H20-(MAX($E$2:H20)))/(MAX($E$2:H20))</f>
        <v>0</v>
      </c>
      <c r="K20" s="101"/>
      <c r="L20" s="75"/>
      <c r="M20" s="52" t="s">
        <v>13</v>
      </c>
      <c r="N20" s="55">
        <v>2.72</v>
      </c>
      <c r="O20" s="55">
        <v>-2.35</v>
      </c>
      <c r="P20" s="55">
        <v>-2.35</v>
      </c>
      <c r="Q20" s="70">
        <v>1.75</v>
      </c>
      <c r="R20" s="55">
        <v>4.17</v>
      </c>
      <c r="S20" s="56">
        <v>4.8600000000000003</v>
      </c>
      <c r="T20" s="69"/>
    </row>
    <row r="21" spans="1:25" x14ac:dyDescent="0.3">
      <c r="A21" s="30">
        <f t="shared" si="3"/>
        <v>41305</v>
      </c>
      <c r="B21" s="99">
        <v>11464.78</v>
      </c>
      <c r="C21" s="94">
        <f t="shared" si="0"/>
        <v>2.3019952171895675E-2</v>
      </c>
      <c r="D21" s="95">
        <f>(B21-(MAX($B$2:B21)))/(MAX($B$2:B21))</f>
        <v>0</v>
      </c>
      <c r="E21" s="96">
        <f t="shared" si="1"/>
        <v>10768.869662305904</v>
      </c>
      <c r="F21" s="100">
        <v>2.4E-2</v>
      </c>
      <c r="G21" s="94">
        <f>(E21-(MAX($E$2:E21)))/(MAX($E$2:E21))</f>
        <v>0</v>
      </c>
      <c r="H21" s="97">
        <f t="shared" si="2"/>
        <v>11017.426915099188</v>
      </c>
      <c r="I21" s="94">
        <v>4.6352263734783739E-2</v>
      </c>
      <c r="J21" s="94">
        <f>(H21-(MAX($E$2:H21)))/(MAX($E$2:H21))</f>
        <v>0</v>
      </c>
      <c r="K21" s="101"/>
      <c r="L21" s="75"/>
      <c r="M21" s="52" t="s">
        <v>51</v>
      </c>
      <c r="N21" s="70">
        <v>9.0500000000000007</v>
      </c>
      <c r="O21" s="70">
        <v>3.88</v>
      </c>
      <c r="P21" s="55">
        <v>3.88</v>
      </c>
      <c r="Q21" s="70">
        <v>4.07</v>
      </c>
      <c r="R21" s="70">
        <v>5.71</v>
      </c>
      <c r="S21" s="56">
        <v>4.0599999999999996</v>
      </c>
      <c r="T21" s="69"/>
      <c r="U21" s="102" t="str">
        <f>U13</f>
        <v>QTD</v>
      </c>
      <c r="V21" s="102"/>
      <c r="W21" s="115">
        <f>W19/W13-1</f>
        <v>8.9923804519180139E-2</v>
      </c>
      <c r="X21" s="115">
        <f t="shared" ref="X21:Y21" si="7">X19/X13-1</f>
        <v>7.5900497920000198E-2</v>
      </c>
      <c r="Y21" s="115">
        <f t="shared" si="7"/>
        <v>0.14787179126190808</v>
      </c>
    </row>
    <row r="22" spans="1:25" x14ac:dyDescent="0.3">
      <c r="A22" s="30">
        <f t="shared" si="3"/>
        <v>41333</v>
      </c>
      <c r="B22" s="99">
        <v>11351.27</v>
      </c>
      <c r="C22" s="94">
        <f t="shared" si="0"/>
        <v>-9.9007569268664275E-3</v>
      </c>
      <c r="D22" s="95">
        <f>(B22-(MAX($B$2:B22)))/(MAX($B$2:B22))</f>
        <v>-9.9007569268664743E-3</v>
      </c>
      <c r="E22" s="96">
        <f t="shared" si="1"/>
        <v>10781.792305900672</v>
      </c>
      <c r="F22" s="100">
        <v>1.1999999999999999E-3</v>
      </c>
      <c r="G22" s="94">
        <f>(E22-(MAX($E$2:E22)))/(MAX($E$2:E22))</f>
        <v>0</v>
      </c>
      <c r="H22" s="97">
        <f t="shared" si="2"/>
        <v>11020.795291364544</v>
      </c>
      <c r="I22" s="94">
        <v>3.0573166414571418E-4</v>
      </c>
      <c r="J22" s="94">
        <f>(H22-(MAX($E$2:H22)))/(MAX($E$2:H22))</f>
        <v>0</v>
      </c>
      <c r="K22" s="101"/>
      <c r="L22" s="75"/>
      <c r="M22" s="59" t="str">
        <f>H1</f>
        <v>MSCI AWCI, grs</v>
      </c>
      <c r="N22" s="58">
        <f>N19</f>
        <v>14.787179126190807</v>
      </c>
      <c r="O22" s="58">
        <f>O19</f>
        <v>16.819156187075947</v>
      </c>
      <c r="P22" s="58">
        <f>P19</f>
        <v>16.819156187075947</v>
      </c>
      <c r="Q22" s="58">
        <f>Q19</f>
        <v>10.637838704654822</v>
      </c>
      <c r="R22" s="58">
        <f>R19</f>
        <v>12.859150649440698</v>
      </c>
      <c r="S22" s="131">
        <v>9.16</v>
      </c>
      <c r="T22" s="69"/>
      <c r="U22" s="102" t="str">
        <f>U14</f>
        <v>YTD</v>
      </c>
      <c r="V22" s="102"/>
      <c r="W22" s="115">
        <f>W19/W14-1</f>
        <v>3.6091164533250009E-2</v>
      </c>
      <c r="X22" s="146">
        <v>0.1099</v>
      </c>
      <c r="Y22" s="115">
        <f>Y19/Y14-1</f>
        <v>0.16819156187075945</v>
      </c>
    </row>
    <row r="23" spans="1:25" ht="15" thickBot="1" x14ac:dyDescent="0.35">
      <c r="A23" s="30">
        <f t="shared" si="3"/>
        <v>41364</v>
      </c>
      <c r="B23" s="99">
        <v>11485.86</v>
      </c>
      <c r="C23" s="94">
        <f t="shared" si="0"/>
        <v>1.1856823069136713E-2</v>
      </c>
      <c r="D23" s="95">
        <f>(B23-(MAX($B$2:B23)))/(MAX($B$2:B23))</f>
        <v>0</v>
      </c>
      <c r="E23" s="96">
        <f t="shared" si="1"/>
        <v>10887.453870498499</v>
      </c>
      <c r="F23" s="100">
        <v>9.7999999999999997E-3</v>
      </c>
      <c r="G23" s="94">
        <f>(E23-(MAX($E$2:E23)))/(MAX($E$2:E23))</f>
        <v>0</v>
      </c>
      <c r="H23" s="97">
        <f t="shared" si="2"/>
        <v>11227.507224280671</v>
      </c>
      <c r="I23" s="94">
        <v>1.8756535027748766E-2</v>
      </c>
      <c r="J23" s="94">
        <f>(H23-(MAX($E$2:H23)))/(MAX($E$2:H23))</f>
        <v>0</v>
      </c>
      <c r="K23" s="101"/>
      <c r="L23" s="75"/>
      <c r="M23" s="116"/>
      <c r="N23" s="117"/>
      <c r="O23" s="117"/>
      <c r="P23" s="117"/>
      <c r="Q23" s="117"/>
      <c r="R23" s="117"/>
      <c r="S23" s="118"/>
      <c r="T23" s="69"/>
      <c r="U23" s="102" t="s">
        <v>15</v>
      </c>
      <c r="V23" s="102"/>
      <c r="W23" s="115">
        <f>W19/W15-1</f>
        <v>3.6091164533250009E-2</v>
      </c>
      <c r="X23" s="146">
        <v>0.1099</v>
      </c>
      <c r="Y23" s="115">
        <f>Y19/Y15-1</f>
        <v>0.16819156187075945</v>
      </c>
    </row>
    <row r="24" spans="1:25" x14ac:dyDescent="0.3">
      <c r="A24" s="30">
        <f t="shared" si="3"/>
        <v>41394</v>
      </c>
      <c r="B24" s="99">
        <v>11516.91</v>
      </c>
      <c r="C24" s="94">
        <f t="shared" si="0"/>
        <v>2.7033239130547226E-3</v>
      </c>
      <c r="D24" s="95">
        <f>(B24-(MAX($B$2:B24)))/(MAX($B$2:B24))</f>
        <v>0</v>
      </c>
      <c r="E24" s="96">
        <f t="shared" si="1"/>
        <v>11059.475641652376</v>
      </c>
      <c r="F24" s="100">
        <v>1.5800000000000002E-2</v>
      </c>
      <c r="G24" s="94">
        <f>(E24-(MAX($E$2:E24)))/(MAX($E$2:E24))</f>
        <v>0</v>
      </c>
      <c r="H24" s="97">
        <f t="shared" si="2"/>
        <v>11555.835268672326</v>
      </c>
      <c r="I24" s="94">
        <v>2.9243182643571286E-2</v>
      </c>
      <c r="J24" s="94">
        <f>(H24-(MAX($E$2:H24)))/(MAX($E$2:H24))</f>
        <v>0</v>
      </c>
      <c r="K24" s="101"/>
      <c r="L24" s="75"/>
      <c r="O24" s="91"/>
      <c r="P24" s="91"/>
      <c r="Q24" s="91"/>
      <c r="R24" s="91"/>
      <c r="U24" s="102" t="s">
        <v>16</v>
      </c>
      <c r="V24" s="102"/>
      <c r="W24" s="115">
        <f>POWER(W19/W16,12/36)-1</f>
        <v>3.7833485746914697E-2</v>
      </c>
      <c r="X24" s="115">
        <f>POWER(X19/X16,12/36)-1</f>
        <v>7.431690186327633E-2</v>
      </c>
      <c r="Y24" s="115">
        <f>POWER(Y19/Y16,12/36)-1</f>
        <v>0.10637838704654823</v>
      </c>
    </row>
    <row r="25" spans="1:25" x14ac:dyDescent="0.3">
      <c r="A25" s="30">
        <f t="shared" si="3"/>
        <v>41425</v>
      </c>
      <c r="B25" s="99">
        <v>11496.21</v>
      </c>
      <c r="C25" s="94">
        <f t="shared" si="0"/>
        <v>-1.797357103598185E-3</v>
      </c>
      <c r="D25" s="95">
        <f>(B25-(MAX($B$2:B25)))/(MAX($B$2:B25))</f>
        <v>-1.7973571035981638E-3</v>
      </c>
      <c r="E25" s="96">
        <f t="shared" si="1"/>
        <v>11041.780480625732</v>
      </c>
      <c r="F25" s="100">
        <v>-1.6000000000000001E-3</v>
      </c>
      <c r="G25" s="94">
        <f>(E25-(MAX($E$2:E25)))/(MAX($E$2:E25))</f>
        <v>-1.6000000000000361E-3</v>
      </c>
      <c r="H25" s="97">
        <f t="shared" si="2"/>
        <v>11543.425461378903</v>
      </c>
      <c r="I25" s="94">
        <v>-1.0738996364083597E-3</v>
      </c>
      <c r="J25" s="94">
        <f>(H25-(MAX($E$2:H25)))/(MAX($E$2:H25))</f>
        <v>-1.0738996364084367E-3</v>
      </c>
      <c r="K25" s="101"/>
      <c r="L25" s="75"/>
      <c r="N25" s="35" t="s">
        <v>14</v>
      </c>
      <c r="O25" s="36" t="s">
        <v>53</v>
      </c>
      <c r="P25" s="36" t="s">
        <v>17</v>
      </c>
      <c r="Q25" s="91"/>
      <c r="R25" s="91"/>
      <c r="U25" s="102" t="s">
        <v>40</v>
      </c>
      <c r="V25" s="102"/>
      <c r="W25" s="115">
        <f>POWER(W19/W17,12/60)-1</f>
        <v>5.414607529489901E-2</v>
      </c>
      <c r="X25" s="115">
        <f>POWER(X19/X17,12/60)-1</f>
        <v>8.0073693421161662E-2</v>
      </c>
      <c r="Y25" s="115">
        <f>POWER(Y19/Y17,12/60)-1</f>
        <v>0.12859150649440698</v>
      </c>
    </row>
    <row r="26" spans="1:25" x14ac:dyDescent="0.3">
      <c r="A26" s="30">
        <f t="shared" si="3"/>
        <v>41455</v>
      </c>
      <c r="B26" s="99">
        <v>11316.21</v>
      </c>
      <c r="C26" s="94">
        <f t="shared" si="0"/>
        <v>-1.5657334025735437E-2</v>
      </c>
      <c r="D26" s="95">
        <f>(B26-(MAX($B$2:B26)))/(MAX($B$2:B26))</f>
        <v>-1.7426549308799038E-2</v>
      </c>
      <c r="E26" s="96">
        <f t="shared" si="1"/>
        <v>10864.007814887658</v>
      </c>
      <c r="F26" s="100">
        <v>-1.61E-2</v>
      </c>
      <c r="G26" s="94">
        <f>(E26-(MAX($E$2:E26)))/(MAX($E$2:E26))</f>
        <v>-1.767423999999997E-2</v>
      </c>
      <c r="H26" s="97">
        <f t="shared" si="2"/>
        <v>11201.446628964488</v>
      </c>
      <c r="I26" s="94">
        <v>-2.9625420422956905E-2</v>
      </c>
      <c r="J26" s="94">
        <f>(H26-(MAX($E$2:H26)))/(MAX($E$2:H26))</f>
        <v>-3.0667505331144707E-2</v>
      </c>
      <c r="K26" s="101"/>
      <c r="L26" s="75"/>
      <c r="M26" s="61" t="s">
        <v>64</v>
      </c>
      <c r="N26" s="62">
        <f>N30/$N$3</f>
        <v>0.60142653352353781</v>
      </c>
      <c r="O26" s="63">
        <f>O30/$N$3</f>
        <v>0.69871611982881598</v>
      </c>
      <c r="P26" s="63">
        <f>P30/$N$3</f>
        <v>0.66333808844507847</v>
      </c>
      <c r="U26" s="102" t="s">
        <v>6</v>
      </c>
      <c r="V26" s="102"/>
      <c r="W26" s="115">
        <f>POWER(W19/W18,12/$N$3)-1</f>
        <v>5.5216397857715371E-2</v>
      </c>
      <c r="X26" s="115">
        <f>POWER(X19/X18,12/$N$3)-1</f>
        <v>6.3137149600961395E-2</v>
      </c>
      <c r="Y26" s="115">
        <f>POWER(Y19/Y18,12/$N$3)-1</f>
        <v>9.9581259013761914E-2</v>
      </c>
    </row>
    <row r="27" spans="1:25" x14ac:dyDescent="0.3">
      <c r="A27" s="30">
        <f t="shared" si="3"/>
        <v>41486</v>
      </c>
      <c r="B27" s="99">
        <v>11721.85</v>
      </c>
      <c r="C27" s="94">
        <f t="shared" si="0"/>
        <v>3.5845923679394431E-2</v>
      </c>
      <c r="D27" s="95">
        <f>(B27-(MAX($B$2:B27)))/(MAX($B$2:B27))</f>
        <v>0</v>
      </c>
      <c r="E27" s="96">
        <f t="shared" si="1"/>
        <v>11147.558418856226</v>
      </c>
      <c r="F27" s="100">
        <v>2.6099999999999998E-2</v>
      </c>
      <c r="G27" s="94">
        <f>(E27-(MAX($E$2:E27)))/(MAX($E$2:E27))</f>
        <v>0</v>
      </c>
      <c r="H27" s="97">
        <f t="shared" si="2"/>
        <v>11741.2732462283</v>
      </c>
      <c r="I27" s="94">
        <v>4.8192580400101104E-2</v>
      </c>
      <c r="J27" s="94">
        <f>(H27-(MAX($E$2:H27)))/(MAX($E$2:H27))</f>
        <v>0</v>
      </c>
      <c r="K27" s="101"/>
      <c r="L27" s="75"/>
      <c r="M27" s="61" t="s">
        <v>65</v>
      </c>
      <c r="N27" s="64">
        <f>MIN(D2:D160)</f>
        <v>-0.14217920699344364</v>
      </c>
      <c r="O27" s="65">
        <f>MIN(G2:G219)</f>
        <v>-0.1111461626480001</v>
      </c>
      <c r="P27" s="65">
        <f>MIN(J2:J219)</f>
        <v>-0.21257535731219934</v>
      </c>
      <c r="U27" s="102" t="s">
        <v>42</v>
      </c>
      <c r="V27" s="102"/>
      <c r="W27" s="115">
        <f>W19/W18-1</f>
        <v>0.6593</v>
      </c>
      <c r="X27" s="115">
        <f>X19/X18-1</f>
        <v>0.78043233452011807</v>
      </c>
      <c r="Y27" s="115">
        <f>Y19/Y18-1</f>
        <v>1.4459392668141202</v>
      </c>
    </row>
    <row r="28" spans="1:25" x14ac:dyDescent="0.3">
      <c r="A28" s="30">
        <f t="shared" si="3"/>
        <v>41517</v>
      </c>
      <c r="B28" s="99">
        <v>11649.04</v>
      </c>
      <c r="C28" s="94">
        <f t="shared" si="0"/>
        <v>-6.2114768573219292E-3</v>
      </c>
      <c r="D28" s="95">
        <f>(B28-(MAX($B$2:B28)))/(MAX($B$2:B28))</f>
        <v>-6.2114768573219665E-3</v>
      </c>
      <c r="E28" s="96">
        <f t="shared" si="1"/>
        <v>11033.853322983892</v>
      </c>
      <c r="F28" s="100">
        <v>-1.0200000000000001E-2</v>
      </c>
      <c r="G28" s="94">
        <f>(E28-(MAX($E$2:E28)))/(MAX($E$2:E28))</f>
        <v>-1.0200000000000037E-2</v>
      </c>
      <c r="H28" s="97">
        <f t="shared" si="2"/>
        <v>11501.586682503939</v>
      </c>
      <c r="I28" s="94">
        <v>-2.0414018028356185E-2</v>
      </c>
      <c r="J28" s="94">
        <f>(H28-(MAX($E$2:H28)))/(MAX($E$2:H28))</f>
        <v>-2.0414018028356205E-2</v>
      </c>
      <c r="K28" s="101"/>
      <c r="L28" s="75"/>
      <c r="M28" s="61" t="s">
        <v>8</v>
      </c>
      <c r="N28" s="115">
        <f>W27</f>
        <v>0.6593</v>
      </c>
      <c r="O28" s="115">
        <f>X27</f>
        <v>0.78043233452011807</v>
      </c>
      <c r="P28" s="115">
        <f>Y27</f>
        <v>1.4459392668141202</v>
      </c>
      <c r="U28" s="94"/>
    </row>
    <row r="29" spans="1:25" outlineLevel="1" x14ac:dyDescent="0.3">
      <c r="A29" s="30">
        <f t="shared" si="3"/>
        <v>41547</v>
      </c>
      <c r="B29" s="99">
        <v>12005.86</v>
      </c>
      <c r="C29" s="94">
        <f t="shared" si="0"/>
        <v>3.0630850267489906E-2</v>
      </c>
      <c r="D29" s="95">
        <f>(B29-(MAX($B$2:B29)))/(MAX($B$2:B29))</f>
        <v>0</v>
      </c>
      <c r="E29" s="96">
        <f t="shared" si="1"/>
        <v>11340.594445362845</v>
      </c>
      <c r="F29" s="100">
        <v>2.7799999999999998E-2</v>
      </c>
      <c r="G29" s="94">
        <f>(E29-(MAX($E$2:E29)))/(MAX($E$2:E29))</f>
        <v>0</v>
      </c>
      <c r="H29" s="97">
        <f t="shared" si="2"/>
        <v>12100.093959969501</v>
      </c>
      <c r="I29" s="94">
        <v>5.2036931424079391E-2</v>
      </c>
      <c r="J29" s="94">
        <f>(H29-(MAX($E$2:H29)))/(MAX($E$2:H29))</f>
        <v>0</v>
      </c>
      <c r="K29" s="101"/>
      <c r="L29" s="75"/>
      <c r="M29" s="61" t="s">
        <v>9</v>
      </c>
      <c r="N29" s="115">
        <f>W26</f>
        <v>5.5216397857715371E-2</v>
      </c>
      <c r="O29" s="115">
        <f>X26</f>
        <v>6.3137149600961395E-2</v>
      </c>
      <c r="P29" s="115">
        <f>Y26</f>
        <v>9.9581259013761914E-2</v>
      </c>
      <c r="U29" s="94"/>
    </row>
    <row r="30" spans="1:25" outlineLevel="1" x14ac:dyDescent="0.3">
      <c r="A30" s="30">
        <f t="shared" si="3"/>
        <v>41578</v>
      </c>
      <c r="B30" s="99">
        <v>12203.87</v>
      </c>
      <c r="C30" s="94">
        <f t="shared" si="0"/>
        <v>1.6492779359412735E-2</v>
      </c>
      <c r="D30" s="95">
        <f>(B30-(MAX($B$2:B30)))/(MAX($B$2:B30))</f>
        <v>0</v>
      </c>
      <c r="E30" s="96">
        <f t="shared" si="1"/>
        <v>11586.68534482722</v>
      </c>
      <c r="F30" s="100">
        <v>2.1700000000000001E-2</v>
      </c>
      <c r="G30" s="94">
        <f>(E30-(MAX($E$2:E30)))/(MAX($E$2:E30))</f>
        <v>0</v>
      </c>
      <c r="H30" s="97">
        <f t="shared" si="2"/>
        <v>12589.04036733029</v>
      </c>
      <c r="I30" s="94">
        <v>4.0408480213323994E-2</v>
      </c>
      <c r="J30" s="94">
        <f>(H30-(MAX($E$2:H30)))/(MAX($E$2:H30))</f>
        <v>0</v>
      </c>
      <c r="K30" s="101"/>
      <c r="L30" s="75"/>
      <c r="M30" s="66" t="s">
        <v>66</v>
      </c>
      <c r="N30" s="119">
        <f>COUNTIF(C2:C160,"&gt;0")</f>
        <v>68</v>
      </c>
      <c r="O30" s="119">
        <f>COUNTIF(F2:F160,"&gt;0")</f>
        <v>79</v>
      </c>
      <c r="P30" s="119">
        <f>COUNTIF(I2:I160,"&gt;0")</f>
        <v>75</v>
      </c>
      <c r="U30" s="94"/>
    </row>
    <row r="31" spans="1:25" outlineLevel="1" x14ac:dyDescent="0.3">
      <c r="A31" s="30">
        <f t="shared" si="3"/>
        <v>41608</v>
      </c>
      <c r="B31" s="99">
        <v>12255.98</v>
      </c>
      <c r="C31" s="94">
        <f t="shared" si="0"/>
        <v>4.2699569890534139E-3</v>
      </c>
      <c r="D31" s="95">
        <f>(B31-(MAX($B$2:B31)))/(MAX($B$2:B31))</f>
        <v>0</v>
      </c>
      <c r="E31" s="96">
        <f t="shared" si="1"/>
        <v>11682.854833189285</v>
      </c>
      <c r="F31" s="100">
        <v>8.3000000000000001E-3</v>
      </c>
      <c r="G31" s="94">
        <f>(E31-(MAX($E$2:E31)))/(MAX($E$2:E31))</f>
        <v>0</v>
      </c>
      <c r="H31" s="97">
        <f t="shared" si="2"/>
        <v>12772.705515272921</v>
      </c>
      <c r="I31" s="94">
        <v>1.4589288983396953E-2</v>
      </c>
      <c r="J31" s="94">
        <f>(H31-(MAX($E$2:H31)))/(MAX($E$2:H31))</f>
        <v>0</v>
      </c>
      <c r="K31" s="101"/>
      <c r="L31" s="75"/>
      <c r="U31" s="147"/>
      <c r="V31" s="147"/>
      <c r="W31" s="94"/>
      <c r="X31" s="94"/>
      <c r="Y31" s="94"/>
    </row>
    <row r="32" spans="1:25" outlineLevel="1" x14ac:dyDescent="0.3">
      <c r="A32" s="30">
        <f t="shared" si="3"/>
        <v>41639</v>
      </c>
      <c r="B32" s="99">
        <v>12378.52</v>
      </c>
      <c r="C32" s="94">
        <f t="shared" si="0"/>
        <v>9.9983844621156504E-3</v>
      </c>
      <c r="D32" s="95">
        <f>(B32-(MAX($B$2:B32)))/(MAX($B$2:B32))</f>
        <v>0</v>
      </c>
      <c r="E32" s="96">
        <f t="shared" si="1"/>
        <v>11782.159099271394</v>
      </c>
      <c r="F32" s="100">
        <v>8.5000000000000006E-3</v>
      </c>
      <c r="G32" s="94">
        <f>(E32-(MAX($E$2:E32)))/(MAX($E$2:E32))</f>
        <v>0</v>
      </c>
      <c r="H32" s="97">
        <f t="shared" si="2"/>
        <v>12997.500310245176</v>
      </c>
      <c r="I32" s="94">
        <v>1.7599622468666309E-2</v>
      </c>
      <c r="J32" s="94">
        <f>(H32-(MAX($E$2:H32)))/(MAX($E$2:H32))</f>
        <v>0</v>
      </c>
      <c r="K32" s="101"/>
      <c r="L32" s="75"/>
      <c r="M32" s="72"/>
      <c r="N32" s="79" t="s">
        <v>14</v>
      </c>
      <c r="O32" s="80" t="s">
        <v>53</v>
      </c>
      <c r="P32" s="73"/>
      <c r="Q32" s="73"/>
      <c r="R32" s="73"/>
      <c r="U32" s="147"/>
      <c r="V32" s="147"/>
      <c r="W32" s="94"/>
      <c r="X32" s="94"/>
      <c r="Y32" s="94"/>
    </row>
    <row r="33" spans="1:19" outlineLevel="1" x14ac:dyDescent="0.3">
      <c r="A33" s="30">
        <f t="shared" si="3"/>
        <v>41670</v>
      </c>
      <c r="B33" s="99">
        <v>12110.81</v>
      </c>
      <c r="C33" s="94">
        <f t="shared" si="0"/>
        <v>-2.1626979638923016E-2</v>
      </c>
      <c r="D33" s="95">
        <f>(B33-(MAX($B$2:B33)))/(MAX($B$2:B33))</f>
        <v>-2.1626979638922985E-2</v>
      </c>
      <c r="E33" s="96">
        <f t="shared" si="1"/>
        <v>11563.010940024946</v>
      </c>
      <c r="F33" s="100">
        <v>-1.8600000000000002E-2</v>
      </c>
      <c r="G33" s="94">
        <f>(E33-(MAX($E$2:E33)))/(MAX($E$2:E33))</f>
        <v>-1.8599999999999998E-2</v>
      </c>
      <c r="H33" s="97">
        <f t="shared" si="2"/>
        <v>12480.543194993523</v>
      </c>
      <c r="I33" s="94">
        <v>-3.9773579758575983E-2</v>
      </c>
      <c r="J33" s="94">
        <f>(H33-(MAX($E$2:H33)))/(MAX($E$2:H33))</f>
        <v>-3.9773579758575997E-2</v>
      </c>
      <c r="K33" s="101"/>
      <c r="L33" s="75"/>
      <c r="M33" s="74">
        <v>40753</v>
      </c>
      <c r="N33" s="75">
        <f t="shared" ref="N33:N43" si="8">VLOOKUP(M33,A:B,2,0)</f>
        <v>10000</v>
      </c>
      <c r="O33" s="76">
        <f t="shared" ref="O33:O43" si="9">VLOOKUP(M33,A:E,5,0)</f>
        <v>10000</v>
      </c>
      <c r="P33" s="77"/>
      <c r="Q33" s="35" t="s">
        <v>14</v>
      </c>
      <c r="R33" s="36" t="s">
        <v>53</v>
      </c>
    </row>
    <row r="34" spans="1:19" ht="15" customHeight="1" outlineLevel="1" x14ac:dyDescent="0.3">
      <c r="A34" s="30">
        <f t="shared" si="3"/>
        <v>41698</v>
      </c>
      <c r="B34" s="99">
        <v>12464.18</v>
      </c>
      <c r="C34" s="94">
        <f t="shared" si="0"/>
        <v>2.9178064885833521E-2</v>
      </c>
      <c r="D34" s="95">
        <f>(B34-(MAX($B$2:B34)))/(MAX($B$2:B34))</f>
        <v>0</v>
      </c>
      <c r="E34" s="96">
        <f t="shared" si="1"/>
        <v>11857.867718995583</v>
      </c>
      <c r="F34" s="100">
        <v>2.5499999999999998E-2</v>
      </c>
      <c r="G34" s="94">
        <f>(E34-(MAX($E$2:E34)))/(MAX($E$2:E34))</f>
        <v>0</v>
      </c>
      <c r="H34" s="97">
        <f t="shared" si="2"/>
        <v>13089.687450139161</v>
      </c>
      <c r="I34" s="94">
        <v>4.8807511470333464E-2</v>
      </c>
      <c r="J34" s="94">
        <f>(H34-(MAX($E$2:H34)))/(MAX($E$2:H34))</f>
        <v>0</v>
      </c>
      <c r="K34" s="101"/>
      <c r="L34" s="75"/>
      <c r="M34" s="74">
        <v>40908</v>
      </c>
      <c r="N34" s="75">
        <f t="shared" si="8"/>
        <v>9999.35</v>
      </c>
      <c r="O34" s="76">
        <f t="shared" si="9"/>
        <v>9522.0549563878503</v>
      </c>
      <c r="P34" s="77" t="s">
        <v>72</v>
      </c>
      <c r="Q34" s="43">
        <f>N34/N33-1</f>
        <v>-6.4999999999981739E-5</v>
      </c>
      <c r="R34" s="44">
        <f>O34/O33-1</f>
        <v>-4.7794504361215018E-2</v>
      </c>
    </row>
    <row r="35" spans="1:19" ht="15" customHeight="1" outlineLevel="1" x14ac:dyDescent="0.3">
      <c r="A35" s="30">
        <f t="shared" si="3"/>
        <v>41729</v>
      </c>
      <c r="B35" s="99">
        <v>12595.26</v>
      </c>
      <c r="C35" s="94">
        <f t="shared" si="0"/>
        <v>1.0516536186094827E-2</v>
      </c>
      <c r="D35" s="95">
        <f>(B35-(MAX($B$2:B35)))/(MAX($B$2:B35))</f>
        <v>0</v>
      </c>
      <c r="E35" s="96">
        <f t="shared" si="1"/>
        <v>11883.955027977374</v>
      </c>
      <c r="F35" s="100">
        <v>2.2000000000000001E-3</v>
      </c>
      <c r="G35" s="94">
        <f>(E35-(MAX($E$2:E35)))/(MAX($E$2:E35))</f>
        <v>0</v>
      </c>
      <c r="H35" s="97">
        <f t="shared" si="2"/>
        <v>13154.750296948952</v>
      </c>
      <c r="I35" s="94">
        <v>4.9705424256787367E-3</v>
      </c>
      <c r="J35" s="94">
        <f>(H35-(MAX($E$2:H35)))/(MAX($E$2:H35))</f>
        <v>0</v>
      </c>
      <c r="K35" s="101"/>
      <c r="L35" s="75"/>
      <c r="M35" s="74">
        <v>41274</v>
      </c>
      <c r="N35" s="75">
        <f t="shared" si="8"/>
        <v>11206.8</v>
      </c>
      <c r="O35" s="76">
        <f t="shared" si="9"/>
        <v>10516.47427959561</v>
      </c>
      <c r="P35" s="77">
        <v>2012</v>
      </c>
      <c r="Q35" s="43">
        <f t="shared" ref="Q35:R43" si="10">N35/N34-1</f>
        <v>0.12075284893518057</v>
      </c>
      <c r="R35" s="44">
        <f t="shared" si="10"/>
        <v>0.10443326863395752</v>
      </c>
    </row>
    <row r="36" spans="1:19" ht="15" customHeight="1" outlineLevel="1" x14ac:dyDescent="0.3">
      <c r="A36" s="30">
        <f t="shared" si="3"/>
        <v>41759</v>
      </c>
      <c r="B36" s="99">
        <v>12702.55</v>
      </c>
      <c r="C36" s="94">
        <f t="shared" si="0"/>
        <v>8.51828386234188E-3</v>
      </c>
      <c r="D36" s="95">
        <f>(B36-(MAX($B$2:B36)))/(MAX($B$2:B36))</f>
        <v>0</v>
      </c>
      <c r="E36" s="96">
        <f t="shared" si="1"/>
        <v>11955.258758145239</v>
      </c>
      <c r="F36" s="100">
        <v>6.0000000000000001E-3</v>
      </c>
      <c r="G36" s="94">
        <f>(E36-(MAX($E$2:E36)))/(MAX($E$2:E36))</f>
        <v>0</v>
      </c>
      <c r="H36" s="97">
        <f t="shared" si="2"/>
        <v>13287.003386104556</v>
      </c>
      <c r="I36" s="94">
        <v>1.0053637368265145E-2</v>
      </c>
      <c r="J36" s="94">
        <f>(H36-(MAX($E$2:H36)))/(MAX($E$2:H36))</f>
        <v>0</v>
      </c>
      <c r="K36" s="101"/>
      <c r="L36" s="75"/>
      <c r="M36" s="74">
        <v>41639</v>
      </c>
      <c r="N36" s="75">
        <f t="shared" si="8"/>
        <v>12378.52</v>
      </c>
      <c r="O36" s="76">
        <f t="shared" si="9"/>
        <v>11782.159099271394</v>
      </c>
      <c r="P36" s="77">
        <v>2013</v>
      </c>
      <c r="Q36" s="43">
        <f t="shared" si="10"/>
        <v>0.10455437769925413</v>
      </c>
      <c r="R36" s="44">
        <f t="shared" si="10"/>
        <v>0.12035258072484467</v>
      </c>
    </row>
    <row r="37" spans="1:19" ht="15" customHeight="1" outlineLevel="1" x14ac:dyDescent="0.3">
      <c r="A37" s="30">
        <f t="shared" si="3"/>
        <v>41790</v>
      </c>
      <c r="B37" s="99">
        <v>12917.12</v>
      </c>
      <c r="C37" s="94">
        <f t="shared" si="0"/>
        <v>1.6891883913072725E-2</v>
      </c>
      <c r="D37" s="95">
        <f>(B37-(MAX($B$2:B37)))/(MAX($B$2:B37))</f>
        <v>0</v>
      </c>
      <c r="E37" s="96">
        <f t="shared" si="1"/>
        <v>12104.699492622054</v>
      </c>
      <c r="F37" s="100">
        <v>1.2500000000000001E-2</v>
      </c>
      <c r="G37" s="94">
        <f>(E37-(MAX($E$2:E37)))/(MAX($E$2:E37))</f>
        <v>0</v>
      </c>
      <c r="H37" s="97">
        <f t="shared" si="2"/>
        <v>13581.115818958633</v>
      </c>
      <c r="I37" s="94">
        <v>2.2135347174040643E-2</v>
      </c>
      <c r="J37" s="94">
        <f>(H37-(MAX($E$2:H37)))/(MAX($E$2:H37))</f>
        <v>0</v>
      </c>
      <c r="K37" s="101"/>
      <c r="L37" s="75"/>
      <c r="M37" s="74">
        <v>42004</v>
      </c>
      <c r="N37" s="75">
        <f t="shared" si="8"/>
        <v>12768.25</v>
      </c>
      <c r="O37" s="76">
        <f t="shared" si="9"/>
        <v>12131.428962377229</v>
      </c>
      <c r="P37" s="77">
        <v>2014</v>
      </c>
      <c r="Q37" s="43">
        <f t="shared" si="10"/>
        <v>3.148437777698776E-2</v>
      </c>
      <c r="R37" s="44">
        <f t="shared" si="10"/>
        <v>2.9643960853273033E-2</v>
      </c>
    </row>
    <row r="38" spans="1:19" ht="15" customHeight="1" outlineLevel="1" x14ac:dyDescent="0.3">
      <c r="A38" s="30">
        <f t="shared" si="3"/>
        <v>41820</v>
      </c>
      <c r="B38" s="99">
        <v>13070.86</v>
      </c>
      <c r="C38" s="94">
        <f t="shared" si="0"/>
        <v>1.1902033889907404E-2</v>
      </c>
      <c r="D38" s="95">
        <f>(B38-(MAX($B$2:B38)))/(MAX($B$2:B38))</f>
        <v>0</v>
      </c>
      <c r="E38" s="96">
        <f t="shared" si="1"/>
        <v>12220.904607751227</v>
      </c>
      <c r="F38" s="100">
        <v>9.5999999999999992E-3</v>
      </c>
      <c r="G38" s="94">
        <f>(E38-(MAX($E$2:E38)))/(MAX($E$2:E38))</f>
        <v>0</v>
      </c>
      <c r="H38" s="97">
        <f t="shared" si="2"/>
        <v>13842.608186927149</v>
      </c>
      <c r="I38" s="94">
        <v>1.9254115159189178E-2</v>
      </c>
      <c r="J38" s="94">
        <f>(H38-(MAX($E$2:H38)))/(MAX($E$2:H38))</f>
        <v>0</v>
      </c>
      <c r="K38" s="101"/>
      <c r="L38" s="75"/>
      <c r="M38" s="74">
        <v>42369</v>
      </c>
      <c r="N38" s="75">
        <f t="shared" si="8"/>
        <v>12747.38</v>
      </c>
      <c r="O38" s="76">
        <f t="shared" si="9"/>
        <v>12113.190042907261</v>
      </c>
      <c r="P38" s="77">
        <v>2015</v>
      </c>
      <c r="Q38" s="43">
        <f t="shared" si="10"/>
        <v>-1.6345231335539445E-3</v>
      </c>
      <c r="R38" s="44">
        <f t="shared" si="10"/>
        <v>-1.5034436195877632E-3</v>
      </c>
    </row>
    <row r="39" spans="1:19" ht="15" customHeight="1" outlineLevel="1" x14ac:dyDescent="0.3">
      <c r="A39" s="30">
        <f t="shared" si="3"/>
        <v>41851</v>
      </c>
      <c r="B39" s="99">
        <v>12822.2</v>
      </c>
      <c r="C39" s="94">
        <f t="shared" si="0"/>
        <v>-1.9023996890793704E-2</v>
      </c>
      <c r="D39" s="95">
        <f>(B39-(MAX($B$2:B39)))/(MAX($B$2:B39))</f>
        <v>-1.9023996890793708E-2</v>
      </c>
      <c r="E39" s="96">
        <f t="shared" si="1"/>
        <v>12145.134999183168</v>
      </c>
      <c r="F39" s="100">
        <v>-6.1999999999999998E-3</v>
      </c>
      <c r="G39" s="94">
        <f>(E39-(MAX($E$2:E39)))/(MAX($E$2:E39))</f>
        <v>-6.2000000000000466E-3</v>
      </c>
      <c r="H39" s="97">
        <f t="shared" si="2"/>
        <v>13678.976013615327</v>
      </c>
      <c r="I39" s="94">
        <v>-1.182090622678722E-2</v>
      </c>
      <c r="J39" s="94">
        <f>(H39-(MAX($E$2:H39)))/(MAX($E$2:H39))</f>
        <v>-1.1820906226787159E-2</v>
      </c>
      <c r="K39" s="101"/>
      <c r="L39" s="75"/>
      <c r="M39" s="74">
        <v>42735</v>
      </c>
      <c r="N39" s="75">
        <f t="shared" si="8"/>
        <v>13357.85</v>
      </c>
      <c r="O39" s="76">
        <f t="shared" si="9"/>
        <v>12750.650153029885</v>
      </c>
      <c r="P39" s="77">
        <v>2016</v>
      </c>
      <c r="Q39" s="43">
        <f t="shared" si="10"/>
        <v>4.7889840892795243E-2</v>
      </c>
      <c r="R39" s="44">
        <f t="shared" si="10"/>
        <v>5.2625287629816553E-2</v>
      </c>
    </row>
    <row r="40" spans="1:19" ht="15" customHeight="1" outlineLevel="1" x14ac:dyDescent="0.3">
      <c r="A40" s="30">
        <f t="shared" si="3"/>
        <v>41882</v>
      </c>
      <c r="B40" s="99">
        <v>13038.42</v>
      </c>
      <c r="C40" s="94">
        <f t="shared" si="0"/>
        <v>1.6862940836985807E-2</v>
      </c>
      <c r="D40" s="95">
        <f>(B40-(MAX($B$2:B40)))/(MAX($B$2:B40))</f>
        <v>-2.4818565878603634E-3</v>
      </c>
      <c r="E40" s="96">
        <f t="shared" si="1"/>
        <v>12293.305646173203</v>
      </c>
      <c r="F40" s="100">
        <v>1.2199999999999999E-2</v>
      </c>
      <c r="G40" s="94">
        <f>(E40-(MAX($E$2:E40)))/(MAX($E$2:E40))</f>
        <v>0</v>
      </c>
      <c r="H40" s="97">
        <f t="shared" si="2"/>
        <v>13986.739234492168</v>
      </c>
      <c r="I40" s="94">
        <v>2.2498995580554348E-2</v>
      </c>
      <c r="J40" s="94">
        <f>(H40-(MAX($E$2:H40)))/(MAX($E$2:H40))</f>
        <v>0</v>
      </c>
      <c r="K40" s="101"/>
      <c r="L40" s="75"/>
      <c r="M40" s="74">
        <v>43100</v>
      </c>
      <c r="N40" s="75">
        <f t="shared" si="8"/>
        <v>14843.69</v>
      </c>
      <c r="O40" s="76">
        <f t="shared" si="9"/>
        <v>14359.133979164135</v>
      </c>
      <c r="P40" s="77">
        <v>2017</v>
      </c>
      <c r="Q40" s="43">
        <f t="shared" si="10"/>
        <v>0.11123346945803414</v>
      </c>
      <c r="R40" s="44">
        <f t="shared" si="10"/>
        <v>0.12614916155879574</v>
      </c>
    </row>
    <row r="41" spans="1:19" ht="15" customHeight="1" outlineLevel="1" x14ac:dyDescent="0.3">
      <c r="A41" s="30">
        <f t="shared" si="3"/>
        <v>41912</v>
      </c>
      <c r="B41" s="99">
        <v>12812.89</v>
      </c>
      <c r="C41" s="94">
        <f t="shared" si="0"/>
        <v>-1.7297341242267117E-2</v>
      </c>
      <c r="D41" s="95">
        <f>(B41-(MAX($B$2:B41)))/(MAX($B$2:B41))</f>
        <v>-1.9736268309812909E-2</v>
      </c>
      <c r="E41" s="96">
        <f t="shared" si="1"/>
        <v>12089.236772446728</v>
      </c>
      <c r="F41" s="100">
        <v>-1.66E-2</v>
      </c>
      <c r="G41" s="94">
        <f>(E41-(MAX($E$2:E41)))/(MAX($E$2:E41))</f>
        <v>-1.6600000000000021E-2</v>
      </c>
      <c r="H41" s="97">
        <f t="shared" si="2"/>
        <v>13538.567908238332</v>
      </c>
      <c r="I41" s="94">
        <v>-3.2042588250206117E-2</v>
      </c>
      <c r="J41" s="94">
        <f>(H41-(MAX($E$2:H41)))/(MAX($E$2:H41))</f>
        <v>-3.2042588250206144E-2</v>
      </c>
      <c r="K41" s="101"/>
      <c r="L41" s="75"/>
      <c r="M41" s="74">
        <v>43465</v>
      </c>
      <c r="N41" s="75">
        <f t="shared" si="8"/>
        <v>14363.08</v>
      </c>
      <c r="O41" s="76">
        <f t="shared" si="9"/>
        <v>13848.278190476578</v>
      </c>
      <c r="P41" s="77">
        <v>2018</v>
      </c>
      <c r="Q41" s="43">
        <f t="shared" si="10"/>
        <v>-3.2378067717663273E-2</v>
      </c>
      <c r="R41" s="44">
        <f t="shared" si="10"/>
        <v>-3.5577061223109663E-2</v>
      </c>
    </row>
    <row r="42" spans="1:19" ht="15" customHeight="1" outlineLevel="1" x14ac:dyDescent="0.3">
      <c r="A42" s="30">
        <f t="shared" si="3"/>
        <v>41943</v>
      </c>
      <c r="B42" s="99">
        <v>12726.31</v>
      </c>
      <c r="C42" s="94">
        <f t="shared" si="0"/>
        <v>-6.7572577303012249E-3</v>
      </c>
      <c r="D42" s="95">
        <f>(B42-(MAX($B$2:B42)))/(MAX($B$2:B42))</f>
        <v>-2.6360162988510401E-2</v>
      </c>
      <c r="E42" s="96">
        <f t="shared" si="1"/>
        <v>12147.265108954471</v>
      </c>
      <c r="F42" s="100">
        <v>4.7999999999999996E-3</v>
      </c>
      <c r="G42" s="94">
        <f>(E42-(MAX($E$2:E42)))/(MAX($E$2:E42))</f>
        <v>-1.1879680000000127E-2</v>
      </c>
      <c r="H42" s="97">
        <f t="shared" si="2"/>
        <v>13636.959951779028</v>
      </c>
      <c r="I42" s="94">
        <v>7.2675370251549243E-3</v>
      </c>
      <c r="J42" s="94">
        <f>(H42-(MAX($E$2:H42)))/(MAX($E$2:H42))</f>
        <v>-2.5007921921541391E-2</v>
      </c>
      <c r="K42" s="101"/>
      <c r="L42" s="75"/>
      <c r="M42" s="74">
        <v>43830</v>
      </c>
      <c r="N42" s="75">
        <f t="shared" si="8"/>
        <v>16015</v>
      </c>
      <c r="O42" s="76">
        <f t="shared" si="9"/>
        <v>16042.626142873261</v>
      </c>
      <c r="P42" s="77">
        <v>2019</v>
      </c>
      <c r="Q42" s="43">
        <f t="shared" si="10"/>
        <v>0.11501154348510201</v>
      </c>
      <c r="R42" s="44">
        <f t="shared" si="10"/>
        <v>0.15845637430259951</v>
      </c>
      <c r="S42" s="81"/>
    </row>
    <row r="43" spans="1:19" ht="15" customHeight="1" outlineLevel="1" x14ac:dyDescent="0.3">
      <c r="A43" s="30">
        <f t="shared" si="3"/>
        <v>41973</v>
      </c>
      <c r="B43" s="99">
        <v>12931.93</v>
      </c>
      <c r="C43" s="94">
        <f t="shared" si="0"/>
        <v>1.6157079310499256E-2</v>
      </c>
      <c r="D43" s="95">
        <f>(B43-(MAX($B$2:B43)))/(MAX($B$2:B43))</f>
        <v>-1.0628986922054117E-2</v>
      </c>
      <c r="E43" s="96">
        <f t="shared" si="1"/>
        <v>12263.878854000433</v>
      </c>
      <c r="F43" s="100">
        <v>9.5999999999999992E-3</v>
      </c>
      <c r="G43" s="94">
        <f>(E43-(MAX($E$2:E43)))/(MAX($E$2:E43))</f>
        <v>-2.393724928000138E-3</v>
      </c>
      <c r="H43" s="97">
        <f t="shared" si="2"/>
        <v>13870.973460740681</v>
      </c>
      <c r="I43" s="94">
        <v>1.7160240243363267E-2</v>
      </c>
      <c r="J43" s="94">
        <f>(H43-(MAX($E$2:H43)))/(MAX($E$2:H43))</f>
        <v>-8.2768236263389937E-3</v>
      </c>
      <c r="K43" s="101"/>
      <c r="L43" s="75"/>
      <c r="M43" s="78">
        <f>N1</f>
        <v>44196</v>
      </c>
      <c r="N43" s="75">
        <f t="shared" si="8"/>
        <v>16593</v>
      </c>
      <c r="O43" s="76">
        <f t="shared" si="9"/>
        <v>17804.323345201181</v>
      </c>
      <c r="P43" s="77">
        <v>2020</v>
      </c>
      <c r="Q43" s="44">
        <f t="shared" si="10"/>
        <v>3.6091164533250009E-2</v>
      </c>
      <c r="R43" s="133">
        <v>0.1099</v>
      </c>
    </row>
    <row r="44" spans="1:19" ht="15" customHeight="1" outlineLevel="1" x14ac:dyDescent="0.3">
      <c r="A44" s="30">
        <f t="shared" si="3"/>
        <v>42004</v>
      </c>
      <c r="B44" s="99">
        <v>12768.25</v>
      </c>
      <c r="C44" s="94">
        <f t="shared" si="0"/>
        <v>-1.2657043457550476E-2</v>
      </c>
      <c r="D44" s="95">
        <f>(B44-(MAX($B$2:B44)))/(MAX($B$2:B44))</f>
        <v>-2.3151498830222387E-2</v>
      </c>
      <c r="E44" s="96">
        <f t="shared" si="1"/>
        <v>12131.428962377229</v>
      </c>
      <c r="F44" s="100">
        <v>-1.0800000000000001E-2</v>
      </c>
      <c r="G44" s="94">
        <f>(E44-(MAX($E$2:E44)))/(MAX($E$2:E44))</f>
        <v>-1.3167872698777694E-2</v>
      </c>
      <c r="H44" s="97">
        <f t="shared" si="2"/>
        <v>13609.126526849497</v>
      </c>
      <c r="I44" s="94">
        <v>-1.8877329311622892E-2</v>
      </c>
      <c r="J44" s="94">
        <f>(H44-(MAX($E$2:H44)))/(MAX($E$2:H44))</f>
        <v>-2.6997908612713291E-2</v>
      </c>
      <c r="K44" s="101"/>
      <c r="L44" s="75"/>
      <c r="Q44" s="91"/>
      <c r="R44" s="91"/>
    </row>
    <row r="45" spans="1:19" ht="15" customHeight="1" outlineLevel="1" x14ac:dyDescent="0.3">
      <c r="A45" s="30">
        <f t="shared" si="3"/>
        <v>42035</v>
      </c>
      <c r="B45" s="99">
        <v>12734.68</v>
      </c>
      <c r="C45" s="94">
        <f t="shared" si="0"/>
        <v>-2.6291778434789359E-3</v>
      </c>
      <c r="D45" s="95">
        <f>(B45-(MAX($B$2:B45)))/(MAX($B$2:B45))</f>
        <v>-2.5719807265933557E-2</v>
      </c>
      <c r="E45" s="96">
        <f t="shared" si="1"/>
        <v>12073.198103357818</v>
      </c>
      <c r="F45" s="100">
        <v>-4.7999999999999996E-3</v>
      </c>
      <c r="G45" s="94">
        <f>(E45-(MAX($E$2:E45)))/(MAX($E$2:E45))</f>
        <v>-1.7904666909823633E-2</v>
      </c>
      <c r="H45" s="97">
        <f t="shared" si="2"/>
        <v>13399.400783590683</v>
      </c>
      <c r="I45" s="94">
        <v>-1.5410668924640047E-2</v>
      </c>
      <c r="J45" s="94">
        <f>(H45-(MAX($E$2:H45)))/(MAX($E$2:H45))</f>
        <v>-4.1992521706065114E-2</v>
      </c>
      <c r="K45" s="101"/>
      <c r="L45" s="75"/>
      <c r="Q45" s="91"/>
      <c r="R45" s="91"/>
    </row>
    <row r="46" spans="1:19" ht="15" customHeight="1" outlineLevel="1" x14ac:dyDescent="0.3">
      <c r="A46" s="30">
        <f t="shared" si="3"/>
        <v>42063</v>
      </c>
      <c r="B46" s="99">
        <v>13148.72</v>
      </c>
      <c r="C46" s="94">
        <f t="shared" si="0"/>
        <v>3.2512791840862754E-2</v>
      </c>
      <c r="D46" s="95">
        <f>(B46-(MAX($B$2:B46)))/(MAX($B$2:B46))</f>
        <v>0</v>
      </c>
      <c r="E46" s="96">
        <f t="shared" si="1"/>
        <v>12412.454970062172</v>
      </c>
      <c r="F46" s="100">
        <v>2.81E-2</v>
      </c>
      <c r="G46" s="94">
        <f>(E46-(MAX($E$2:E46)))/(MAX($E$2:E46))</f>
        <v>0</v>
      </c>
      <c r="H46" s="97">
        <f t="shared" si="2"/>
        <v>14151.435105571996</v>
      </c>
      <c r="I46" s="94">
        <v>5.6124474081130415E-2</v>
      </c>
      <c r="J46" s="94">
        <f>(H46-(MAX($E$2:H46)))/(MAX($E$2:H46))</f>
        <v>0</v>
      </c>
      <c r="K46" s="101"/>
      <c r="L46" s="75"/>
      <c r="Q46" s="91"/>
      <c r="R46" s="91"/>
    </row>
    <row r="47" spans="1:19" ht="15" customHeight="1" outlineLevel="1" x14ac:dyDescent="0.3">
      <c r="A47" s="30">
        <f t="shared" si="3"/>
        <v>42094</v>
      </c>
      <c r="B47" s="99">
        <v>12865.89</v>
      </c>
      <c r="C47" s="94">
        <f t="shared" si="0"/>
        <v>-2.15100785475697E-2</v>
      </c>
      <c r="D47" s="95">
        <f>(B47-(MAX($B$2:B47)))/(MAX($B$2:B47))</f>
        <v>-2.1510078547569644E-2</v>
      </c>
      <c r="E47" s="96">
        <f t="shared" si="1"/>
        <v>12330.532767259761</v>
      </c>
      <c r="F47" s="100">
        <v>-6.6E-3</v>
      </c>
      <c r="G47" s="94">
        <f>(E47-(MAX($E$2:E47)))/(MAX($E$2:E47))</f>
        <v>-6.6000000000000164E-3</v>
      </c>
      <c r="H47" s="97">
        <f t="shared" si="2"/>
        <v>13940.645664545173</v>
      </c>
      <c r="I47" s="94">
        <v>-1.4895269593104832E-2</v>
      </c>
      <c r="J47" s="94">
        <f>(H47-(MAX($E$2:H47)))/(MAX($E$2:H47))</f>
        <v>-1.4895269593104889E-2</v>
      </c>
      <c r="K47" s="101"/>
      <c r="L47" s="75"/>
      <c r="Q47" s="91"/>
      <c r="R47" s="91"/>
    </row>
    <row r="48" spans="1:19" ht="15" customHeight="1" outlineLevel="1" x14ac:dyDescent="0.3">
      <c r="A48" s="30">
        <f t="shared" si="3"/>
        <v>42124</v>
      </c>
      <c r="B48" s="99">
        <v>13000.49</v>
      </c>
      <c r="C48" s="94">
        <f t="shared" si="0"/>
        <v>1.046177139708182E-2</v>
      </c>
      <c r="D48" s="95">
        <f>(B48-(MAX($B$2:B48)))/(MAX($B$2:B48))</f>
        <v>-1.1273340674985822E-2</v>
      </c>
      <c r="E48" s="96">
        <f t="shared" si="1"/>
        <v>12520.422971875563</v>
      </c>
      <c r="F48" s="100">
        <v>1.54E-2</v>
      </c>
      <c r="G48" s="94">
        <f>(E48-(MAX($E$2:E48)))/(MAX($E$2:E48))</f>
        <v>0</v>
      </c>
      <c r="H48" s="97">
        <f t="shared" si="2"/>
        <v>14351.942134841411</v>
      </c>
      <c r="I48" s="94">
        <v>2.950340179309463E-2</v>
      </c>
      <c r="J48" s="94">
        <f>(H48-(MAX($E$2:H48)))/(MAX($E$2:H48))</f>
        <v>0</v>
      </c>
      <c r="K48" s="101"/>
      <c r="L48" s="75"/>
      <c r="Q48" s="91"/>
      <c r="R48" s="91"/>
    </row>
    <row r="49" spans="1:18" ht="15" customHeight="1" outlineLevel="1" x14ac:dyDescent="0.3">
      <c r="A49" s="30">
        <f t="shared" si="3"/>
        <v>42155</v>
      </c>
      <c r="B49" s="99">
        <v>13168.75</v>
      </c>
      <c r="C49" s="94">
        <f t="shared" si="0"/>
        <v>1.2942589087026724E-2</v>
      </c>
      <c r="D49" s="95">
        <f>(B49-(MAX($B$2:B49)))/(MAX($B$2:B49))</f>
        <v>0</v>
      </c>
      <c r="E49" s="96">
        <f t="shared" si="1"/>
        <v>12522.927056469938</v>
      </c>
      <c r="F49" s="100">
        <v>2.0000000000000001E-4</v>
      </c>
      <c r="G49" s="94">
        <f>(E49-(MAX($E$2:E49)))/(MAX($E$2:E49))</f>
        <v>0</v>
      </c>
      <c r="H49" s="97">
        <f t="shared" si="2"/>
        <v>14344.318967504025</v>
      </c>
      <c r="I49" s="94">
        <v>-5.3115928602298634E-4</v>
      </c>
      <c r="J49" s="94">
        <f>(H49-(MAX($E$2:H49)))/(MAX($E$2:H49))</f>
        <v>-5.3115928602300835E-4</v>
      </c>
      <c r="K49" s="101"/>
      <c r="L49" s="75"/>
      <c r="Q49" s="91"/>
      <c r="R49" s="91"/>
    </row>
    <row r="50" spans="1:18" ht="15" customHeight="1" outlineLevel="1" x14ac:dyDescent="0.3">
      <c r="A50" s="30">
        <f t="shared" si="3"/>
        <v>42185</v>
      </c>
      <c r="B50" s="99">
        <v>12995.84</v>
      </c>
      <c r="C50" s="94">
        <f t="shared" si="0"/>
        <v>-1.3130327479829118E-2</v>
      </c>
      <c r="D50" s="95">
        <f>(B50-(MAX($B$2:B50)))/(MAX($B$2:B50))</f>
        <v>-1.313032747982913E-2</v>
      </c>
      <c r="E50" s="96">
        <f t="shared" si="1"/>
        <v>12368.895053675358</v>
      </c>
      <c r="F50" s="100">
        <v>-1.23E-2</v>
      </c>
      <c r="G50" s="94">
        <f>(E50-(MAX($E$2:E50)))/(MAX($E$2:E50))</f>
        <v>-1.2299999999999978E-2</v>
      </c>
      <c r="H50" s="97">
        <f t="shared" si="2"/>
        <v>14012.977112769682</v>
      </c>
      <c r="I50" s="94">
        <v>-2.3099169468064118E-2</v>
      </c>
      <c r="J50" s="94">
        <f>(H50-(MAX($E$2:H50)))/(MAX($E$2:H50))</f>
        <v>-2.3618059415724792E-2</v>
      </c>
      <c r="K50" s="101"/>
      <c r="L50" s="75"/>
      <c r="Q50" s="91"/>
      <c r="R50" s="91"/>
    </row>
    <row r="51" spans="1:18" ht="15" customHeight="1" outlineLevel="1" x14ac:dyDescent="0.3">
      <c r="A51" s="30">
        <f t="shared" si="3"/>
        <v>42216</v>
      </c>
      <c r="B51" s="99">
        <v>13165.35</v>
      </c>
      <c r="C51" s="94">
        <f t="shared" si="0"/>
        <v>1.3043404658721558E-2</v>
      </c>
      <c r="D51" s="95">
        <f>(B51-(MAX($B$2:B51)))/(MAX($B$2:B51))</f>
        <v>-2.5818699572849633E-4</v>
      </c>
      <c r="E51" s="96">
        <f t="shared" si="1"/>
        <v>12430.739528943734</v>
      </c>
      <c r="F51" s="100">
        <v>5.0000000000000001E-3</v>
      </c>
      <c r="G51" s="94">
        <f>(E51-(MAX($E$2:E51)))/(MAX($E$2:E51))</f>
        <v>-7.3615000000000902E-3</v>
      </c>
      <c r="H51" s="97">
        <f t="shared" si="2"/>
        <v>14139.734430123914</v>
      </c>
      <c r="I51" s="94">
        <v>9.0457092974711717E-3</v>
      </c>
      <c r="J51" s="94">
        <f>(H51-(MAX($E$2:H51)))/(MAX($E$2:H51))</f>
        <v>-1.4785992217898669E-2</v>
      </c>
      <c r="K51" s="101"/>
      <c r="L51" s="75"/>
      <c r="Q51" s="91"/>
      <c r="R51" s="91"/>
    </row>
    <row r="52" spans="1:18" ht="15" customHeight="1" outlineLevel="1" x14ac:dyDescent="0.3">
      <c r="A52" s="30">
        <f t="shared" si="3"/>
        <v>42247</v>
      </c>
      <c r="B52" s="99">
        <v>12611.62</v>
      </c>
      <c r="C52" s="94">
        <f t="shared" si="0"/>
        <v>-4.2059649002874955E-2</v>
      </c>
      <c r="D52" s="95">
        <f>(B52-(MAX($B$2:B52)))/(MAX($B$2:B52))</f>
        <v>-4.2306976744185987E-2</v>
      </c>
      <c r="E52" s="96">
        <f t="shared" si="1"/>
        <v>12000.635941242281</v>
      </c>
      <c r="F52" s="100">
        <v>-3.4599999999999999E-2</v>
      </c>
      <c r="G52" s="94">
        <f>(E52-(MAX($E$2:E52)))/(MAX($E$2:E52))</f>
        <v>-4.1706792100000063E-2</v>
      </c>
      <c r="H52" s="97">
        <f t="shared" si="2"/>
        <v>13176.201535270438</v>
      </c>
      <c r="I52" s="94">
        <v>-6.8143634494345462E-2</v>
      </c>
      <c r="J52" s="94">
        <f>(H52-(MAX($E$2:H52)))/(MAX($E$2:H52))</f>
        <v>-8.1922055462911342E-2</v>
      </c>
      <c r="K52" s="101"/>
      <c r="L52" s="75"/>
      <c r="Q52" s="91"/>
      <c r="R52" s="91"/>
    </row>
    <row r="53" spans="1:18" ht="15" customHeight="1" outlineLevel="1" x14ac:dyDescent="0.3">
      <c r="A53" s="30">
        <f t="shared" si="3"/>
        <v>42277</v>
      </c>
      <c r="B53" s="99">
        <v>12438.66</v>
      </c>
      <c r="C53" s="94">
        <f t="shared" si="0"/>
        <v>-1.3714336461136734E-2</v>
      </c>
      <c r="D53" s="95">
        <f>(B53-(MAX($B$2:B53)))/(MAX($B$2:B53))</f>
        <v>-5.5441101091599443E-2</v>
      </c>
      <c r="E53" s="96">
        <f t="shared" si="1"/>
        <v>11807.42570258828</v>
      </c>
      <c r="F53" s="100">
        <v>-1.61E-2</v>
      </c>
      <c r="G53" s="94">
        <f>(E53-(MAX($E$2:E53)))/(MAX($E$2:E53))</f>
        <v>-5.7135312747190074E-2</v>
      </c>
      <c r="H53" s="97">
        <f t="shared" si="2"/>
        <v>12704.806141081774</v>
      </c>
      <c r="I53" s="94">
        <v>-3.5776273831788274E-2</v>
      </c>
      <c r="J53" s="94">
        <f>(H53-(MAX($E$2:H53)))/(MAX($E$2:H53))</f>
        <v>-0.1147674634055956</v>
      </c>
      <c r="K53" s="101"/>
      <c r="L53" s="75"/>
      <c r="O53" s="91"/>
      <c r="P53" s="91"/>
      <c r="Q53" s="91"/>
      <c r="R53" s="91"/>
    </row>
    <row r="54" spans="1:18" ht="15" customHeight="1" outlineLevel="1" x14ac:dyDescent="0.3">
      <c r="A54" s="30">
        <f t="shared" si="3"/>
        <v>42308</v>
      </c>
      <c r="B54" s="99">
        <v>12947.98</v>
      </c>
      <c r="C54" s="94">
        <f t="shared" si="0"/>
        <v>4.094653282588312E-2</v>
      </c>
      <c r="D54" s="95">
        <f>(B54-(MAX($B$2:B54)))/(MAX($B$2:B54))</f>
        <v>-1.6764689131466573E-2</v>
      </c>
      <c r="E54" s="96">
        <f t="shared" si="1"/>
        <v>12279.722730691812</v>
      </c>
      <c r="F54" s="100">
        <v>0.04</v>
      </c>
      <c r="G54" s="94">
        <f>(E54-(MAX($E$2:E54)))/(MAX($E$2:E54))</f>
        <v>-1.9420725257077592E-2</v>
      </c>
      <c r="H54" s="97">
        <f t="shared" si="2"/>
        <v>13705.213891892843</v>
      </c>
      <c r="I54" s="94">
        <v>7.8742464835900972E-2</v>
      </c>
      <c r="J54" s="94">
        <f>(H54-(MAX($E$2:H54)))/(MAX($E$2:H54))</f>
        <v>-4.5062071521215344E-2</v>
      </c>
      <c r="K54" s="101"/>
      <c r="L54" s="75"/>
      <c r="O54" s="91"/>
      <c r="P54" s="91"/>
      <c r="Q54" s="91"/>
      <c r="R54" s="91"/>
    </row>
    <row r="55" spans="1:18" ht="15" customHeight="1" outlineLevel="1" x14ac:dyDescent="0.3">
      <c r="A55" s="30">
        <f t="shared" si="3"/>
        <v>42338</v>
      </c>
      <c r="B55" s="99">
        <v>12902.71</v>
      </c>
      <c r="C55" s="94">
        <f t="shared" si="0"/>
        <v>-3.4962982642853246E-3</v>
      </c>
      <c r="D55" s="95">
        <f>(B55-(MAX($B$2:B55)))/(MAX($B$2:B55))</f>
        <v>-2.0202373042240217E-2</v>
      </c>
      <c r="E55" s="96">
        <f t="shared" si="1"/>
        <v>12230.603839769044</v>
      </c>
      <c r="F55" s="100">
        <v>-4.0000000000000001E-3</v>
      </c>
      <c r="G55" s="94">
        <f>(E55-(MAX($E$2:E55)))/(MAX($E$2:E55))</f>
        <v>-2.3343042356049309E-2</v>
      </c>
      <c r="H55" s="97">
        <f t="shared" si="2"/>
        <v>13598.134983246753</v>
      </c>
      <c r="I55" s="94">
        <v>-7.8130052905946989E-3</v>
      </c>
      <c r="J55" s="94">
        <f>(H55-(MAX($E$2:H55)))/(MAX($E$2:H55))</f>
        <v>-5.2523006608609576E-2</v>
      </c>
      <c r="K55" s="101"/>
      <c r="L55" s="75"/>
      <c r="Q55" s="91"/>
      <c r="R55" s="91"/>
    </row>
    <row r="56" spans="1:18" ht="15" customHeight="1" outlineLevel="1" x14ac:dyDescent="0.3">
      <c r="A56" s="30">
        <f t="shared" si="3"/>
        <v>42369</v>
      </c>
      <c r="B56" s="99">
        <v>12747.38</v>
      </c>
      <c r="C56" s="94">
        <f t="shared" si="0"/>
        <v>-1.2038556241285692E-2</v>
      </c>
      <c r="D56" s="95">
        <f>(B56-(MAX($B$2:B56)))/(MAX($B$2:B56))</f>
        <v>-3.1997721879449513E-2</v>
      </c>
      <c r="E56" s="96">
        <f t="shared" si="1"/>
        <v>12113.190042907261</v>
      </c>
      <c r="F56" s="100">
        <v>-9.5999999999999992E-3</v>
      </c>
      <c r="G56" s="94">
        <f>(E56-(MAX($E$2:E56)))/(MAX($E$2:E56))</f>
        <v>-3.2718949149431277E-2</v>
      </c>
      <c r="H56" s="97">
        <f t="shared" si="2"/>
        <v>13358.625702483727</v>
      </c>
      <c r="I56" s="94">
        <v>-1.7613391914266696E-2</v>
      </c>
      <c r="J56" s="94">
        <f>(H56-(MAX($E$2:H56)))/(MAX($E$2:H56))</f>
        <v>-6.9211290222963268E-2</v>
      </c>
      <c r="K56" s="101"/>
      <c r="L56" s="75"/>
    </row>
    <row r="57" spans="1:18" ht="15" customHeight="1" outlineLevel="1" x14ac:dyDescent="0.3">
      <c r="A57" s="30">
        <f t="shared" si="3"/>
        <v>42400</v>
      </c>
      <c r="B57" s="99">
        <v>12542.51</v>
      </c>
      <c r="C57" s="94">
        <f t="shared" si="0"/>
        <v>-1.6071537837579086E-2</v>
      </c>
      <c r="D57" s="95">
        <f>(B57-(MAX($B$2:B57)))/(MAX($B$2:B57))</f>
        <v>-4.7555007119126705E-2</v>
      </c>
      <c r="E57" s="96">
        <f t="shared" si="1"/>
        <v>11774.020721705858</v>
      </c>
      <c r="F57" s="100">
        <v>-2.7999999999999997E-2</v>
      </c>
      <c r="G57" s="94">
        <f>(E57-(MAX($E$2:E57)))/(MAX($E$2:E57))</f>
        <v>-5.9802818573247207E-2</v>
      </c>
      <c r="H57" s="97">
        <f t="shared" si="2"/>
        <v>12556.065736522056</v>
      </c>
      <c r="I57" s="94">
        <v>-6.0078033761545746E-2</v>
      </c>
      <c r="J57" s="94">
        <f>(H57-(MAX($E$2:H57)))/(MAX($E$2:H57))</f>
        <v>-0.12513124575381374</v>
      </c>
      <c r="K57" s="101"/>
      <c r="L57" s="75"/>
    </row>
    <row r="58" spans="1:18" ht="15" customHeight="1" outlineLevel="1" x14ac:dyDescent="0.3">
      <c r="A58" s="30">
        <f t="shared" si="3"/>
        <v>42429</v>
      </c>
      <c r="B58" s="99">
        <v>12542.51</v>
      </c>
      <c r="C58" s="94">
        <f t="shared" si="0"/>
        <v>0</v>
      </c>
      <c r="D58" s="95">
        <f>(B58-(MAX($B$2:B58)))/(MAX($B$2:B58))</f>
        <v>-4.7555007119126705E-2</v>
      </c>
      <c r="E58" s="96">
        <f t="shared" si="1"/>
        <v>11738.69865954074</v>
      </c>
      <c r="F58" s="100">
        <v>-3.0000000000000001E-3</v>
      </c>
      <c r="G58" s="94">
        <f>(E58-(MAX($E$2:E58)))/(MAX($E$2:E58))</f>
        <v>-6.2623410117527506E-2</v>
      </c>
      <c r="H58" s="97">
        <f t="shared" si="2"/>
        <v>12476.820252805495</v>
      </c>
      <c r="I58" s="94">
        <v>-6.3113307447935085E-3</v>
      </c>
      <c r="J58" s="94">
        <f>(H58-(MAX($E$2:H58)))/(MAX($E$2:H58))</f>
        <v>-0.13065283182014695</v>
      </c>
      <c r="K58" s="101"/>
      <c r="L58" s="75"/>
    </row>
    <row r="59" spans="1:18" ht="15" customHeight="1" outlineLevel="1" x14ac:dyDescent="0.3">
      <c r="A59" s="30">
        <f t="shared" si="3"/>
        <v>42460</v>
      </c>
      <c r="B59" s="99">
        <v>13038.18</v>
      </c>
      <c r="C59" s="94">
        <f t="shared" si="0"/>
        <v>3.9519203094117605E-2</v>
      </c>
      <c r="D59" s="95">
        <f>(B59-(MAX($B$2:B59)))/(MAX($B$2:B59))</f>
        <v>-9.915140009492146E-3</v>
      </c>
      <c r="E59" s="96">
        <f t="shared" si="1"/>
        <v>12216.463694984048</v>
      </c>
      <c r="F59" s="100">
        <v>4.07E-2</v>
      </c>
      <c r="G59" s="94">
        <f>(E59-(MAX($E$2:E59)))/(MAX($E$2:E59))</f>
        <v>-2.4472182909310875E-2</v>
      </c>
      <c r="H59" s="97">
        <f t="shared" si="2"/>
        <v>13410.037761270756</v>
      </c>
      <c r="I59" s="94">
        <v>7.4796101054306785E-2</v>
      </c>
      <c r="J59" s="94">
        <f>(H59-(MAX($E$2:H59)))/(MAX($E$2:H59))</f>
        <v>-6.5629053177691243E-2</v>
      </c>
      <c r="K59" s="101"/>
      <c r="L59" s="75"/>
    </row>
    <row r="60" spans="1:18" ht="15" customHeight="1" outlineLevel="1" x14ac:dyDescent="0.3">
      <c r="A60" s="30">
        <f t="shared" si="3"/>
        <v>42490</v>
      </c>
      <c r="B60" s="99">
        <v>13163.88</v>
      </c>
      <c r="C60" s="94">
        <f t="shared" si="0"/>
        <v>9.6409161401360688E-3</v>
      </c>
      <c r="D60" s="95">
        <f>(B60-(MAX($B$2:B60)))/(MAX($B$2:B60))</f>
        <v>-3.6981490270532894E-4</v>
      </c>
      <c r="E60" s="96">
        <f t="shared" si="1"/>
        <v>12327.633514608404</v>
      </c>
      <c r="F60" s="100">
        <v>9.1000000000000004E-3</v>
      </c>
      <c r="G60" s="94">
        <f>(E60-(MAX($E$2:E60)))/(MAX($E$2:E60))</f>
        <v>-1.5594879773785507E-2</v>
      </c>
      <c r="H60" s="97">
        <f t="shared" si="2"/>
        <v>13615.863279380212</v>
      </c>
      <c r="I60" s="94">
        <v>1.5348615848338243E-2</v>
      </c>
      <c r="J60" s="94">
        <f>(H60-(MAX($E$2:H60)))/(MAX($E$2:H60))</f>
        <v>-5.1287752455067483E-2</v>
      </c>
      <c r="K60" s="101"/>
      <c r="L60" s="75"/>
    </row>
    <row r="61" spans="1:18" ht="15" customHeight="1" outlineLevel="1" x14ac:dyDescent="0.3">
      <c r="A61" s="30">
        <f t="shared" si="3"/>
        <v>42521</v>
      </c>
      <c r="B61" s="99">
        <v>13186.73</v>
      </c>
      <c r="C61" s="94">
        <f t="shared" si="0"/>
        <v>1.735810414558614E-3</v>
      </c>
      <c r="D61" s="95">
        <f>(B61-(MAX($B$2:B61)))/(MAX($B$2:B61))</f>
        <v>0</v>
      </c>
      <c r="E61" s="96">
        <f t="shared" si="1"/>
        <v>12338.72838477155</v>
      </c>
      <c r="F61" s="100">
        <v>8.9999999999999998E-4</v>
      </c>
      <c r="G61" s="94">
        <f>(E61-(MAX($E$2:E61)))/(MAX($E$2:E61))</f>
        <v>-1.4708915165582042E-2</v>
      </c>
      <c r="H61" s="97">
        <f t="shared" si="2"/>
        <v>13644.583119116414</v>
      </c>
      <c r="I61" s="94">
        <v>2.1092926057575401E-3</v>
      </c>
      <c r="J61" s="94">
        <f>(H61-(MAX($E$2:H61)))/(MAX($E$2:H61))</f>
        <v>-4.9286640726329316E-2</v>
      </c>
      <c r="K61" s="101"/>
      <c r="L61" s="75"/>
    </row>
    <row r="62" spans="1:18" ht="15" customHeight="1" outlineLevel="1" x14ac:dyDescent="0.3">
      <c r="A62" s="30">
        <f t="shared" si="3"/>
        <v>42551</v>
      </c>
      <c r="B62" s="99">
        <v>13125.71</v>
      </c>
      <c r="C62" s="94">
        <f t="shared" si="0"/>
        <v>-4.6273791910503848E-3</v>
      </c>
      <c r="D62" s="95">
        <f>(B62-(MAX($B$2:B62)))/(MAX($B$2:B62))</f>
        <v>-4.6273791910504299E-3</v>
      </c>
      <c r="E62" s="96">
        <f t="shared" si="1"/>
        <v>12339.962257610026</v>
      </c>
      <c r="F62" s="100">
        <v>1E-4</v>
      </c>
      <c r="G62" s="94">
        <f>(E62-(MAX($E$2:E62)))/(MAX($E$2:E62))</f>
        <v>-1.4610386057098645E-2</v>
      </c>
      <c r="H62" s="97">
        <f t="shared" si="2"/>
        <v>13569.060577587881</v>
      </c>
      <c r="I62" s="94">
        <v>-5.5349834340284731E-3</v>
      </c>
      <c r="J62" s="94">
        <f>(H62-(MAX($E$2:H62)))/(MAX($E$2:H62))</f>
        <v>-5.4548823420418592E-2</v>
      </c>
      <c r="K62" s="101"/>
      <c r="L62" s="75"/>
    </row>
    <row r="63" spans="1:18" ht="15" customHeight="1" outlineLevel="1" x14ac:dyDescent="0.3">
      <c r="A63" s="30">
        <f t="shared" si="3"/>
        <v>42582</v>
      </c>
      <c r="B63" s="99">
        <v>13252.14</v>
      </c>
      <c r="C63" s="94">
        <f t="shared" si="0"/>
        <v>9.6322408464000198E-3</v>
      </c>
      <c r="D63" s="95">
        <f>(B63-(MAX($B$2:B63)))/(MAX($B$2:B63))</f>
        <v>0</v>
      </c>
      <c r="E63" s="96">
        <f t="shared" si="1"/>
        <v>12617.611408406252</v>
      </c>
      <c r="F63" s="100">
        <v>2.2499999999999999E-2</v>
      </c>
      <c r="G63" s="94">
        <f>(E63-(MAX($E$2:E63)))/(MAX($E$2:E63))</f>
        <v>0</v>
      </c>
      <c r="H63" s="97">
        <f t="shared" si="2"/>
        <v>14157.994575141376</v>
      </c>
      <c r="I63" s="94">
        <v>4.34027097296803E-2</v>
      </c>
      <c r="J63" s="94">
        <f>(H63-(MAX($E$2:H63)))/(MAX($E$2:H63))</f>
        <v>-1.3513680439750306E-2</v>
      </c>
      <c r="K63" s="101"/>
      <c r="L63" s="75"/>
    </row>
    <row r="64" spans="1:18" ht="15" customHeight="1" outlineLevel="1" x14ac:dyDescent="0.3">
      <c r="A64" s="30">
        <f t="shared" si="3"/>
        <v>42613</v>
      </c>
      <c r="B64" s="99">
        <v>13298.12</v>
      </c>
      <c r="C64" s="94">
        <f t="shared" si="0"/>
        <v>3.4696283015422935E-3</v>
      </c>
      <c r="D64" s="95">
        <f>(B64-(MAX($B$2:B64)))/(MAX($B$2:B64))</f>
        <v>0</v>
      </c>
      <c r="E64" s="96">
        <f t="shared" si="1"/>
        <v>12639.061347800543</v>
      </c>
      <c r="F64" s="100">
        <v>1.7000000000000001E-3</v>
      </c>
      <c r="G64" s="94">
        <f>(E64-(MAX($E$2:E64)))/(MAX($E$2:E64))</f>
        <v>0</v>
      </c>
      <c r="H64" s="97">
        <f t="shared" si="2"/>
        <v>14212.420444271092</v>
      </c>
      <c r="I64" s="94">
        <v>3.8441792614667403E-3</v>
      </c>
      <c r="J64" s="94">
        <f>(H64-(MAX($E$2:H64)))/(MAX($E$2:H64))</f>
        <v>-9.7214501883761927E-3</v>
      </c>
      <c r="K64" s="101"/>
      <c r="L64" s="75"/>
      <c r="M64" s="101"/>
    </row>
    <row r="65" spans="1:20" outlineLevel="1" collapsed="1" x14ac:dyDescent="0.3">
      <c r="A65" s="30">
        <f t="shared" si="3"/>
        <v>42643</v>
      </c>
      <c r="B65" s="99">
        <v>13290.46</v>
      </c>
      <c r="C65" s="94">
        <f t="shared" si="0"/>
        <v>-5.7602127217992738E-4</v>
      </c>
      <c r="D65" s="95">
        <f>(B65-(MAX($B$2:B65)))/(MAX($B$2:B65))</f>
        <v>-5.7602127217995275E-4</v>
      </c>
      <c r="E65" s="96">
        <f t="shared" si="1"/>
        <v>12684.561968652626</v>
      </c>
      <c r="F65" s="100">
        <v>3.5999999999999999E-3</v>
      </c>
      <c r="G65" s="94">
        <f>(E65-(MAX($E$2:E65)))/(MAX($E$2:E65))</f>
        <v>0</v>
      </c>
      <c r="H65" s="97">
        <f t="shared" si="2"/>
        <v>14305.848564894422</v>
      </c>
      <c r="I65" s="94">
        <v>6.5736952399961801E-3</v>
      </c>
      <c r="J65" s="94">
        <f>(H65-(MAX($E$2:H65)))/(MAX($E$2:H65))</f>
        <v>-3.2116607992091531E-3</v>
      </c>
      <c r="K65" s="101"/>
      <c r="L65" s="75"/>
    </row>
    <row r="66" spans="1:20" outlineLevel="1" x14ac:dyDescent="0.3">
      <c r="A66" s="30">
        <f t="shared" si="3"/>
        <v>42674</v>
      </c>
      <c r="B66" s="99">
        <v>13129.23</v>
      </c>
      <c r="C66" s="94">
        <f t="shared" si="0"/>
        <v>-1.2131258060292804E-2</v>
      </c>
      <c r="D66" s="95">
        <f>(B66-(MAX($B$2:B66)))/(MAX($B$2:B66))</f>
        <v>-1.2700291469771759E-2</v>
      </c>
      <c r="E66" s="96">
        <f t="shared" si="1"/>
        <v>12579.280104312809</v>
      </c>
      <c r="F66" s="100">
        <v>-8.3000000000000001E-3</v>
      </c>
      <c r="G66" s="94">
        <f>(E66-(MAX($E$2:E66)))/(MAX($E$2:E66))</f>
        <v>-8.3000000000000018E-3</v>
      </c>
      <c r="H66" s="97">
        <f t="shared" si="2"/>
        <v>14066.339284131396</v>
      </c>
      <c r="I66" s="94">
        <v>-1.6742053410991997E-2</v>
      </c>
      <c r="J66" s="94">
        <f>(H66-(MAX($E$2:H66)))/(MAX($E$2:H66))</f>
        <v>-1.9899944413562843E-2</v>
      </c>
    </row>
    <row r="67" spans="1:20" outlineLevel="1" x14ac:dyDescent="0.3">
      <c r="A67" s="30">
        <f t="shared" si="3"/>
        <v>42704</v>
      </c>
      <c r="B67" s="99">
        <v>13083.16</v>
      </c>
      <c r="C67" s="94">
        <f t="shared" si="0"/>
        <v>-3.5089643490135991E-3</v>
      </c>
      <c r="D67" s="95">
        <f>(B67-(MAX($B$2:B67)))/(MAX($B$2:B67))</f>
        <v>-1.6164690948795839E-2</v>
      </c>
      <c r="E67" s="96">
        <f t="shared" si="1"/>
        <v>12604.438664521434</v>
      </c>
      <c r="F67" s="100">
        <v>2E-3</v>
      </c>
      <c r="G67" s="94">
        <f>(E67-(MAX($E$2:E67)))/(MAX($E$2:E67))</f>
        <v>-6.3166000000000342E-3</v>
      </c>
      <c r="H67" s="97">
        <f t="shared" si="2"/>
        <v>14180.154945308201</v>
      </c>
      <c r="I67" s="94">
        <v>8.0913490623109041E-3</v>
      </c>
      <c r="J67" s="94">
        <f>(H67-(MAX($E$2:H67)))/(MAX($E$2:H67))</f>
        <v>-1.19696127478226E-2</v>
      </c>
      <c r="T67" s="75"/>
    </row>
    <row r="68" spans="1:20" outlineLevel="1" x14ac:dyDescent="0.3">
      <c r="A68" s="30">
        <f t="shared" si="3"/>
        <v>42735</v>
      </c>
      <c r="B68" s="99">
        <v>13357.85</v>
      </c>
      <c r="C68" s="94">
        <f t="shared" ref="C68:C116" si="11">B68/B67-1</f>
        <v>2.0995692172227631E-2</v>
      </c>
      <c r="D68" s="95">
        <f>(B68-(MAX($B$2:B68)))/(MAX($B$2:B68))</f>
        <v>0</v>
      </c>
      <c r="E68" s="96">
        <f t="shared" ref="E68:E116" si="12">E67*(1+F68)</f>
        <v>12750.650153029885</v>
      </c>
      <c r="F68" s="100">
        <v>1.1599999999999999E-2</v>
      </c>
      <c r="G68" s="94">
        <f>(E68-(MAX($E$2:E68)))/(MAX($E$2:E68))</f>
        <v>0</v>
      </c>
      <c r="H68" s="97">
        <f t="shared" ref="H68:H116" si="13">H67*(1+I68)</f>
        <v>14492.172957257073</v>
      </c>
      <c r="I68" s="94">
        <v>2.2003850673868008E-2</v>
      </c>
      <c r="J68" s="94">
        <f>(H68-(MAX($E$2:H68)))/(MAX($E$2:H68))</f>
        <v>0</v>
      </c>
      <c r="T68" s="75"/>
    </row>
    <row r="69" spans="1:20" x14ac:dyDescent="0.3">
      <c r="A69" s="30">
        <f t="shared" ref="A69:A116" si="14">EOMONTH(A68,1)</f>
        <v>42766</v>
      </c>
      <c r="B69" s="120">
        <v>13546.49</v>
      </c>
      <c r="C69" s="94">
        <f t="shared" si="11"/>
        <v>1.4122033111615862E-2</v>
      </c>
      <c r="D69" s="95">
        <f>(B69-(MAX($B$2:B69)))/(MAX($B$2:B69))</f>
        <v>0</v>
      </c>
      <c r="E69" s="96">
        <f t="shared" si="12"/>
        <v>12941.909905325332</v>
      </c>
      <c r="F69" s="100">
        <v>1.4999999999999999E-2</v>
      </c>
      <c r="G69" s="94">
        <f>(E69-(MAX($E$2:E69)))/(MAX($E$2:E69))</f>
        <v>0</v>
      </c>
      <c r="H69" s="97">
        <f t="shared" si="13"/>
        <v>14891.414186182559</v>
      </c>
      <c r="I69" s="100">
        <v>2.7548748562620684E-2</v>
      </c>
      <c r="J69" s="94">
        <f>(H69-(MAX($E$2:H69)))/(MAX($E$2:H69))</f>
        <v>0</v>
      </c>
      <c r="T69" s="75"/>
    </row>
    <row r="70" spans="1:20" x14ac:dyDescent="0.3">
      <c r="A70" s="30">
        <f t="shared" si="14"/>
        <v>42794</v>
      </c>
      <c r="B70" s="120">
        <v>13735.12</v>
      </c>
      <c r="C70" s="94">
        <f t="shared" si="11"/>
        <v>1.3924640257365617E-2</v>
      </c>
      <c r="D70" s="95">
        <f>(B70-(MAX($B$2:B70)))/(MAX($B$2:B70))</f>
        <v>0</v>
      </c>
      <c r="E70" s="96">
        <f t="shared" si="12"/>
        <v>13146.392081829474</v>
      </c>
      <c r="F70" s="100">
        <v>1.5800000000000002E-2</v>
      </c>
      <c r="G70" s="94">
        <f>(E70-(MAX($E$2:E70)))/(MAX($E$2:E70))</f>
        <v>0</v>
      </c>
      <c r="H70" s="97">
        <f t="shared" si="13"/>
        <v>15315.829595617559</v>
      </c>
      <c r="I70" s="100">
        <v>2.8500678587585426E-2</v>
      </c>
      <c r="J70" s="94">
        <f>(H70-(MAX($E$2:H70)))/(MAX($E$2:H70))</f>
        <v>0</v>
      </c>
      <c r="T70" s="75"/>
    </row>
    <row r="71" spans="1:20" x14ac:dyDescent="0.3">
      <c r="A71" s="30">
        <f t="shared" si="14"/>
        <v>42825</v>
      </c>
      <c r="B71" s="120">
        <v>13875.81</v>
      </c>
      <c r="C71" s="94">
        <f t="shared" si="11"/>
        <v>1.02430848802193E-2</v>
      </c>
      <c r="D71" s="95">
        <f>(B71-(MAX($B$2:B71)))/(MAX($B$2:B71))</f>
        <v>0</v>
      </c>
      <c r="E71" s="96">
        <f t="shared" si="12"/>
        <v>13234.47290877773</v>
      </c>
      <c r="F71" s="100">
        <v>6.7000000000000002E-3</v>
      </c>
      <c r="G71" s="94">
        <f>(E71-(MAX($E$2:E71)))/(MAX($E$2:E71))</f>
        <v>0</v>
      </c>
      <c r="H71" s="97">
        <f t="shared" si="13"/>
        <v>15513.500097505623</v>
      </c>
      <c r="I71" s="100">
        <v>1.2906287619224077E-2</v>
      </c>
      <c r="J71" s="94">
        <f>(H71-(MAX($E$2:H71)))/(MAX($E$2:H71))</f>
        <v>0</v>
      </c>
      <c r="T71" s="75"/>
    </row>
    <row r="72" spans="1:20" x14ac:dyDescent="0.3">
      <c r="A72" s="30">
        <f t="shared" si="14"/>
        <v>42855</v>
      </c>
      <c r="B72" s="120">
        <v>14053.25</v>
      </c>
      <c r="C72" s="94">
        <f t="shared" si="11"/>
        <v>1.2787721941998287E-2</v>
      </c>
      <c r="D72" s="95">
        <f>(B72-(MAX($B$2:B72)))/(MAX($B$2:B72))</f>
        <v>0</v>
      </c>
      <c r="E72" s="96">
        <f t="shared" si="12"/>
        <v>13356.230059538488</v>
      </c>
      <c r="F72" s="100">
        <v>9.1999999999999998E-3</v>
      </c>
      <c r="G72" s="94">
        <f>(E72-(MAX($E$2:E72)))/(MAX($E$2:E72))</f>
        <v>0</v>
      </c>
      <c r="H72" s="97">
        <f t="shared" si="13"/>
        <v>15762.405375219381</v>
      </c>
      <c r="I72" s="100">
        <v>1.6044430731255721E-2</v>
      </c>
      <c r="J72" s="94">
        <f>(H72-(MAX($E$2:H72)))/(MAX($E$2:H72))</f>
        <v>0</v>
      </c>
      <c r="T72" s="75"/>
    </row>
    <row r="73" spans="1:20" x14ac:dyDescent="0.3">
      <c r="A73" s="30">
        <f t="shared" si="14"/>
        <v>42886</v>
      </c>
      <c r="B73" s="120">
        <v>14396.3</v>
      </c>
      <c r="C73" s="94">
        <f t="shared" si="11"/>
        <v>2.4410723498123232E-2</v>
      </c>
      <c r="D73" s="95">
        <f>(B73-(MAX($B$2:B73)))/(MAX($B$2:B73))</f>
        <v>0</v>
      </c>
      <c r="E73" s="96">
        <f t="shared" si="12"/>
        <v>13525.854181294626</v>
      </c>
      <c r="F73" s="100">
        <v>1.2699999999999999E-2</v>
      </c>
      <c r="G73" s="94">
        <f>(E73-(MAX($E$2:E73)))/(MAX($E$2:E73))</f>
        <v>0</v>
      </c>
      <c r="H73" s="97">
        <f t="shared" si="13"/>
        <v>16124.417182264604</v>
      </c>
      <c r="I73" s="100">
        <v>2.2966787011730716E-2</v>
      </c>
      <c r="J73" s="94">
        <f>(H73-(MAX($E$2:H73)))/(MAX($E$2:H73))</f>
        <v>0</v>
      </c>
      <c r="S73" s="75"/>
      <c r="T73" s="75"/>
    </row>
    <row r="74" spans="1:20" x14ac:dyDescent="0.3">
      <c r="A74" s="30">
        <f t="shared" si="14"/>
        <v>42916</v>
      </c>
      <c r="B74" s="120">
        <v>14282.87</v>
      </c>
      <c r="C74" s="94">
        <f t="shared" si="11"/>
        <v>-7.8791078263164005E-3</v>
      </c>
      <c r="D74" s="95">
        <f>(B74-(MAX($B$2:B74)))/(MAX($B$2:B74))</f>
        <v>-7.8791078263163779E-3</v>
      </c>
      <c r="E74" s="96">
        <f t="shared" si="12"/>
        <v>13565.07915842038</v>
      </c>
      <c r="F74" s="100">
        <v>2.8999999999999998E-3</v>
      </c>
      <c r="G74" s="94">
        <f>(E74-(MAX($E$2:E74)))/(MAX($E$2:E74))</f>
        <v>0</v>
      </c>
      <c r="H74" s="97">
        <f t="shared" si="13"/>
        <v>16204.371797826501</v>
      </c>
      <c r="I74" s="100">
        <v>4.9586049937879739E-3</v>
      </c>
      <c r="J74" s="94">
        <f>(H74-(MAX($E$2:H74)))/(MAX($E$2:H74))</f>
        <v>0</v>
      </c>
      <c r="S74" s="75"/>
      <c r="T74" s="75"/>
    </row>
    <row r="75" spans="1:20" x14ac:dyDescent="0.3">
      <c r="A75" s="30">
        <f t="shared" si="14"/>
        <v>42947</v>
      </c>
      <c r="B75" s="120">
        <v>14330.64</v>
      </c>
      <c r="C75" s="94">
        <f t="shared" si="11"/>
        <v>3.344565903071306E-3</v>
      </c>
      <c r="D75" s="95">
        <f>(B75-(MAX($B$2:B75)))/(MAX($B$2:B75))</f>
        <v>-4.560894118627693E-3</v>
      </c>
      <c r="E75" s="96">
        <f t="shared" si="12"/>
        <v>13782.120424955107</v>
      </c>
      <c r="F75" s="100">
        <v>1.6E-2</v>
      </c>
      <c r="G75" s="94">
        <f>(E75-(MAX($E$2:E75)))/(MAX($E$2:E75))</f>
        <v>0</v>
      </c>
      <c r="H75" s="97">
        <f t="shared" si="13"/>
        <v>16663.180101760412</v>
      </c>
      <c r="I75" s="100">
        <v>2.8313859349700321E-2</v>
      </c>
      <c r="J75" s="94">
        <f>(H75-(MAX($E$2:H75)))/(MAX($E$2:H75))</f>
        <v>0</v>
      </c>
      <c r="S75" s="75"/>
      <c r="T75" s="75"/>
    </row>
    <row r="76" spans="1:20" x14ac:dyDescent="0.3">
      <c r="A76" s="30">
        <f t="shared" si="14"/>
        <v>42978</v>
      </c>
      <c r="B76" s="120">
        <v>14306.75</v>
      </c>
      <c r="C76" s="94">
        <f t="shared" si="11"/>
        <v>-1.6670574377696257E-3</v>
      </c>
      <c r="D76" s="95">
        <f>(B76-(MAX($B$2:B76)))/(MAX($B$2:B76))</f>
        <v>-6.2203482839340166E-3</v>
      </c>
      <c r="E76" s="96">
        <f t="shared" si="12"/>
        <v>13826.223210314964</v>
      </c>
      <c r="F76" s="100">
        <v>3.2000000000000002E-3</v>
      </c>
      <c r="G76" s="94">
        <f>(E76-(MAX($E$2:E76)))/(MAX($E$2:E76))</f>
        <v>0</v>
      </c>
      <c r="H76" s="97">
        <f t="shared" si="13"/>
        <v>16735.156984062254</v>
      </c>
      <c r="I76" s="100">
        <v>4.3195165546003889E-3</v>
      </c>
      <c r="J76" s="94">
        <f>(H76-(MAX($E$2:H76)))/(MAX($E$2:H76))</f>
        <v>0</v>
      </c>
      <c r="S76" s="75"/>
      <c r="T76" s="75"/>
    </row>
    <row r="77" spans="1:20" x14ac:dyDescent="0.3">
      <c r="A77" s="30">
        <f t="shared" si="14"/>
        <v>43008</v>
      </c>
      <c r="B77" s="120">
        <v>14408.99</v>
      </c>
      <c r="C77" s="94">
        <f t="shared" si="11"/>
        <v>7.1462771069599196E-3</v>
      </c>
      <c r="D77" s="95">
        <f>(B77-(MAX($B$2:B77)))/(MAX($B$2:B77))</f>
        <v>0</v>
      </c>
      <c r="E77" s="96">
        <f t="shared" si="12"/>
        <v>13960.33757545502</v>
      </c>
      <c r="F77" s="100">
        <v>9.7000000000000003E-3</v>
      </c>
      <c r="G77" s="94">
        <f>(E77-(MAX($E$2:E77)))/(MAX($E$2:E77))</f>
        <v>0</v>
      </c>
      <c r="H77" s="97">
        <f t="shared" si="13"/>
        <v>17064.72600918325</v>
      </c>
      <c r="I77" s="100">
        <v>1.9693213839276247E-2</v>
      </c>
      <c r="J77" s="94">
        <f>(H77-(MAX($E$2:H77)))/(MAX($E$2:H77))</f>
        <v>0</v>
      </c>
      <c r="S77" s="75"/>
      <c r="T77" s="75"/>
    </row>
    <row r="78" spans="1:20" x14ac:dyDescent="0.3">
      <c r="A78" s="30">
        <f t="shared" si="14"/>
        <v>43039</v>
      </c>
      <c r="B78" s="120">
        <v>14432.89</v>
      </c>
      <c r="C78" s="94">
        <f t="shared" si="11"/>
        <v>1.6586866949035439E-3</v>
      </c>
      <c r="D78" s="95">
        <f>(B78-(MAX($B$2:B78)))/(MAX($B$2:B78))</f>
        <v>0</v>
      </c>
      <c r="E78" s="96">
        <f t="shared" si="12"/>
        <v>14111.109221269933</v>
      </c>
      <c r="F78" s="100">
        <v>1.0800000000000001E-2</v>
      </c>
      <c r="G78" s="94">
        <f>(E78-(MAX($E$2:E78)))/(MAX($E$2:E78))</f>
        <v>0</v>
      </c>
      <c r="H78" s="97">
        <f t="shared" si="13"/>
        <v>17423.014874040447</v>
      </c>
      <c r="I78" s="100">
        <v>2.099587562462979E-2</v>
      </c>
      <c r="J78" s="94">
        <f>(H78-(MAX($E$2:H78)))/(MAX($E$2:H78))</f>
        <v>0</v>
      </c>
      <c r="S78" s="75"/>
      <c r="T78" s="75"/>
    </row>
    <row r="79" spans="1:20" x14ac:dyDescent="0.3">
      <c r="A79" s="30">
        <f t="shared" si="14"/>
        <v>43069</v>
      </c>
      <c r="B79" s="120">
        <v>14600.16</v>
      </c>
      <c r="C79" s="94">
        <f t="shared" si="11"/>
        <v>1.15895014789138E-2</v>
      </c>
      <c r="D79" s="95">
        <f>(B79-(MAX($B$2:B79)))/(MAX($B$2:B79))</f>
        <v>0</v>
      </c>
      <c r="E79" s="96">
        <f t="shared" si="12"/>
        <v>14235.286982417107</v>
      </c>
      <c r="F79" s="100">
        <v>8.8000000000000005E-3</v>
      </c>
      <c r="G79" s="94">
        <f>(E79-(MAX($E$2:E79)))/(MAX($E$2:E79))</f>
        <v>0</v>
      </c>
      <c r="H79" s="97">
        <f t="shared" si="13"/>
        <v>17768.184799758888</v>
      </c>
      <c r="I79" s="100">
        <v>1.9811147968009202E-2</v>
      </c>
      <c r="J79" s="94">
        <f>(H79-(MAX($E$2:H79)))/(MAX($E$2:H79))</f>
        <v>0</v>
      </c>
      <c r="S79" s="75"/>
      <c r="T79" s="75"/>
    </row>
    <row r="80" spans="1:20" x14ac:dyDescent="0.3">
      <c r="A80" s="30">
        <f t="shared" si="14"/>
        <v>43100</v>
      </c>
      <c r="B80" s="120">
        <v>14843.69</v>
      </c>
      <c r="C80" s="94">
        <f t="shared" si="11"/>
        <v>1.6679954192282853E-2</v>
      </c>
      <c r="D80" s="95">
        <f>(B80-(MAX($B$2:B80)))/(MAX($B$2:B80))</f>
        <v>0</v>
      </c>
      <c r="E80" s="96">
        <f t="shared" si="12"/>
        <v>14359.133979164135</v>
      </c>
      <c r="F80" s="100">
        <v>8.6999999999999994E-3</v>
      </c>
      <c r="G80" s="94">
        <f>(E80-(MAX($E$2:E80)))/(MAX($E$2:E80))</f>
        <v>0</v>
      </c>
      <c r="H80" s="97">
        <f t="shared" si="13"/>
        <v>18060.701685960954</v>
      </c>
      <c r="I80" s="100">
        <v>1.6462958343726575E-2</v>
      </c>
      <c r="J80" s="94">
        <f>(H80-(MAX($E$2:H80)))/(MAX($E$2:H80))</f>
        <v>0</v>
      </c>
      <c r="S80" s="75"/>
      <c r="T80" s="75"/>
    </row>
    <row r="81" spans="1:20" x14ac:dyDescent="0.3">
      <c r="A81" s="30">
        <f t="shared" si="14"/>
        <v>43131</v>
      </c>
      <c r="B81" s="120">
        <v>15209.9</v>
      </c>
      <c r="C81" s="94">
        <f t="shared" si="11"/>
        <v>2.4671089196823592E-2</v>
      </c>
      <c r="D81" s="95">
        <f>(B81-(MAX($B$2:B81)))/(MAX($B$2:B81))</f>
        <v>0</v>
      </c>
      <c r="E81" s="96">
        <f t="shared" si="12"/>
        <v>14750.994745455524</v>
      </c>
      <c r="F81" s="100">
        <v>2.7289999999999995E-2</v>
      </c>
      <c r="G81" s="94">
        <f>(E81-(MAX($E$2:E81)))/(MAX($E$2:E81))</f>
        <v>0</v>
      </c>
      <c r="H81" s="97">
        <f t="shared" si="13"/>
        <v>19083.447089900183</v>
      </c>
      <c r="I81" s="100">
        <v>5.6628220858895739E-2</v>
      </c>
      <c r="J81" s="94">
        <f>(H81-(MAX($E$2:H81)))/(MAX($E$2:H81))</f>
        <v>0</v>
      </c>
      <c r="S81" s="75"/>
      <c r="T81" s="75"/>
    </row>
    <row r="82" spans="1:20" x14ac:dyDescent="0.3">
      <c r="A82" s="30">
        <f t="shared" si="14"/>
        <v>43159</v>
      </c>
      <c r="B82" s="120">
        <v>14843.69</v>
      </c>
      <c r="C82" s="94">
        <f t="shared" si="11"/>
        <v>-2.4077081374630938E-2</v>
      </c>
      <c r="D82" s="95">
        <f>(B82-(MAX($B$2:B82)))/(MAX($B$2:B82))</f>
        <v>-2.4077081374630941E-2</v>
      </c>
      <c r="E82" s="96">
        <f t="shared" si="12"/>
        <v>14426.767880950412</v>
      </c>
      <c r="F82" s="100">
        <v>-2.198E-2</v>
      </c>
      <c r="G82" s="94">
        <f>(E82-(MAX($E$2:E82)))/(MAX($E$2:E82))</f>
        <v>-2.1979999999999954E-2</v>
      </c>
      <c r="H82" s="97">
        <f t="shared" si="13"/>
        <v>18289.219423121238</v>
      </c>
      <c r="I82" s="100">
        <v>-4.1618668945784254E-2</v>
      </c>
      <c r="J82" s="94">
        <f>(H82-(MAX($E$2:H82)))/(MAX($E$2:H82))</f>
        <v>-4.1618668945784205E-2</v>
      </c>
      <c r="S82" s="75"/>
      <c r="T82" s="75"/>
    </row>
    <row r="83" spans="1:20" x14ac:dyDescent="0.3">
      <c r="A83" s="30">
        <f t="shared" si="14"/>
        <v>43190</v>
      </c>
      <c r="B83" s="120">
        <v>14831.48</v>
      </c>
      <c r="C83" s="94">
        <f t="shared" si="11"/>
        <v>-8.2257174597433202E-4</v>
      </c>
      <c r="D83" s="95">
        <f>(B83-(MAX($B$2:B83)))/(MAX($B$2:B83))</f>
        <v>-2.4879847993740923E-2</v>
      </c>
      <c r="E83" s="96">
        <f t="shared" si="12"/>
        <v>14278.74924249186</v>
      </c>
      <c r="F83" s="100">
        <v>-1.026E-2</v>
      </c>
      <c r="G83" s="94">
        <f>(E83-(MAX($E$2:E83)))/(MAX($E$2:E83))</f>
        <v>-3.2014485200000019E-2</v>
      </c>
      <c r="H83" s="97">
        <f t="shared" si="13"/>
        <v>17908.770188097213</v>
      </c>
      <c r="I83" s="100">
        <v>-2.0801830095769969E-2</v>
      </c>
      <c r="J83" s="94">
        <f>(H83-(MAX($E$2:H83)))/(MAX($E$2:H83))</f>
        <v>-6.1554754561331936E-2</v>
      </c>
      <c r="S83" s="75"/>
      <c r="T83" s="75"/>
    </row>
    <row r="84" spans="1:20" x14ac:dyDescent="0.3">
      <c r="A84" s="30">
        <f t="shared" si="14"/>
        <v>43220</v>
      </c>
      <c r="B84" s="120">
        <v>14859.72</v>
      </c>
      <c r="C84" s="94">
        <f t="shared" si="11"/>
        <v>1.9040581250151511E-3</v>
      </c>
      <c r="D84" s="95">
        <f>(B84-(MAX($B$2:B84)))/(MAX($B$2:B84))</f>
        <v>-2.3023162545447392E-2</v>
      </c>
      <c r="E84" s="96">
        <f t="shared" si="12"/>
        <v>14358.424663264963</v>
      </c>
      <c r="F84" s="100">
        <v>5.579999999999999E-3</v>
      </c>
      <c r="G84" s="94">
        <f>(E84-(MAX($E$2:E84)))/(MAX($E$2:E84))</f>
        <v>-2.6613126027416143E-2</v>
      </c>
      <c r="H84" s="97">
        <f t="shared" si="13"/>
        <v>18089.95337458116</v>
      </c>
      <c r="I84" s="100">
        <v>1.0117008849908071E-2</v>
      </c>
      <c r="J84" s="94">
        <f>(H84-(MAX($E$2:H84)))/(MAX($E$2:H84))</f>
        <v>-5.2060495708074861E-2</v>
      </c>
      <c r="S84" s="75"/>
      <c r="T84" s="75"/>
    </row>
    <row r="85" spans="1:20" x14ac:dyDescent="0.3">
      <c r="A85" s="30">
        <f t="shared" si="14"/>
        <v>43251</v>
      </c>
      <c r="B85" s="120">
        <v>14774.04</v>
      </c>
      <c r="C85" s="94">
        <f t="shared" si="11"/>
        <v>-5.7659229110641474E-3</v>
      </c>
      <c r="D85" s="95">
        <f>(B85-(MAX($B$2:B85)))/(MAX($B$2:B85))</f>
        <v>-2.8656335676105614E-2</v>
      </c>
      <c r="E85" s="96">
        <f t="shared" si="12"/>
        <v>14400.925600268229</v>
      </c>
      <c r="F85" s="100">
        <v>2.96E-3</v>
      </c>
      <c r="G85" s="94">
        <f>(E85-(MAX($E$2:E85)))/(MAX($E$2:E85))</f>
        <v>-2.3731900880457193E-2</v>
      </c>
      <c r="H85" s="97">
        <f t="shared" si="13"/>
        <v>18128.069211268095</v>
      </c>
      <c r="I85" s="100">
        <v>2.1070168561347913E-3</v>
      </c>
      <c r="J85" s="94">
        <f>(H85-(MAX($E$2:H85)))/(MAX($E$2:H85))</f>
        <v>-5.0063171193935718E-2</v>
      </c>
      <c r="S85" s="75"/>
      <c r="T85" s="75"/>
    </row>
    <row r="86" spans="1:20" x14ac:dyDescent="0.3">
      <c r="A86" s="30">
        <f t="shared" si="14"/>
        <v>43281</v>
      </c>
      <c r="B86" s="120">
        <v>14869.05</v>
      </c>
      <c r="C86" s="94">
        <f t="shared" si="11"/>
        <v>6.4308746964267804E-3</v>
      </c>
      <c r="D86" s="95">
        <f>(B86-(MAX($B$2:B86)))/(MAX($B$2:B86))</f>
        <v>-2.2409746283670529E-2</v>
      </c>
      <c r="E86" s="96">
        <f t="shared" si="12"/>
        <v>14363.627202963535</v>
      </c>
      <c r="F86" s="100">
        <v>-2.5900000000000003E-3</v>
      </c>
      <c r="G86" s="94">
        <f>(E86-(MAX($E$2:E86)))/(MAX($E$2:E86))</f>
        <v>-2.6260435257176754E-2</v>
      </c>
      <c r="H86" s="97">
        <f t="shared" si="13"/>
        <v>18037.123052103452</v>
      </c>
      <c r="I86" s="100">
        <v>-5.0168695907290006E-3</v>
      </c>
      <c r="J86" s="94">
        <f>(H86-(MAX($E$2:H86)))/(MAX($E$2:H86))</f>
        <v>-5.4828880383486489E-2</v>
      </c>
      <c r="S86" s="75"/>
      <c r="T86" s="75"/>
    </row>
    <row r="87" spans="1:20" x14ac:dyDescent="0.3">
      <c r="A87" s="30">
        <f t="shared" si="14"/>
        <v>43312</v>
      </c>
      <c r="B87" s="120">
        <v>14856.72</v>
      </c>
      <c r="C87" s="94">
        <f t="shared" si="11"/>
        <v>-8.2923925872868676E-4</v>
      </c>
      <c r="D87" s="95">
        <f>(B87-(MAX($B$2:B87)))/(MAX($B$2:B87))</f>
        <v>-2.3220402501002657E-2</v>
      </c>
      <c r="E87" s="96">
        <f t="shared" si="12"/>
        <v>14597.036145011694</v>
      </c>
      <c r="F87" s="100">
        <v>1.6250000000000001E-2</v>
      </c>
      <c r="G87" s="94">
        <f>(E87-(MAX($E$2:E87)))/(MAX($E$2:E87))</f>
        <v>-1.0437167330105732E-2</v>
      </c>
      <c r="H87" s="97">
        <f t="shared" si="13"/>
        <v>18586.877515202006</v>
      </c>
      <c r="I87" s="100">
        <v>3.047905486426461E-2</v>
      </c>
      <c r="J87" s="94">
        <f>(H87-(MAX($E$2:H87)))/(MAX($E$2:H87))</f>
        <v>-2.6020957972576315E-2</v>
      </c>
      <c r="S87" s="75"/>
      <c r="T87" s="75"/>
    </row>
    <row r="88" spans="1:20" x14ac:dyDescent="0.3">
      <c r="A88" s="30">
        <f t="shared" si="14"/>
        <v>43343</v>
      </c>
      <c r="B88" s="120">
        <v>14980.01</v>
      </c>
      <c r="C88" s="94">
        <f t="shared" si="11"/>
        <v>8.2986015755832643E-3</v>
      </c>
      <c r="D88" s="95">
        <f>(B88-(MAX($B$2:B88)))/(MAX($B$2:B88))</f>
        <v>-1.5114497794199792E-2</v>
      </c>
      <c r="E88" s="96">
        <f t="shared" si="12"/>
        <v>14689.143443086719</v>
      </c>
      <c r="F88" s="100">
        <v>6.3099999999999996E-3</v>
      </c>
      <c r="G88" s="94">
        <f>(E88-(MAX($E$2:E88)))/(MAX($E$2:E88))</f>
        <v>-4.1930258559586151E-3</v>
      </c>
      <c r="H88" s="97">
        <f t="shared" si="13"/>
        <v>18741.290974524432</v>
      </c>
      <c r="I88" s="100">
        <v>8.307660024989838E-3</v>
      </c>
      <c r="J88" s="94">
        <f>(H88-(MAX($E$2:H88)))/(MAX($E$2:H88))</f>
        <v>-1.7929471219947188E-2</v>
      </c>
      <c r="S88" s="75"/>
      <c r="T88" s="75"/>
    </row>
    <row r="89" spans="1:20" x14ac:dyDescent="0.3">
      <c r="A89" s="30">
        <f t="shared" si="14"/>
        <v>43373</v>
      </c>
      <c r="B89" s="120">
        <v>14967.1</v>
      </c>
      <c r="C89" s="94">
        <f t="shared" si="11"/>
        <v>-8.6181517902861327E-4</v>
      </c>
      <c r="D89" s="95">
        <f>(B89-(MAX($B$2:B89)))/(MAX($B$2:B89))</f>
        <v>-1.5963287069605932E-2</v>
      </c>
      <c r="E89" s="96">
        <f t="shared" si="12"/>
        <v>14727.041433169883</v>
      </c>
      <c r="F89" s="100">
        <v>2.5800000000000003E-3</v>
      </c>
      <c r="G89" s="94">
        <f>(E89-(MAX($E$2:E89)))/(MAX($E$2:E89))</f>
        <v>-1.6238438626669923E-3</v>
      </c>
      <c r="H89" s="97">
        <f t="shared" si="13"/>
        <v>18830.464304075726</v>
      </c>
      <c r="I89" s="100">
        <v>4.7581209678944081E-3</v>
      </c>
      <c r="J89" s="94">
        <f>(H89-(MAX($E$2:H89)))/(MAX($E$2:H89))</f>
        <v>-1.3256660845007763E-2</v>
      </c>
      <c r="S89" s="75"/>
      <c r="T89" s="75"/>
    </row>
    <row r="90" spans="1:20" x14ac:dyDescent="0.3">
      <c r="A90" s="30">
        <f t="shared" si="14"/>
        <v>43404</v>
      </c>
      <c r="B90" s="120">
        <v>14706.26</v>
      </c>
      <c r="C90" s="94">
        <f t="shared" si="11"/>
        <v>-1.7427557776723668E-2</v>
      </c>
      <c r="D90" s="95">
        <f>(B90-(MAX($B$2:B90)))/(MAX($B$2:B90))</f>
        <v>-3.3112643738617574E-2</v>
      </c>
      <c r="E90" s="96">
        <f t="shared" si="12"/>
        <v>14179.784573513291</v>
      </c>
      <c r="F90" s="100">
        <v>-3.7159999999999999E-2</v>
      </c>
      <c r="G90" s="94">
        <f>(E90-(MAX($E$2:E90)))/(MAX($E$2:E90))</f>
        <v>-3.8723501824730264E-2</v>
      </c>
      <c r="H90" s="97">
        <f t="shared" si="13"/>
        <v>17423.54672292445</v>
      </c>
      <c r="I90" s="100">
        <v>-7.4714970296656968E-2</v>
      </c>
      <c r="J90" s="94">
        <f>(H90-(MAX($E$2:H90)))/(MAX($E$2:H90))</f>
        <v>-8.6981160120397055E-2</v>
      </c>
      <c r="S90" s="75"/>
      <c r="T90" s="75"/>
    </row>
    <row r="91" spans="1:20" x14ac:dyDescent="0.3">
      <c r="A91" s="30">
        <f t="shared" si="14"/>
        <v>43434</v>
      </c>
      <c r="B91" s="120">
        <v>14842.89</v>
      </c>
      <c r="C91" s="94">
        <f t="shared" si="11"/>
        <v>9.2906014173554929E-3</v>
      </c>
      <c r="D91" s="95">
        <f>(B91-(MAX($B$2:B91)))/(MAX($B$2:B91))</f>
        <v>-2.4129678696112416E-2</v>
      </c>
      <c r="E91" s="96">
        <f t="shared" si="12"/>
        <v>14296.767796244776</v>
      </c>
      <c r="F91" s="100">
        <v>8.2500000000000004E-3</v>
      </c>
      <c r="G91" s="94">
        <f>(E91-(MAX($E$2:E91)))/(MAX($E$2:E91))</f>
        <v>-3.0792970714784228E-2</v>
      </c>
      <c r="H91" s="97">
        <f t="shared" si="13"/>
        <v>17686.634637544976</v>
      </c>
      <c r="I91" s="100">
        <v>1.5099561461523692E-2</v>
      </c>
      <c r="J91" s="94">
        <f>(H91-(MAX($E$2:H91)))/(MAX($E$2:H91))</f>
        <v>-7.3194976032106007E-2</v>
      </c>
      <c r="S91" s="75"/>
      <c r="T91" s="75"/>
    </row>
    <row r="92" spans="1:20" x14ac:dyDescent="0.3">
      <c r="A92" s="30">
        <f t="shared" si="14"/>
        <v>43465</v>
      </c>
      <c r="B92" s="120">
        <v>14363.08</v>
      </c>
      <c r="C92" s="94">
        <f t="shared" si="11"/>
        <v>-3.2325914966694458E-2</v>
      </c>
      <c r="D92" s="95">
        <f>(B92-(MAX($B$2:B92)))/(MAX($B$2:B92))</f>
        <v>-5.5675579721102687E-2</v>
      </c>
      <c r="E92" s="96">
        <f t="shared" si="12"/>
        <v>13848.278190476578</v>
      </c>
      <c r="F92" s="100">
        <v>-3.1370000000000002E-2</v>
      </c>
      <c r="G92" s="94">
        <f>(E92-(MAX($E$2:E92)))/(MAX($E$2:E92))</f>
        <v>-6.1196995223461413E-2</v>
      </c>
      <c r="H92" s="97">
        <f t="shared" si="13"/>
        <v>16447.958586700224</v>
      </c>
      <c r="I92" s="100">
        <v>-7.003458126597506E-2</v>
      </c>
      <c r="J92" s="94">
        <f>(H92-(MAX($E$2:H92)))/(MAX($E$2:H92))</f>
        <v>-0.13810337780089935</v>
      </c>
      <c r="S92" s="75"/>
      <c r="T92" s="75"/>
    </row>
    <row r="93" spans="1:20" x14ac:dyDescent="0.3">
      <c r="A93" s="30">
        <f t="shared" si="14"/>
        <v>43496</v>
      </c>
      <c r="B93" s="120">
        <v>14772.32</v>
      </c>
      <c r="C93" s="94">
        <f t="shared" si="11"/>
        <v>2.8492496038454052E-2</v>
      </c>
      <c r="D93" s="95">
        <f>(B93-(MAX($B$2:B93)))/(MAX($B$2:B93))</f>
        <v>-2.876941991729071E-2</v>
      </c>
      <c r="E93" s="96">
        <f t="shared" si="12"/>
        <v>14443.75415266707</v>
      </c>
      <c r="F93" s="100">
        <v>4.2999999999999997E-2</v>
      </c>
      <c r="G93" s="94">
        <f>(E93-(MAX($E$2:E93)))/(MAX($E$2:E93))</f>
        <v>-2.0828466018070292E-2</v>
      </c>
      <c r="H93" s="97">
        <f t="shared" si="13"/>
        <v>17751.874767316105</v>
      </c>
      <c r="I93" s="100">
        <v>7.9275259220936034E-2</v>
      </c>
      <c r="J93" s="94">
        <f>(H93-(MAX($E$2:H93)))/(MAX($E$2:H93))</f>
        <v>-6.9776299654416493E-2</v>
      </c>
      <c r="S93" s="75"/>
      <c r="T93" s="75"/>
    </row>
    <row r="94" spans="1:20" x14ac:dyDescent="0.3">
      <c r="A94" s="30">
        <f t="shared" si="14"/>
        <v>43524</v>
      </c>
      <c r="B94" s="120">
        <v>15009.94</v>
      </c>
      <c r="C94" s="94">
        <f t="shared" si="11"/>
        <v>1.6085489618421489E-2</v>
      </c>
      <c r="D94" s="95">
        <f>(B94-(MAX($B$2:B94)))/(MAX($B$2:B94))</f>
        <v>-1.3146700504276763E-2</v>
      </c>
      <c r="E94" s="96">
        <f t="shared" si="12"/>
        <v>14658.966089541809</v>
      </c>
      <c r="F94" s="100">
        <v>1.49E-2</v>
      </c>
      <c r="G94" s="94">
        <f>(E94-(MAX($E$2:E94)))/(MAX($E$2:E94))</f>
        <v>-6.2388101617395636E-3</v>
      </c>
      <c r="H94" s="97">
        <f t="shared" si="13"/>
        <v>18234.616271030183</v>
      </c>
      <c r="I94" s="100">
        <v>2.7193832203169732E-2</v>
      </c>
      <c r="J94" s="94">
        <f>(H94-(MAX($E$2:H94)))/(MAX($E$2:H94))</f>
        <v>-4.4479952435806984E-2</v>
      </c>
      <c r="S94" s="75"/>
      <c r="T94" s="75"/>
    </row>
    <row r="95" spans="1:20" x14ac:dyDescent="0.3">
      <c r="A95" s="30">
        <f t="shared" si="14"/>
        <v>43555</v>
      </c>
      <c r="B95" s="120">
        <v>15215.12</v>
      </c>
      <c r="C95" s="94">
        <f t="shared" si="11"/>
        <v>1.3669608272917744E-2</v>
      </c>
      <c r="D95" s="95">
        <f>(B95-(MAX($B$2:B95)))/(MAX($B$2:B95))</f>
        <v>0</v>
      </c>
      <c r="E95" s="96">
        <f t="shared" si="12"/>
        <v>14807.021647046182</v>
      </c>
      <c r="F95" s="100">
        <v>1.01E-2</v>
      </c>
      <c r="G95" s="94">
        <f>(E95-(MAX($E$2:E95)))/(MAX($E$2:E95))</f>
        <v>0</v>
      </c>
      <c r="H95" s="97">
        <f t="shared" si="13"/>
        <v>18475.366532522552</v>
      </c>
      <c r="I95" s="100">
        <v>1.3202924476938716E-2</v>
      </c>
      <c r="J95" s="94">
        <f>(H95-(MAX($E$2:H95)))/(MAX($E$2:H95))</f>
        <v>-3.186429341161609E-2</v>
      </c>
      <c r="S95" s="75"/>
      <c r="T95" s="75"/>
    </row>
    <row r="96" spans="1:20" x14ac:dyDescent="0.3">
      <c r="A96" s="30">
        <f t="shared" si="14"/>
        <v>43585</v>
      </c>
      <c r="B96" s="120">
        <v>15308.22</v>
      </c>
      <c r="C96" s="94">
        <f t="shared" si="11"/>
        <v>6.118913291515149E-3</v>
      </c>
      <c r="D96" s="95">
        <f>(B96-(MAX($B$2:B96)))/(MAX($B$2:B96))</f>
        <v>0</v>
      </c>
      <c r="E96" s="96">
        <f t="shared" si="12"/>
        <v>15080.951547516535</v>
      </c>
      <c r="F96" s="100">
        <v>1.8499999999999999E-2</v>
      </c>
      <c r="G96" s="94">
        <f>(E96-(MAX($E$2:E96)))/(MAX($E$2:E96))</f>
        <v>0</v>
      </c>
      <c r="H96" s="97">
        <f t="shared" si="13"/>
        <v>19108.975836332364</v>
      </c>
      <c r="I96" s="100">
        <v>3.4294816435411768E-2</v>
      </c>
      <c r="J96" s="94">
        <f>(H96-(MAX($E$2:H96)))/(MAX($E$2:H96))</f>
        <v>0</v>
      </c>
      <c r="S96" s="75"/>
      <c r="T96" s="75"/>
    </row>
    <row r="97" spans="1:20" x14ac:dyDescent="0.3">
      <c r="A97" s="30">
        <f t="shared" si="14"/>
        <v>43616</v>
      </c>
      <c r="B97" s="120">
        <v>15002.32</v>
      </c>
      <c r="C97" s="94">
        <f t="shared" si="11"/>
        <v>-1.9982728233589486E-2</v>
      </c>
      <c r="D97" s="95">
        <f>(B97-(MAX($B$2:B97)))/(MAX($B$2:B97))</f>
        <v>-1.9982728233589514E-2</v>
      </c>
      <c r="E97" s="96">
        <f t="shared" si="12"/>
        <v>14682.814426662098</v>
      </c>
      <c r="F97" s="100">
        <v>-2.64E-2</v>
      </c>
      <c r="G97" s="94">
        <f>(E97-(MAX($E$2:E97)))/(MAX($E$2:E97))</f>
        <v>-2.6400000000000028E-2</v>
      </c>
      <c r="H97" s="97">
        <f t="shared" si="13"/>
        <v>17991.384048079133</v>
      </c>
      <c r="I97" s="100">
        <v>-5.8485174601996537E-2</v>
      </c>
      <c r="J97" s="94">
        <f>(H97-(MAX($E$2:H97)))/(MAX($E$2:H97))</f>
        <v>-5.8485174601996495E-2</v>
      </c>
      <c r="S97" s="75"/>
      <c r="T97" s="75"/>
    </row>
    <row r="98" spans="1:20" x14ac:dyDescent="0.3">
      <c r="A98" s="30">
        <f t="shared" si="14"/>
        <v>43646</v>
      </c>
      <c r="B98" s="120">
        <v>15506.15</v>
      </c>
      <c r="C98" s="94">
        <f t="shared" si="11"/>
        <v>3.3583472422932026E-2</v>
      </c>
      <c r="D98" s="95">
        <f>(B98-(MAX($B$2:B98)))/(MAX($B$2:B98))</f>
        <v>0</v>
      </c>
      <c r="E98" s="96">
        <f t="shared" si="12"/>
        <v>15217.268871792599</v>
      </c>
      <c r="F98" s="100">
        <v>3.6400000000000002E-2</v>
      </c>
      <c r="G98" s="94">
        <f>(E98-(MAX($E$2:E98)))/(MAX($E$2:E98))</f>
        <v>0</v>
      </c>
      <c r="H98" s="97">
        <f t="shared" si="13"/>
        <v>19177.761625330182</v>
      </c>
      <c r="I98" s="100">
        <v>6.5941429190808254E-2</v>
      </c>
      <c r="J98" s="94">
        <f>(H98-(MAX($E$2:H98)))/(MAX($E$2:H98))</f>
        <v>0</v>
      </c>
      <c r="S98" s="75"/>
      <c r="T98" s="75"/>
    </row>
    <row r="99" spans="1:20" x14ac:dyDescent="0.3">
      <c r="A99" s="30">
        <f t="shared" si="14"/>
        <v>43677</v>
      </c>
      <c r="B99" s="120">
        <v>15532.77</v>
      </c>
      <c r="C99" s="94">
        <f t="shared" si="11"/>
        <v>1.7167381974250162E-3</v>
      </c>
      <c r="D99" s="95">
        <f>(B99-(MAX($B$2:B99)))/(MAX($B$2:B99))</f>
        <v>0</v>
      </c>
      <c r="E99" s="96">
        <f t="shared" si="12"/>
        <v>15247.703409536185</v>
      </c>
      <c r="F99" s="100">
        <v>2E-3</v>
      </c>
      <c r="G99" s="94">
        <f>(E99-(MAX($E$2:E99)))/(MAX($E$2:E99))</f>
        <v>0</v>
      </c>
      <c r="H99" s="97">
        <f t="shared" si="13"/>
        <v>19240.697076603956</v>
      </c>
      <c r="I99" s="100">
        <v>3.2816890992455328E-3</v>
      </c>
      <c r="J99" s="94">
        <f>(H99-(MAX($E$2:H99)))/(MAX($E$2:H99))</f>
        <v>0</v>
      </c>
      <c r="S99" s="75"/>
      <c r="T99" s="75"/>
    </row>
    <row r="100" spans="1:20" x14ac:dyDescent="0.3">
      <c r="A100" s="30">
        <f t="shared" si="14"/>
        <v>43708</v>
      </c>
      <c r="B100" s="120">
        <v>15572.7</v>
      </c>
      <c r="C100" s="94">
        <f t="shared" si="11"/>
        <v>2.5706940874035134E-3</v>
      </c>
      <c r="D100" s="95">
        <f>(B100-(MAX($B$2:B100)))/(MAX($B$2:B100))</f>
        <v>0</v>
      </c>
      <c r="E100" s="96">
        <f t="shared" si="12"/>
        <v>15130.296093282755</v>
      </c>
      <c r="F100" s="100">
        <v>-7.7000000000000002E-3</v>
      </c>
      <c r="G100" s="94">
        <f>(E100-(MAX($E$2:E100)))/(MAX($E$2:E100))</f>
        <v>-7.7000000000000636E-3</v>
      </c>
      <c r="H100" s="97">
        <f t="shared" si="13"/>
        <v>18792.880316272793</v>
      </c>
      <c r="I100" s="100">
        <v>-2.3274456146170186E-2</v>
      </c>
      <c r="J100" s="94">
        <f>(H100-(MAX($E$2:H100)))/(MAX($E$2:H100))</f>
        <v>-2.3274456146170155E-2</v>
      </c>
      <c r="S100" s="75"/>
      <c r="T100" s="75"/>
    </row>
    <row r="101" spans="1:20" x14ac:dyDescent="0.3">
      <c r="A101" s="30">
        <f t="shared" si="14"/>
        <v>43738</v>
      </c>
      <c r="B101" s="120">
        <v>15691.59</v>
      </c>
      <c r="C101" s="94">
        <f t="shared" si="11"/>
        <v>7.6345142460845228E-3</v>
      </c>
      <c r="D101" s="95">
        <f>(B101-(MAX($B$2:B101)))/(MAX($B$2:B101))</f>
        <v>0</v>
      </c>
      <c r="E101" s="96">
        <f t="shared" si="12"/>
        <v>15298.242379918196</v>
      </c>
      <c r="F101" s="100">
        <v>1.11E-2</v>
      </c>
      <c r="G101" s="94">
        <f>(E101-(MAX($E$2:E101)))/(MAX($E$2:E101))</f>
        <v>0</v>
      </c>
      <c r="H101" s="97">
        <f t="shared" si="13"/>
        <v>19197.085468115649</v>
      </c>
      <c r="I101" s="100">
        <v>2.1508419414178581E-2</v>
      </c>
      <c r="J101" s="94">
        <f>(H101-(MAX($E$2:H101)))/(MAX($E$2:H101))</f>
        <v>-2.2666334964203151E-3</v>
      </c>
      <c r="S101" s="75"/>
      <c r="T101" s="75"/>
    </row>
    <row r="102" spans="1:20" x14ac:dyDescent="0.3">
      <c r="A102" s="30">
        <f t="shared" si="14"/>
        <v>43769</v>
      </c>
      <c r="B102" s="120">
        <v>15638</v>
      </c>
      <c r="C102" s="94">
        <f t="shared" si="11"/>
        <v>-3.4152052150228096E-3</v>
      </c>
      <c r="D102" s="95">
        <f>(B102-(MAX($B$2:B102)))/(MAX($B$2:B102))</f>
        <v>-3.4152052150228335E-3</v>
      </c>
      <c r="E102" s="96">
        <f t="shared" si="12"/>
        <v>15539.954609520904</v>
      </c>
      <c r="F102" s="100">
        <v>1.5800000000000002E-2</v>
      </c>
      <c r="G102" s="94">
        <f>(E102-(MAX($E$2:E102)))/(MAX($E$2:E102))</f>
        <v>0</v>
      </c>
      <c r="H102" s="97">
        <f t="shared" si="13"/>
        <v>19727.338805467396</v>
      </c>
      <c r="I102" s="100">
        <v>2.7621554231888057E-2</v>
      </c>
      <c r="J102" s="94">
        <f>(H102-(MAX($E$2:H102)))/(MAX($E$2:H102))</f>
        <v>0</v>
      </c>
      <c r="S102" s="75"/>
      <c r="T102" s="75"/>
    </row>
    <row r="103" spans="1:20" x14ac:dyDescent="0.3">
      <c r="A103" s="30">
        <f t="shared" si="14"/>
        <v>43799</v>
      </c>
      <c r="B103" s="120">
        <v>15665</v>
      </c>
      <c r="C103" s="94">
        <f t="shared" si="11"/>
        <v>1.7265634991687762E-3</v>
      </c>
      <c r="D103" s="95">
        <f>(B103-(MAX($B$2:B103)))/(MAX($B$2:B103))</f>
        <v>-1.6945382845205709E-3</v>
      </c>
      <c r="E103" s="96">
        <f t="shared" si="12"/>
        <v>15738.866028522771</v>
      </c>
      <c r="F103" s="100">
        <v>1.2800000000000001E-2</v>
      </c>
      <c r="G103" s="94">
        <f>(E103-(MAX($E$2:E103)))/(MAX($E$2:E103))</f>
        <v>0</v>
      </c>
      <c r="H103" s="97">
        <f t="shared" si="13"/>
        <v>20217.348910596193</v>
      </c>
      <c r="I103" s="100">
        <v>2.4839138718142362E-2</v>
      </c>
      <c r="J103" s="94">
        <f>(H103-(MAX($E$2:H103)))/(MAX($E$2:H103))</f>
        <v>0</v>
      </c>
      <c r="S103" s="75"/>
      <c r="T103" s="75"/>
    </row>
    <row r="104" spans="1:20" x14ac:dyDescent="0.3">
      <c r="A104" s="30">
        <f t="shared" si="14"/>
        <v>43830</v>
      </c>
      <c r="B104" s="120">
        <v>16015</v>
      </c>
      <c r="C104" s="94">
        <f t="shared" si="11"/>
        <v>2.2342802425789898E-2</v>
      </c>
      <c r="D104" s="95">
        <f>(B104-(MAX($B$2:B104)))/(MAX($B$2:B104))</f>
        <v>0</v>
      </c>
      <c r="E104" s="96">
        <f t="shared" si="12"/>
        <v>16042.626142873261</v>
      </c>
      <c r="F104" s="100">
        <v>1.9299999999999998E-2</v>
      </c>
      <c r="G104" s="94">
        <f>(E104-(MAX($E$2:E104)))/(MAX($E$2:E104))</f>
        <v>0</v>
      </c>
      <c r="H104" s="97">
        <f t="shared" si="13"/>
        <v>20937.826865459945</v>
      </c>
      <c r="I104" s="100">
        <v>3.5636618730269909E-2</v>
      </c>
      <c r="J104" s="94">
        <f>(H104-(MAX($E$2:H104)))/(MAX($E$2:H104))</f>
        <v>0</v>
      </c>
      <c r="S104" s="75"/>
      <c r="T104" s="75"/>
    </row>
    <row r="105" spans="1:20" x14ac:dyDescent="0.3">
      <c r="A105" s="30">
        <f t="shared" si="14"/>
        <v>43861</v>
      </c>
      <c r="B105" s="120">
        <v>15853</v>
      </c>
      <c r="C105" s="94">
        <f t="shared" si="11"/>
        <v>-1.0115516703090854E-2</v>
      </c>
      <c r="D105" s="95">
        <f>(B105-(MAX($B$2:B105)))/(MAX($B$2:B105))</f>
        <v>-1.0115516703090853E-2</v>
      </c>
      <c r="E105" s="96">
        <f t="shared" si="12"/>
        <v>15999.311052287503</v>
      </c>
      <c r="F105" s="100">
        <v>-2.7000000000000001E-3</v>
      </c>
      <c r="G105" s="94">
        <f>(E105-(MAX($E$2:E105)))/(MAX($E$2:E105))</f>
        <v>-2.7000000000000305E-3</v>
      </c>
      <c r="H105" s="97">
        <f t="shared" si="13"/>
        <v>20711.79108975835</v>
      </c>
      <c r="I105" s="100">
        <v>-1.0795570006096322E-2</v>
      </c>
      <c r="J105" s="94">
        <f>(H105-(MAX($E$2:H105)))/(MAX($E$2:H105))</f>
        <v>-1.0795570006096239E-2</v>
      </c>
      <c r="S105" s="75"/>
      <c r="T105" s="75"/>
    </row>
    <row r="106" spans="1:20" x14ac:dyDescent="0.3">
      <c r="A106" s="30">
        <f t="shared" si="14"/>
        <v>43890</v>
      </c>
      <c r="B106" s="120">
        <v>14890</v>
      </c>
      <c r="C106" s="94">
        <f t="shared" si="11"/>
        <v>-6.0745600201854488E-2</v>
      </c>
      <c r="D106" s="95">
        <f>(B106-(MAX($B$2:B106)))/(MAX($B$2:B106))</f>
        <v>-7.0246643771464251E-2</v>
      </c>
      <c r="E106" s="96">
        <f t="shared" si="12"/>
        <v>15405.736612247636</v>
      </c>
      <c r="F106" s="100">
        <v>-3.7100000000000001E-2</v>
      </c>
      <c r="G106" s="94">
        <f>(E106-(MAX($E$2:E106)))/(MAX($E$2:E106))</f>
        <v>-3.9699830000000075E-2</v>
      </c>
      <c r="H106" s="97">
        <f t="shared" si="13"/>
        <v>19046.926799865254</v>
      </c>
      <c r="I106" s="100">
        <v>-8.0382439291614149E-2</v>
      </c>
      <c r="J106" s="94">
        <f>(H106-(MAX($E$2:H106)))/(MAX($E$2:H106))</f>
        <v>-9.0310235047076998E-2</v>
      </c>
      <c r="S106" s="75"/>
      <c r="T106" s="75"/>
    </row>
    <row r="107" spans="1:20" x14ac:dyDescent="0.3">
      <c r="A107" s="30">
        <f t="shared" si="14"/>
        <v>43921</v>
      </c>
      <c r="B107" s="120">
        <v>13738</v>
      </c>
      <c r="C107" s="94">
        <f t="shared" si="11"/>
        <v>-7.7367360644728045E-2</v>
      </c>
      <c r="D107" s="95">
        <f>(B107-(MAX($B$2:B107)))/(MAX($B$2:B107))</f>
        <v>-0.14217920699344364</v>
      </c>
      <c r="E107" s="96">
        <f t="shared" si="12"/>
        <v>14259.549808296411</v>
      </c>
      <c r="F107" s="100">
        <v>-7.4399999999999994E-2</v>
      </c>
      <c r="G107" s="94">
        <f>(E107-(MAX($E$2:E107)))/(MAX($E$2:E107))</f>
        <v>-0.1111461626480001</v>
      </c>
      <c r="H107" s="97">
        <f t="shared" si="13"/>
        <v>16486.960838193831</v>
      </c>
      <c r="I107" s="100">
        <v>-0.13440309760047664</v>
      </c>
      <c r="J107" s="94">
        <f>(H107-(MAX($E$2:H107)))/(MAX($E$2:H107))</f>
        <v>-0.21257535731219934</v>
      </c>
      <c r="S107" s="75"/>
      <c r="T107" s="75"/>
    </row>
    <row r="108" spans="1:20" x14ac:dyDescent="0.3">
      <c r="A108" s="30">
        <f t="shared" si="14"/>
        <v>43951</v>
      </c>
      <c r="B108" s="126">
        <v>14391</v>
      </c>
      <c r="C108" s="94">
        <f t="shared" si="11"/>
        <v>4.7532391905663163E-2</v>
      </c>
      <c r="D108" s="95">
        <f>(B108-(MAX($B$2:B108)))/(MAX($B$2:B108))</f>
        <v>-0.10140493287542929</v>
      </c>
      <c r="E108" s="96">
        <f t="shared" si="12"/>
        <v>15156.475491238254</v>
      </c>
      <c r="F108" s="100">
        <v>6.2899999999999998E-2</v>
      </c>
      <c r="G108" s="94">
        <f>(E108-(MAX($E$2:E108)))/(MAX($E$2:E108))</f>
        <v>-5.5237256278559403E-2</v>
      </c>
      <c r="H108" s="97">
        <f t="shared" si="13"/>
        <v>18261.563281153034</v>
      </c>
      <c r="I108" s="100">
        <v>0.10763672337039498</v>
      </c>
      <c r="J108" s="94">
        <f>(H108-(MAX($E$2:H108)))/(MAX($E$2:H108))</f>
        <v>-0.1278195488721805</v>
      </c>
      <c r="S108" s="75"/>
      <c r="T108" s="75"/>
    </row>
    <row r="109" spans="1:20" x14ac:dyDescent="0.3">
      <c r="A109" s="30">
        <f t="shared" si="14"/>
        <v>43982</v>
      </c>
      <c r="B109" s="126">
        <v>14907</v>
      </c>
      <c r="C109" s="94">
        <f t="shared" si="11"/>
        <v>3.5855743172816368E-2</v>
      </c>
      <c r="D109" s="95">
        <f>(B109-(MAX($B$2:B109)))/(MAX($B$2:B109))</f>
        <v>-6.918513893225102E-2</v>
      </c>
      <c r="E109" s="96">
        <f t="shared" si="12"/>
        <v>15562.669034403438</v>
      </c>
      <c r="F109" s="100">
        <v>2.6800000000000001E-2</v>
      </c>
      <c r="G109" s="94">
        <f>(E109-(MAX($E$2:E109)))/(MAX($E$2:E109))</f>
        <v>-2.9917614746824892E-2</v>
      </c>
      <c r="H109" s="97">
        <f t="shared" si="13"/>
        <v>19066.782491534723</v>
      </c>
      <c r="I109" s="100">
        <v>4.4093662628145402E-2</v>
      </c>
      <c r="J109" s="94">
        <f>(H109-(MAX($E$2:H109)))/(MAX($E$2:H109))</f>
        <v>-8.9361918309286803E-2</v>
      </c>
      <c r="S109" s="75"/>
      <c r="T109" s="75"/>
    </row>
    <row r="110" spans="1:20" x14ac:dyDescent="0.3">
      <c r="A110" s="30">
        <f t="shared" si="14"/>
        <v>44012</v>
      </c>
      <c r="B110" s="126">
        <v>14999</v>
      </c>
      <c r="C110" s="94">
        <f t="shared" si="11"/>
        <v>6.1715972361977567E-3</v>
      </c>
      <c r="D110" s="95">
        <f>(B110-(MAX($B$2:B110)))/(MAX($B$2:B110))</f>
        <v>-6.3440524508273491E-2</v>
      </c>
      <c r="E110" s="96">
        <f t="shared" si="12"/>
        <v>15855.24721225022</v>
      </c>
      <c r="F110" s="100">
        <v>1.8799999999999997E-2</v>
      </c>
      <c r="G110" s="94">
        <f>(E110-(MAX($E$2:E110)))/(MAX($E$2:E110))</f>
        <v>-1.1680065904065326E-2</v>
      </c>
      <c r="H110" s="97">
        <f t="shared" si="13"/>
        <v>19684.259045863084</v>
      </c>
      <c r="I110" s="100">
        <v>3.2384937238493672E-2</v>
      </c>
      <c r="J110" s="94">
        <f>(H110-(MAX($E$2:H110)))/(MAX($E$2:H110))</f>
        <v>-5.987096118675083E-2</v>
      </c>
      <c r="S110" s="75"/>
      <c r="T110" s="75"/>
    </row>
    <row r="111" spans="1:20" x14ac:dyDescent="0.3">
      <c r="A111" s="30">
        <f t="shared" si="14"/>
        <v>44043</v>
      </c>
      <c r="B111" s="126">
        <v>15273</v>
      </c>
      <c r="C111" s="94">
        <f t="shared" si="11"/>
        <v>1.8267884525634992E-2</v>
      </c>
      <c r="D111" s="95">
        <f>(B111-(MAX($B$2:B111)))/(MAX($B$2:B111))</f>
        <v>-4.6331564158601311E-2</v>
      </c>
      <c r="E111" s="96">
        <f t="shared" si="12"/>
        <v>16307.121757799352</v>
      </c>
      <c r="F111" s="100">
        <v>2.8500000000000001E-2</v>
      </c>
      <c r="G111" s="94">
        <f>(E111-(MAX($E$2:E111)))/(MAX($E$2:E111))</f>
        <v>0</v>
      </c>
      <c r="H111" s="97">
        <f t="shared" si="13"/>
        <v>20733.430053007585</v>
      </c>
      <c r="I111" s="100">
        <v>5.33E-2</v>
      </c>
      <c r="J111" s="94">
        <f>(H111-(MAX($E$2:H111)))/(MAX($E$2:H111))</f>
        <v>-9.7620834180047016E-3</v>
      </c>
      <c r="S111" s="75"/>
      <c r="T111" s="75"/>
    </row>
    <row r="112" spans="1:20" x14ac:dyDescent="0.3">
      <c r="A112" s="30">
        <f t="shared" si="14"/>
        <v>44074</v>
      </c>
      <c r="B112" s="126">
        <v>15465</v>
      </c>
      <c r="C112" s="94">
        <f t="shared" si="11"/>
        <v>1.2571204085641385E-2</v>
      </c>
      <c r="D112" s="95">
        <f>(B112-(MAX($B$2:B112)))/(MAX($B$2:B112))</f>
        <v>-3.4342803621604745E-2</v>
      </c>
      <c r="E112" s="96">
        <f t="shared" si="12"/>
        <v>16820.796093170033</v>
      </c>
      <c r="F112" s="100">
        <v>3.15E-2</v>
      </c>
      <c r="G112" s="94">
        <f>(E112-(MAX($E$2:E112)))/(MAX($E$2:E112))</f>
        <v>0</v>
      </c>
      <c r="H112" s="97">
        <f t="shared" si="13"/>
        <v>22010.609344272856</v>
      </c>
      <c r="I112" s="100">
        <v>6.1600000000000002E-2</v>
      </c>
      <c r="J112" s="94">
        <f>(H112-(MAX($E$2:H112)))/(MAX($E$2:H112))</f>
        <v>0</v>
      </c>
      <c r="S112" s="75"/>
      <c r="T112" s="75"/>
    </row>
    <row r="113" spans="1:20" x14ac:dyDescent="0.3">
      <c r="A113" s="30">
        <f t="shared" si="14"/>
        <v>44104</v>
      </c>
      <c r="B113" s="126">
        <v>15224</v>
      </c>
      <c r="C113" s="94">
        <f t="shared" si="11"/>
        <v>-1.5583575816359496E-2</v>
      </c>
      <c r="D113" s="95">
        <f>(B113-(MAX($B$2:B113)))/(MAX($B$2:B113))</f>
        <v>-4.9391195753980641E-2</v>
      </c>
      <c r="E113" s="96">
        <f t="shared" si="12"/>
        <v>16548.299196460677</v>
      </c>
      <c r="F113" s="100">
        <v>-1.6199999999999999E-2</v>
      </c>
      <c r="G113" s="94">
        <f>(E113-(MAX($E$2:E113)))/(MAX($E$2:E113))</f>
        <v>-1.6200000000000058E-2</v>
      </c>
      <c r="H113" s="97">
        <f t="shared" si="13"/>
        <v>21308.470906190552</v>
      </c>
      <c r="I113" s="100">
        <v>-3.1899999999999998E-2</v>
      </c>
      <c r="J113" s="94">
        <f>(H113-(MAX($E$2:H113)))/(MAX($E$2:H113))</f>
        <v>-3.1899999999999984E-2</v>
      </c>
      <c r="S113" s="75"/>
      <c r="T113" s="75"/>
    </row>
    <row r="114" spans="1:20" x14ac:dyDescent="0.3">
      <c r="A114" s="30">
        <f t="shared" si="14"/>
        <v>44135</v>
      </c>
      <c r="B114" s="126">
        <v>14977</v>
      </c>
      <c r="C114" s="94">
        <f t="shared" si="11"/>
        <v>-1.6224382553862271E-2</v>
      </c>
      <c r="D114" s="95">
        <f>(B114-(MAX($B$2:B114)))/(MAX($B$2:B114))</f>
        <v>-6.481423665313768E-2</v>
      </c>
      <c r="E114" s="96">
        <f t="shared" si="12"/>
        <v>16359.648585621026</v>
      </c>
      <c r="F114" s="100">
        <v>-1.14E-2</v>
      </c>
      <c r="G114" s="94">
        <f>(E114-(MAX($E$2:E114)))/(MAX($E$2:E114))</f>
        <v>-2.7415320000000049E-2</v>
      </c>
      <c r="H114" s="97">
        <f t="shared" si="13"/>
        <v>20795.483643772055</v>
      </c>
      <c r="I114" s="100">
        <v>-2.4074334788117713E-2</v>
      </c>
      <c r="J114" s="94">
        <f>(H114-(MAX($E$2:H114)))/(MAX($E$2:H114))</f>
        <v>-5.5206363508376738E-2</v>
      </c>
      <c r="S114" s="75"/>
      <c r="T114" s="75"/>
    </row>
    <row r="115" spans="1:20" x14ac:dyDescent="0.3">
      <c r="A115" s="30">
        <f t="shared" si="14"/>
        <v>44165</v>
      </c>
      <c r="B115" s="126">
        <v>16102</v>
      </c>
      <c r="C115" s="94">
        <f t="shared" si="11"/>
        <v>7.5115176604126255E-2</v>
      </c>
      <c r="D115" s="95">
        <f>(B115-(MAX($B$2:B115)))/(MAX($B$2:B115))</f>
        <v>0</v>
      </c>
      <c r="E115" s="96">
        <f t="shared" si="12"/>
        <v>17387.034516798027</v>
      </c>
      <c r="F115" s="100">
        <v>6.2799999999999995E-2</v>
      </c>
      <c r="G115" s="94">
        <f>(E115-(MAX($E$2:E115)))/(MAX($E$2:E115))</f>
        <v>0</v>
      </c>
      <c r="H115" s="97">
        <f t="shared" si="13"/>
        <v>23366.419806886977</v>
      </c>
      <c r="I115" s="100">
        <v>0.12362954414310434</v>
      </c>
      <c r="J115" s="94">
        <f>(H115-(MAX($E$2:H115)))/(MAX($E$2:H115))</f>
        <v>0</v>
      </c>
      <c r="S115" s="75"/>
      <c r="T115" s="75"/>
    </row>
    <row r="116" spans="1:20" x14ac:dyDescent="0.3">
      <c r="A116" s="30">
        <f t="shared" si="14"/>
        <v>44196</v>
      </c>
      <c r="B116" s="134">
        <v>16593</v>
      </c>
      <c r="C116" s="94">
        <f t="shared" si="11"/>
        <v>3.0493106446404239E-2</v>
      </c>
      <c r="D116" s="95">
        <f>(B116-(MAX($B$2:B116)))/(MAX($B$2:B116))</f>
        <v>0</v>
      </c>
      <c r="E116" s="96">
        <f t="shared" si="12"/>
        <v>17804.323345201181</v>
      </c>
      <c r="F116" s="100">
        <v>2.4E-2</v>
      </c>
      <c r="G116" s="94">
        <f>(E116-(MAX($E$2:E116)))/(MAX($E$2:E116))</f>
        <v>0</v>
      </c>
      <c r="H116" s="97">
        <f t="shared" si="13"/>
        <v>24459.392668141201</v>
      </c>
      <c r="I116" s="100">
        <v>4.6775366970513987E-2</v>
      </c>
      <c r="J116" s="94">
        <f>(H116-(MAX($E$2:H116)))/(MAX($E$2:H116))</f>
        <v>0</v>
      </c>
      <c r="S116" s="75"/>
      <c r="T116" s="75"/>
    </row>
    <row r="117" spans="1:20" x14ac:dyDescent="0.3">
      <c r="C117" s="94"/>
      <c r="D117" s="95"/>
      <c r="F117" s="94"/>
      <c r="G117" s="94"/>
      <c r="I117" s="94"/>
      <c r="J117" s="95"/>
      <c r="S117" s="75"/>
      <c r="T117" s="75"/>
    </row>
    <row r="118" spans="1:20" x14ac:dyDescent="0.3">
      <c r="C118" s="94"/>
      <c r="D118" s="95"/>
      <c r="F118" s="94"/>
      <c r="G118" s="94"/>
      <c r="I118" s="94"/>
      <c r="J118" s="95"/>
      <c r="N118" s="75"/>
      <c r="O118" s="76"/>
      <c r="P118" s="76"/>
      <c r="Q118" s="76"/>
      <c r="R118" s="76"/>
      <c r="S118" s="75"/>
      <c r="T118" s="75"/>
    </row>
    <row r="119" spans="1:20" x14ac:dyDescent="0.3">
      <c r="C119" s="94"/>
      <c r="D119" s="95"/>
      <c r="F119" s="94"/>
      <c r="G119" s="94"/>
      <c r="I119" s="94"/>
      <c r="J119" s="95"/>
      <c r="N119" s="75"/>
      <c r="O119" s="76"/>
      <c r="P119" s="76"/>
      <c r="Q119" s="76"/>
      <c r="R119" s="76"/>
      <c r="S119" s="75"/>
      <c r="T119" s="75"/>
    </row>
    <row r="120" spans="1:20" x14ac:dyDescent="0.3">
      <c r="N120" s="75"/>
      <c r="O120" s="76"/>
      <c r="P120" s="76"/>
      <c r="Q120" s="76"/>
      <c r="R120" s="76"/>
      <c r="S120" s="75"/>
      <c r="T120" s="75"/>
    </row>
    <row r="121" spans="1:20" x14ac:dyDescent="0.3">
      <c r="N121" s="75"/>
      <c r="O121" s="76"/>
      <c r="P121" s="76"/>
      <c r="Q121" s="76"/>
      <c r="R121" s="76"/>
      <c r="S121" s="75"/>
      <c r="T121" s="75"/>
    </row>
    <row r="122" spans="1:20" x14ac:dyDescent="0.3">
      <c r="N122" s="75"/>
      <c r="O122" s="76"/>
      <c r="P122" s="76"/>
      <c r="Q122" s="76"/>
      <c r="R122" s="76"/>
      <c r="S122" s="75"/>
      <c r="T122" s="75"/>
    </row>
    <row r="123" spans="1:20" x14ac:dyDescent="0.3">
      <c r="N123" s="75"/>
      <c r="O123" s="76"/>
      <c r="P123" s="76"/>
      <c r="Q123" s="76"/>
      <c r="R123" s="76"/>
      <c r="S123" s="75"/>
      <c r="T123" s="75"/>
    </row>
    <row r="124" spans="1:20" x14ac:dyDescent="0.3">
      <c r="N124" s="75"/>
      <c r="O124" s="76"/>
      <c r="P124" s="76"/>
      <c r="Q124" s="76"/>
      <c r="R124" s="76"/>
      <c r="S124" s="75"/>
      <c r="T124" s="75"/>
    </row>
    <row r="125" spans="1:20" x14ac:dyDescent="0.3">
      <c r="N125" s="75"/>
      <c r="O125" s="76"/>
      <c r="P125" s="76"/>
      <c r="Q125" s="76"/>
      <c r="R125" s="76"/>
      <c r="S125" s="75"/>
      <c r="T125" s="75"/>
    </row>
    <row r="126" spans="1:20" x14ac:dyDescent="0.3">
      <c r="N126" s="75"/>
      <c r="O126" s="76"/>
      <c r="P126" s="76"/>
      <c r="Q126" s="76"/>
      <c r="R126" s="76"/>
      <c r="S126" s="75"/>
      <c r="T126" s="75"/>
    </row>
    <row r="127" spans="1:20" x14ac:dyDescent="0.3">
      <c r="N127" s="75"/>
      <c r="O127" s="76"/>
      <c r="P127" s="76"/>
      <c r="Q127" s="76"/>
      <c r="R127" s="76"/>
      <c r="S127" s="75"/>
      <c r="T127" s="75"/>
    </row>
    <row r="128" spans="1:20" x14ac:dyDescent="0.3">
      <c r="N128" s="75"/>
      <c r="O128" s="76"/>
      <c r="P128" s="76"/>
      <c r="Q128" s="76"/>
      <c r="R128" s="76"/>
      <c r="S128" s="75"/>
      <c r="T128" s="75"/>
    </row>
    <row r="129" spans="14:20" x14ac:dyDescent="0.3">
      <c r="N129" s="75"/>
      <c r="O129" s="76"/>
      <c r="P129" s="76"/>
      <c r="Q129" s="76"/>
      <c r="R129" s="76"/>
      <c r="S129" s="75"/>
      <c r="T129" s="75"/>
    </row>
    <row r="130" spans="14:20" x14ac:dyDescent="0.3">
      <c r="N130" s="75"/>
      <c r="O130" s="76"/>
      <c r="P130" s="76"/>
      <c r="Q130" s="76"/>
      <c r="R130" s="76"/>
      <c r="S130" s="75"/>
      <c r="T130" s="75"/>
    </row>
    <row r="131" spans="14:20" x14ac:dyDescent="0.3">
      <c r="N131" s="75"/>
      <c r="O131" s="76"/>
      <c r="P131" s="76"/>
      <c r="Q131" s="76"/>
      <c r="R131" s="76"/>
      <c r="S131" s="75"/>
      <c r="T131" s="75"/>
    </row>
    <row r="132" spans="14:20" x14ac:dyDescent="0.3">
      <c r="N132" s="75"/>
      <c r="O132" s="76"/>
      <c r="P132" s="76"/>
      <c r="Q132" s="76"/>
      <c r="R132" s="76"/>
      <c r="S132" s="75"/>
      <c r="T132" s="75"/>
    </row>
    <row r="133" spans="14:20" x14ac:dyDescent="0.3">
      <c r="N133" s="75"/>
      <c r="O133" s="76"/>
      <c r="P133" s="76"/>
      <c r="Q133" s="76"/>
      <c r="R133" s="76"/>
      <c r="S133" s="75"/>
      <c r="T133" s="75"/>
    </row>
    <row r="134" spans="14:20" x14ac:dyDescent="0.3">
      <c r="N134" s="75"/>
      <c r="O134" s="76"/>
      <c r="P134" s="76"/>
      <c r="Q134" s="76"/>
      <c r="R134" s="76"/>
      <c r="S134" s="75"/>
      <c r="T134" s="75"/>
    </row>
    <row r="135" spans="14:20" x14ac:dyDescent="0.3">
      <c r="N135" s="75"/>
      <c r="O135" s="76"/>
      <c r="P135" s="76"/>
      <c r="Q135" s="76"/>
      <c r="R135" s="76"/>
      <c r="S135" s="75"/>
      <c r="T135" s="75"/>
    </row>
    <row r="136" spans="14:20" x14ac:dyDescent="0.3">
      <c r="N136" s="75"/>
      <c r="O136" s="76"/>
      <c r="P136" s="76"/>
      <c r="Q136" s="76"/>
      <c r="R136" s="76"/>
      <c r="S136" s="75"/>
      <c r="T136" s="75"/>
    </row>
    <row r="137" spans="14:20" x14ac:dyDescent="0.3">
      <c r="N137" s="75"/>
      <c r="O137" s="76"/>
      <c r="P137" s="76"/>
      <c r="Q137" s="76"/>
      <c r="R137" s="76"/>
      <c r="S137" s="75"/>
      <c r="T137" s="75"/>
    </row>
    <row r="138" spans="14:20" x14ac:dyDescent="0.3">
      <c r="N138" s="75"/>
      <c r="O138" s="76"/>
      <c r="P138" s="76"/>
      <c r="Q138" s="76"/>
      <c r="R138" s="76"/>
      <c r="S138" s="75"/>
      <c r="T138" s="75"/>
    </row>
    <row r="139" spans="14:20" x14ac:dyDescent="0.3">
      <c r="N139" s="75"/>
      <c r="O139" s="76"/>
      <c r="P139" s="76"/>
      <c r="Q139" s="76"/>
      <c r="R139" s="76"/>
      <c r="S139" s="75"/>
      <c r="T139" s="75"/>
    </row>
    <row r="140" spans="14:20" x14ac:dyDescent="0.3">
      <c r="N140" s="75"/>
      <c r="O140" s="76"/>
      <c r="P140" s="76"/>
      <c r="Q140" s="76"/>
      <c r="R140" s="76"/>
      <c r="S140" s="75"/>
      <c r="T140" s="75"/>
    </row>
    <row r="141" spans="14:20" x14ac:dyDescent="0.3">
      <c r="N141" s="75"/>
      <c r="O141" s="76"/>
      <c r="P141" s="76"/>
      <c r="Q141" s="76"/>
      <c r="R141" s="76"/>
      <c r="S141" s="75"/>
      <c r="T141" s="75"/>
    </row>
    <row r="142" spans="14:20" x14ac:dyDescent="0.3">
      <c r="N142" s="75"/>
      <c r="O142" s="76"/>
      <c r="P142" s="76"/>
      <c r="Q142" s="76"/>
      <c r="R142" s="76"/>
      <c r="S142" s="75"/>
      <c r="T142" s="75"/>
    </row>
    <row r="143" spans="14:20" x14ac:dyDescent="0.3">
      <c r="N143" s="75"/>
      <c r="O143" s="76"/>
      <c r="P143" s="76"/>
      <c r="Q143" s="76"/>
      <c r="R143" s="76"/>
      <c r="S143" s="75"/>
      <c r="T143" s="75"/>
    </row>
    <row r="144" spans="14:20" x14ac:dyDescent="0.3">
      <c r="N144" s="75"/>
      <c r="O144" s="76"/>
      <c r="P144" s="76"/>
      <c r="Q144" s="76"/>
      <c r="R144" s="76"/>
      <c r="S144" s="75"/>
      <c r="T144" s="75"/>
    </row>
    <row r="145" spans="14:20" x14ac:dyDescent="0.3">
      <c r="N145" s="75"/>
      <c r="O145" s="76"/>
      <c r="P145" s="76"/>
      <c r="Q145" s="76"/>
      <c r="R145" s="76"/>
      <c r="S145" s="75"/>
      <c r="T145" s="75"/>
    </row>
    <row r="146" spans="14:20" x14ac:dyDescent="0.3">
      <c r="N146" s="75"/>
      <c r="O146" s="76"/>
      <c r="P146" s="76"/>
      <c r="Q146" s="76"/>
      <c r="R146" s="76"/>
      <c r="S146" s="75"/>
      <c r="T146" s="75"/>
    </row>
    <row r="147" spans="14:20" x14ac:dyDescent="0.3">
      <c r="N147" s="75"/>
      <c r="O147" s="76"/>
      <c r="P147" s="76"/>
      <c r="Q147" s="76"/>
      <c r="R147" s="76"/>
      <c r="S147" s="75"/>
      <c r="T147" s="75"/>
    </row>
    <row r="148" spans="14:20" x14ac:dyDescent="0.3">
      <c r="N148" s="75"/>
      <c r="O148" s="76"/>
      <c r="P148" s="76"/>
      <c r="Q148" s="76"/>
      <c r="R148" s="76"/>
      <c r="S148" s="75"/>
      <c r="T148" s="75"/>
    </row>
    <row r="149" spans="14:20" x14ac:dyDescent="0.3">
      <c r="N149" s="75"/>
      <c r="O149" s="76"/>
      <c r="P149" s="76"/>
      <c r="Q149" s="76"/>
      <c r="R149" s="76"/>
      <c r="S149" s="75"/>
      <c r="T149" s="75"/>
    </row>
    <row r="150" spans="14:20" x14ac:dyDescent="0.3">
      <c r="N150" s="75"/>
      <c r="O150" s="76"/>
      <c r="P150" s="76"/>
      <c r="Q150" s="76"/>
      <c r="R150" s="76"/>
      <c r="S150" s="75"/>
      <c r="T150" s="75"/>
    </row>
    <row r="151" spans="14:20" x14ac:dyDescent="0.3">
      <c r="N151" s="75"/>
      <c r="O151" s="76"/>
      <c r="P151" s="76"/>
      <c r="Q151" s="76"/>
      <c r="R151" s="76"/>
      <c r="S151" s="75"/>
      <c r="T151" s="75"/>
    </row>
    <row r="152" spans="14:20" x14ac:dyDescent="0.3">
      <c r="N152" s="75"/>
      <c r="O152" s="76"/>
      <c r="P152" s="76"/>
      <c r="Q152" s="76"/>
      <c r="R152" s="76"/>
      <c r="S152" s="75"/>
      <c r="T152" s="75"/>
    </row>
    <row r="153" spans="14:20" x14ac:dyDescent="0.3">
      <c r="N153" s="75"/>
      <c r="O153" s="76"/>
      <c r="P153" s="76"/>
      <c r="Q153" s="76"/>
      <c r="R153" s="76"/>
      <c r="S153" s="75"/>
      <c r="T153" s="75"/>
    </row>
    <row r="154" spans="14:20" x14ac:dyDescent="0.3">
      <c r="N154" s="75"/>
      <c r="O154" s="76"/>
      <c r="P154" s="76"/>
      <c r="Q154" s="76"/>
      <c r="R154" s="76"/>
      <c r="S154" s="75"/>
      <c r="T154" s="75"/>
    </row>
    <row r="155" spans="14:20" x14ac:dyDescent="0.3">
      <c r="N155" s="75"/>
      <c r="O155" s="76"/>
      <c r="P155" s="76"/>
      <c r="Q155" s="76"/>
      <c r="R155" s="76"/>
      <c r="S155" s="75"/>
      <c r="T155" s="75"/>
    </row>
    <row r="156" spans="14:20" x14ac:dyDescent="0.3">
      <c r="N156" s="75"/>
      <c r="O156" s="76"/>
      <c r="P156" s="76"/>
      <c r="Q156" s="76"/>
      <c r="R156" s="76"/>
      <c r="S156" s="75"/>
      <c r="T156" s="75"/>
    </row>
    <row r="157" spans="14:20" x14ac:dyDescent="0.3">
      <c r="N157" s="75"/>
      <c r="O157" s="76"/>
      <c r="P157" s="76"/>
      <c r="Q157" s="76"/>
      <c r="R157" s="76"/>
      <c r="S157" s="75"/>
      <c r="T157" s="75"/>
    </row>
    <row r="158" spans="14:20" x14ac:dyDescent="0.3">
      <c r="N158" s="75"/>
      <c r="O158" s="76"/>
      <c r="P158" s="76"/>
      <c r="Q158" s="76"/>
      <c r="R158" s="76"/>
      <c r="S158" s="75"/>
      <c r="T158" s="75"/>
    </row>
    <row r="159" spans="14:20" x14ac:dyDescent="0.3">
      <c r="N159" s="75"/>
      <c r="O159" s="76"/>
      <c r="P159" s="76"/>
      <c r="Q159" s="76"/>
      <c r="R159" s="76"/>
      <c r="S159" s="75"/>
      <c r="T159" s="75"/>
    </row>
    <row r="160" spans="14:20" x14ac:dyDescent="0.3">
      <c r="N160" s="75"/>
      <c r="O160" s="76"/>
      <c r="P160" s="76"/>
      <c r="Q160" s="76"/>
      <c r="R160" s="76"/>
      <c r="S160" s="75"/>
      <c r="T160" s="75"/>
    </row>
    <row r="161" spans="14:20" x14ac:dyDescent="0.3">
      <c r="N161" s="75"/>
      <c r="O161" s="76"/>
      <c r="P161" s="76"/>
      <c r="Q161" s="76"/>
      <c r="R161" s="76"/>
      <c r="S161" s="75"/>
      <c r="T161" s="75"/>
    </row>
    <row r="162" spans="14:20" x14ac:dyDescent="0.3">
      <c r="N162" s="75"/>
      <c r="O162" s="76"/>
      <c r="P162" s="76"/>
      <c r="Q162" s="76"/>
      <c r="R162" s="76"/>
      <c r="S162" s="75"/>
      <c r="T162" s="75"/>
    </row>
    <row r="163" spans="14:20" x14ac:dyDescent="0.3">
      <c r="N163" s="75"/>
      <c r="O163" s="76"/>
      <c r="P163" s="76"/>
      <c r="Q163" s="76"/>
      <c r="R163" s="76"/>
      <c r="S163" s="75"/>
      <c r="T163" s="75"/>
    </row>
    <row r="164" spans="14:20" x14ac:dyDescent="0.3">
      <c r="N164" s="75"/>
      <c r="O164" s="76"/>
      <c r="P164" s="76"/>
      <c r="Q164" s="76"/>
      <c r="R164" s="76"/>
      <c r="S164" s="75"/>
      <c r="T164" s="75"/>
    </row>
    <row r="165" spans="14:20" x14ac:dyDescent="0.3">
      <c r="N165" s="75"/>
      <c r="O165" s="76"/>
      <c r="P165" s="76"/>
      <c r="Q165" s="76"/>
      <c r="R165" s="76"/>
      <c r="S165" s="75"/>
      <c r="T165" s="75"/>
    </row>
    <row r="166" spans="14:20" x14ac:dyDescent="0.3">
      <c r="N166" s="75"/>
      <c r="O166" s="76"/>
      <c r="P166" s="76"/>
      <c r="Q166" s="76"/>
      <c r="R166" s="76"/>
      <c r="S166" s="75"/>
      <c r="T166" s="75"/>
    </row>
    <row r="167" spans="14:20" x14ac:dyDescent="0.3">
      <c r="N167" s="75"/>
      <c r="O167" s="76"/>
      <c r="P167" s="76"/>
      <c r="Q167" s="76"/>
      <c r="R167" s="76"/>
      <c r="S167" s="75"/>
      <c r="T167" s="75"/>
    </row>
    <row r="168" spans="14:20" x14ac:dyDescent="0.3">
      <c r="N168" s="75"/>
      <c r="O168" s="76"/>
      <c r="P168" s="76"/>
      <c r="Q168" s="76"/>
      <c r="R168" s="76"/>
      <c r="S168" s="75"/>
      <c r="T168" s="75"/>
    </row>
    <row r="169" spans="14:20" x14ac:dyDescent="0.3">
      <c r="N169" s="75"/>
      <c r="O169" s="76"/>
      <c r="P169" s="76"/>
      <c r="Q169" s="76"/>
      <c r="R169" s="76"/>
      <c r="S169" s="75"/>
      <c r="T169" s="75"/>
    </row>
    <row r="170" spans="14:20" x14ac:dyDescent="0.3">
      <c r="N170" s="75"/>
      <c r="O170" s="76"/>
      <c r="P170" s="76"/>
      <c r="Q170" s="76"/>
      <c r="R170" s="76"/>
      <c r="S170" s="75"/>
      <c r="T170" s="75"/>
    </row>
    <row r="171" spans="14:20" x14ac:dyDescent="0.3">
      <c r="N171" s="75"/>
      <c r="O171" s="76"/>
      <c r="P171" s="76"/>
      <c r="Q171" s="76"/>
      <c r="R171" s="76"/>
      <c r="S171" s="75"/>
      <c r="T171" s="75"/>
    </row>
    <row r="172" spans="14:20" x14ac:dyDescent="0.3">
      <c r="N172" s="75"/>
      <c r="O172" s="76"/>
      <c r="P172" s="76"/>
      <c r="Q172" s="76"/>
      <c r="R172" s="76"/>
      <c r="S172" s="75"/>
      <c r="T172" s="75"/>
    </row>
    <row r="173" spans="14:20" x14ac:dyDescent="0.3">
      <c r="N173" s="75"/>
      <c r="O173" s="76"/>
      <c r="P173" s="76"/>
      <c r="Q173" s="76"/>
      <c r="R173" s="76"/>
      <c r="S173" s="75"/>
    </row>
    <row r="174" spans="14:20" x14ac:dyDescent="0.3">
      <c r="N174" s="75"/>
      <c r="O174" s="76"/>
      <c r="P174" s="76"/>
      <c r="Q174" s="76"/>
      <c r="R174" s="76"/>
      <c r="S174" s="75"/>
    </row>
    <row r="175" spans="14:20" x14ac:dyDescent="0.3">
      <c r="N175" s="75"/>
      <c r="O175" s="76"/>
      <c r="P175" s="76"/>
      <c r="Q175" s="76"/>
      <c r="R175" s="76"/>
      <c r="S175" s="75"/>
    </row>
    <row r="176" spans="14:20" x14ac:dyDescent="0.3">
      <c r="N176" s="75"/>
      <c r="O176" s="76"/>
      <c r="P176" s="76"/>
      <c r="Q176" s="76"/>
      <c r="R176" s="76"/>
      <c r="S176" s="75"/>
    </row>
    <row r="177" spans="14:19" x14ac:dyDescent="0.3">
      <c r="N177" s="75"/>
      <c r="O177" s="76"/>
      <c r="P177" s="76"/>
      <c r="Q177" s="76"/>
      <c r="R177" s="76"/>
      <c r="S177" s="75"/>
    </row>
    <row r="178" spans="14:19" x14ac:dyDescent="0.3">
      <c r="N178" s="75"/>
      <c r="O178" s="76"/>
      <c r="P178" s="76"/>
      <c r="Q178" s="76"/>
      <c r="R178" s="76"/>
      <c r="S178" s="75"/>
    </row>
    <row r="179" spans="14:19" x14ac:dyDescent="0.3">
      <c r="N179" s="75"/>
      <c r="O179" s="76"/>
      <c r="P179" s="76"/>
      <c r="Q179" s="76"/>
      <c r="R179" s="76"/>
    </row>
    <row r="180" spans="14:19" x14ac:dyDescent="0.3">
      <c r="N180" s="75"/>
      <c r="O180" s="76"/>
      <c r="P180" s="76"/>
      <c r="Q180" s="76"/>
      <c r="R180" s="76"/>
    </row>
    <row r="181" spans="14:19" x14ac:dyDescent="0.3">
      <c r="N181" s="75"/>
      <c r="O181" s="76"/>
      <c r="P181" s="76"/>
      <c r="Q181" s="76"/>
      <c r="R181" s="76"/>
    </row>
  </sheetData>
  <mergeCells count="6">
    <mergeCell ref="U32:V32"/>
    <mergeCell ref="U31:V31"/>
    <mergeCell ref="U1:W1"/>
    <mergeCell ref="U2:W2"/>
    <mergeCell ref="U3:W3"/>
    <mergeCell ref="U4:W4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4301-1833-4FC0-B60C-4414345BC11A}">
  <sheetPr>
    <tabColor rgb="FFC00000"/>
  </sheetPr>
  <dimension ref="A1:C5"/>
  <sheetViews>
    <sheetView workbookViewId="0"/>
  </sheetViews>
  <sheetFormatPr defaultRowHeight="14.4" x14ac:dyDescent="0.3"/>
  <cols>
    <col min="1" max="1" width="16.5546875" bestFit="1" customWidth="1"/>
    <col min="2" max="2" width="9.109375" style="90"/>
  </cols>
  <sheetData>
    <row r="1" spans="1:3" x14ac:dyDescent="0.3">
      <c r="A1" t="s">
        <v>60</v>
      </c>
      <c r="B1" s="90" t="s">
        <v>62</v>
      </c>
      <c r="C1" t="s">
        <v>59</v>
      </c>
    </row>
    <row r="2" spans="1:3" x14ac:dyDescent="0.3">
      <c r="A2" t="str">
        <f>'TRX Portfolio'!D3</f>
        <v>Cash</v>
      </c>
      <c r="B2" s="90">
        <f>'TRX Portfolio'!E3*100</f>
        <v>3.6999999999999997</v>
      </c>
      <c r="C2">
        <v>1</v>
      </c>
    </row>
    <row r="3" spans="1:3" x14ac:dyDescent="0.3">
      <c r="A3" t="str">
        <f>'TRX Portfolio'!D4</f>
        <v>Fixed Income</v>
      </c>
      <c r="B3" s="90">
        <f>'TRX Portfolio'!E4*100</f>
        <v>27.900000000000002</v>
      </c>
      <c r="C3">
        <v>2</v>
      </c>
    </row>
    <row r="4" spans="1:3" x14ac:dyDescent="0.3">
      <c r="A4" t="str">
        <f>'TRX Portfolio'!D5</f>
        <v>U.S. Equities</v>
      </c>
      <c r="B4" s="90">
        <f>'TRX Portfolio'!E5*100</f>
        <v>32.6952</v>
      </c>
      <c r="C4">
        <v>3</v>
      </c>
    </row>
    <row r="5" spans="1:3" x14ac:dyDescent="0.3">
      <c r="A5" t="str">
        <f>'TRX Portfolio'!D6</f>
        <v>Non-U.S. Equities</v>
      </c>
      <c r="B5" s="90">
        <f>'TRX Portfolio'!E6*100</f>
        <v>35.704800000000006</v>
      </c>
      <c r="C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09EB-08DF-499A-9E92-177E9AC85D68}">
  <sheetPr>
    <tabColor rgb="FFC00000"/>
  </sheetPr>
  <dimension ref="A1:C5"/>
  <sheetViews>
    <sheetView workbookViewId="0"/>
  </sheetViews>
  <sheetFormatPr defaultRowHeight="14.4" x14ac:dyDescent="0.3"/>
  <cols>
    <col min="1" max="1" width="17.33203125" bestFit="1" customWidth="1"/>
    <col min="2" max="2" width="9.109375" style="90"/>
  </cols>
  <sheetData>
    <row r="1" spans="1:3" x14ac:dyDescent="0.3">
      <c r="A1" t="s">
        <v>60</v>
      </c>
      <c r="B1" s="90" t="s">
        <v>62</v>
      </c>
      <c r="C1" t="s">
        <v>59</v>
      </c>
    </row>
    <row r="2" spans="1:3" x14ac:dyDescent="0.3">
      <c r="A2" t="str">
        <f>'TRX Portfolio'!A3</f>
        <v>Less than $500MM</v>
      </c>
      <c r="B2" s="90">
        <f>'TRX Portfolio'!B3*100</f>
        <v>0</v>
      </c>
      <c r="C2">
        <v>1</v>
      </c>
    </row>
    <row r="3" spans="1:3" x14ac:dyDescent="0.3">
      <c r="A3" t="str">
        <f>'TRX Portfolio'!A4</f>
        <v>$500MM - $2BN</v>
      </c>
      <c r="B3" s="90">
        <f>'TRX Portfolio'!B4*100</f>
        <v>5.3</v>
      </c>
      <c r="C3">
        <v>2</v>
      </c>
    </row>
    <row r="4" spans="1:3" x14ac:dyDescent="0.3">
      <c r="A4" t="str">
        <f>'TRX Portfolio'!A5</f>
        <v>$2BN - $7BN</v>
      </c>
      <c r="B4" s="90">
        <f>'TRX Portfolio'!B5*100</f>
        <v>13.700000000000001</v>
      </c>
      <c r="C4">
        <v>3</v>
      </c>
    </row>
    <row r="5" spans="1:3" x14ac:dyDescent="0.3">
      <c r="A5" t="str">
        <f>'TRX Portfolio'!A6</f>
        <v>Greater than $7BN</v>
      </c>
      <c r="B5" s="90">
        <f>'TRX Portfolio'!B6*100</f>
        <v>81</v>
      </c>
      <c r="C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31"/>
  <sheetViews>
    <sheetView zoomScale="130" zoomScaleNormal="130" workbookViewId="0">
      <selection sqref="A1:E1"/>
    </sheetView>
  </sheetViews>
  <sheetFormatPr defaultRowHeight="14.4" x14ac:dyDescent="0.3"/>
  <cols>
    <col min="1" max="1" width="27.6640625" bestFit="1" customWidth="1"/>
    <col min="2" max="3" width="10.44140625" style="1" customWidth="1"/>
    <col min="4" max="4" width="32.5546875" bestFit="1" customWidth="1"/>
    <col min="5" max="5" width="8.88671875" style="2"/>
    <col min="6" max="6" width="42.33203125" bestFit="1" customWidth="1"/>
    <col min="7" max="7" width="60.88671875" bestFit="1" customWidth="1"/>
  </cols>
  <sheetData>
    <row r="1" spans="1:7" x14ac:dyDescent="0.3">
      <c r="A1" s="162" t="s">
        <v>43</v>
      </c>
      <c r="B1" s="163"/>
      <c r="C1" s="163"/>
      <c r="D1" s="163"/>
      <c r="E1" s="164"/>
      <c r="F1" s="5"/>
    </row>
    <row r="2" spans="1:7" x14ac:dyDescent="0.3">
      <c r="A2" s="160" t="s">
        <v>26</v>
      </c>
      <c r="B2" s="161"/>
      <c r="D2" s="6" t="s">
        <v>46</v>
      </c>
      <c r="E2" s="7"/>
    </row>
    <row r="3" spans="1:7" x14ac:dyDescent="0.3">
      <c r="A3" s="8" t="s">
        <v>22</v>
      </c>
      <c r="B3" s="84">
        <v>0</v>
      </c>
      <c r="D3" s="3" t="s">
        <v>29</v>
      </c>
      <c r="E3" s="9">
        <v>3.6999999999999998E-2</v>
      </c>
    </row>
    <row r="4" spans="1:7" x14ac:dyDescent="0.3">
      <c r="A4" s="8" t="s">
        <v>23</v>
      </c>
      <c r="B4" s="84">
        <v>5.2999999999999999E-2</v>
      </c>
      <c r="D4" s="3" t="s">
        <v>47</v>
      </c>
      <c r="E4" s="9">
        <v>0.27900000000000003</v>
      </c>
      <c r="F4" t="s">
        <v>73</v>
      </c>
      <c r="G4" t="s">
        <v>74</v>
      </c>
    </row>
    <row r="5" spans="1:7" x14ac:dyDescent="0.3">
      <c r="A5" s="8" t="s">
        <v>24</v>
      </c>
      <c r="B5" s="84">
        <v>0.13700000000000001</v>
      </c>
      <c r="D5" s="3" t="s">
        <v>48</v>
      </c>
      <c r="E5" s="135">
        <f>F5*G5</f>
        <v>0.32695200000000002</v>
      </c>
      <c r="F5" s="82">
        <v>0.47799999999999998</v>
      </c>
      <c r="G5" s="86">
        <v>0.68400000000000005</v>
      </c>
    </row>
    <row r="6" spans="1:7" x14ac:dyDescent="0.3">
      <c r="A6" s="8" t="s">
        <v>25</v>
      </c>
      <c r="B6" s="84">
        <v>0.81</v>
      </c>
      <c r="D6" s="3" t="s">
        <v>49</v>
      </c>
      <c r="E6" s="135">
        <f>(1-F5)*G5</f>
        <v>0.35704800000000003</v>
      </c>
      <c r="G6" s="68" t="s">
        <v>75</v>
      </c>
    </row>
    <row r="7" spans="1:7" x14ac:dyDescent="0.3">
      <c r="A7" s="11"/>
      <c r="E7" s="10"/>
    </row>
    <row r="8" spans="1:7" x14ac:dyDescent="0.3">
      <c r="A8" s="12" t="s">
        <v>27</v>
      </c>
      <c r="B8" s="13"/>
      <c r="D8" s="6" t="s">
        <v>31</v>
      </c>
      <c r="E8" s="7"/>
    </row>
    <row r="9" spans="1:7" x14ac:dyDescent="0.3">
      <c r="A9" s="8" t="s">
        <v>18</v>
      </c>
      <c r="B9" s="124">
        <v>53</v>
      </c>
      <c r="D9" s="17" t="s">
        <v>83</v>
      </c>
      <c r="E9" s="136">
        <v>0.191</v>
      </c>
      <c r="F9" s="68"/>
    </row>
    <row r="10" spans="1:7" x14ac:dyDescent="0.3">
      <c r="A10" s="8" t="s">
        <v>19</v>
      </c>
      <c r="B10" s="125">
        <v>21.02</v>
      </c>
      <c r="D10" s="17" t="s">
        <v>84</v>
      </c>
      <c r="E10" s="136">
        <v>0.16899999999999998</v>
      </c>
    </row>
    <row r="11" spans="1:7" x14ac:dyDescent="0.3">
      <c r="A11" s="8" t="s">
        <v>32</v>
      </c>
      <c r="B11" s="83" t="s">
        <v>85</v>
      </c>
      <c r="D11" s="17" t="s">
        <v>86</v>
      </c>
      <c r="E11" s="136">
        <v>0.15</v>
      </c>
    </row>
    <row r="12" spans="1:7" x14ac:dyDescent="0.3">
      <c r="A12" s="8" t="s">
        <v>20</v>
      </c>
      <c r="B12" s="137">
        <v>0.3448</v>
      </c>
      <c r="D12" s="17" t="s">
        <v>87</v>
      </c>
      <c r="E12" s="136">
        <v>0.128</v>
      </c>
    </row>
    <row r="13" spans="1:7" x14ac:dyDescent="0.3">
      <c r="A13" s="8" t="s">
        <v>21</v>
      </c>
      <c r="B13" s="138">
        <v>1.66</v>
      </c>
      <c r="D13" s="17" t="s">
        <v>88</v>
      </c>
      <c r="E13" s="136">
        <v>0.106</v>
      </c>
    </row>
    <row r="14" spans="1:7" x14ac:dyDescent="0.3">
      <c r="A14" s="11"/>
      <c r="D14" s="17" t="s">
        <v>89</v>
      </c>
      <c r="E14" s="136">
        <v>6.9000000000000006E-2</v>
      </c>
    </row>
    <row r="15" spans="1:7" x14ac:dyDescent="0.3">
      <c r="A15" s="11"/>
      <c r="D15" s="17" t="s">
        <v>90</v>
      </c>
      <c r="E15" s="136">
        <v>5.5999999999999994E-2</v>
      </c>
    </row>
    <row r="16" spans="1:7" x14ac:dyDescent="0.3">
      <c r="A16" s="11"/>
      <c r="D16" s="17" t="s">
        <v>91</v>
      </c>
      <c r="E16" s="136">
        <v>3.7999999999999999E-2</v>
      </c>
    </row>
    <row r="17" spans="1:6" x14ac:dyDescent="0.3">
      <c r="A17" s="11"/>
      <c r="D17" s="17" t="s">
        <v>92</v>
      </c>
      <c r="E17" s="136">
        <v>3.7000000000000005E-2</v>
      </c>
    </row>
    <row r="18" spans="1:6" x14ac:dyDescent="0.3">
      <c r="A18" s="11"/>
      <c r="D18" s="19" t="s">
        <v>93</v>
      </c>
      <c r="E18" s="136">
        <v>3.6000000000000004E-2</v>
      </c>
    </row>
    <row r="19" spans="1:6" x14ac:dyDescent="0.3">
      <c r="A19" s="11"/>
      <c r="D19" s="18" t="s">
        <v>94</v>
      </c>
      <c r="E19" s="136">
        <v>0.02</v>
      </c>
    </row>
    <row r="20" spans="1:6" x14ac:dyDescent="0.3">
      <c r="A20" s="11"/>
      <c r="D20" s="127"/>
      <c r="E20" s="128"/>
    </row>
    <row r="21" spans="1:6" x14ac:dyDescent="0.3">
      <c r="A21" s="11"/>
      <c r="D21" s="6" t="s">
        <v>28</v>
      </c>
      <c r="E21" s="7"/>
      <c r="F21" s="4"/>
    </row>
    <row r="22" spans="1:6" x14ac:dyDescent="0.3">
      <c r="A22" s="11"/>
      <c r="D22" s="3" t="s">
        <v>44</v>
      </c>
      <c r="E22" s="85">
        <v>4.2099999999999999E-2</v>
      </c>
      <c r="F22" s="4"/>
    </row>
    <row r="23" spans="1:6" x14ac:dyDescent="0.3">
      <c r="A23" s="11"/>
      <c r="D23" s="3" t="s">
        <v>39</v>
      </c>
      <c r="E23" s="85">
        <v>4.0599999999999997E-2</v>
      </c>
      <c r="F23" s="4"/>
    </row>
    <row r="24" spans="1:6" x14ac:dyDescent="0.3">
      <c r="A24" s="11"/>
      <c r="D24" s="3" t="s">
        <v>55</v>
      </c>
      <c r="E24" s="85">
        <v>3.78E-2</v>
      </c>
      <c r="F24" s="4"/>
    </row>
    <row r="25" spans="1:6" x14ac:dyDescent="0.3">
      <c r="A25" s="11"/>
      <c r="D25" s="3" t="s">
        <v>52</v>
      </c>
      <c r="E25" s="85">
        <v>3.73E-2</v>
      </c>
      <c r="F25" s="4"/>
    </row>
    <row r="26" spans="1:6" x14ac:dyDescent="0.3">
      <c r="A26" s="11"/>
      <c r="D26" s="3" t="s">
        <v>29</v>
      </c>
      <c r="E26" s="85">
        <v>3.6799999999999999E-2</v>
      </c>
      <c r="F26" s="4"/>
    </row>
    <row r="27" spans="1:6" x14ac:dyDescent="0.3">
      <c r="A27" s="11"/>
      <c r="D27" s="3" t="s">
        <v>95</v>
      </c>
      <c r="E27" s="85">
        <v>3.6699999999999997E-2</v>
      </c>
      <c r="F27" s="4"/>
    </row>
    <row r="28" spans="1:6" x14ac:dyDescent="0.3">
      <c r="A28" s="11"/>
      <c r="D28" s="3" t="s">
        <v>30</v>
      </c>
      <c r="E28" s="85">
        <v>3.5799999999999998E-2</v>
      </c>
      <c r="F28" s="4"/>
    </row>
    <row r="29" spans="1:6" x14ac:dyDescent="0.3">
      <c r="A29" s="11"/>
      <c r="D29" s="3" t="s">
        <v>54</v>
      </c>
      <c r="E29" s="85">
        <v>3.4000000000000002E-2</v>
      </c>
      <c r="F29" s="4"/>
    </row>
    <row r="30" spans="1:6" x14ac:dyDescent="0.3">
      <c r="A30" s="11"/>
      <c r="D30" s="3" t="s">
        <v>50</v>
      </c>
      <c r="E30" s="85">
        <v>3.2300000000000002E-2</v>
      </c>
      <c r="F30" s="4"/>
    </row>
    <row r="31" spans="1:6" ht="15" thickBot="1" x14ac:dyDescent="0.35">
      <c r="A31" s="14"/>
      <c r="B31" s="15"/>
      <c r="C31" s="15"/>
      <c r="D31" s="16" t="s">
        <v>96</v>
      </c>
      <c r="E31" s="139">
        <v>3.0899999999999997E-2</v>
      </c>
    </row>
  </sheetData>
  <sortState xmlns:xlrd2="http://schemas.microsoft.com/office/spreadsheetml/2017/richdata2" ref="D9:E19">
    <sortCondition descending="1" ref="E9:E19"/>
  </sortState>
  <mergeCells count="2">
    <mergeCell ref="A2:B2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0F9D-EBE5-476E-98ED-75C97236F09A}">
  <sheetPr>
    <tabColor rgb="FFC00000"/>
  </sheetPr>
  <dimension ref="A1:C116"/>
  <sheetViews>
    <sheetView topLeftCell="A98" workbookViewId="0">
      <selection activeCell="A117" sqref="A117"/>
    </sheetView>
  </sheetViews>
  <sheetFormatPr defaultRowHeight="14.4" x14ac:dyDescent="0.3"/>
  <cols>
    <col min="1" max="1" width="10.6640625" style="87" bestFit="1" customWidth="1"/>
    <col min="2" max="2" width="10.5546875" style="88" bestFit="1" customWidth="1"/>
    <col min="3" max="3" width="41.5546875" style="88" bestFit="1" customWidth="1"/>
  </cols>
  <sheetData>
    <row r="1" spans="1:3" x14ac:dyDescent="0.3">
      <c r="A1" s="87" t="s">
        <v>0</v>
      </c>
      <c r="B1" s="88" t="s">
        <v>14</v>
      </c>
      <c r="C1" s="88" t="s">
        <v>57</v>
      </c>
    </row>
    <row r="2" spans="1:3" x14ac:dyDescent="0.3">
      <c r="A2" s="87">
        <f>'TRX Fact Sheet Backup'!A2</f>
        <v>40753</v>
      </c>
      <c r="B2" s="88">
        <f>'TRX Fact Sheet Backup'!B2</f>
        <v>10000</v>
      </c>
      <c r="C2" s="88">
        <f>'TRX Fact Sheet Backup'!E2</f>
        <v>10000</v>
      </c>
    </row>
    <row r="3" spans="1:3" x14ac:dyDescent="0.3">
      <c r="A3" s="87">
        <f>'TRX Fact Sheet Backup'!A3</f>
        <v>40755</v>
      </c>
      <c r="B3" s="88">
        <f>'TRX Fact Sheet Backup'!B3</f>
        <v>10000</v>
      </c>
      <c r="C3" s="88">
        <f>'TRX Fact Sheet Backup'!E3</f>
        <v>10020</v>
      </c>
    </row>
    <row r="4" spans="1:3" x14ac:dyDescent="0.3">
      <c r="A4" s="87">
        <f>'TRX Fact Sheet Backup'!A4</f>
        <v>40786</v>
      </c>
      <c r="B4" s="88">
        <f>'TRX Fact Sheet Backup'!B4</f>
        <v>9898.5</v>
      </c>
      <c r="C4" s="88">
        <f>'TRX Fact Sheet Backup'!E4</f>
        <v>9636.2340000000004</v>
      </c>
    </row>
    <row r="5" spans="1:3" x14ac:dyDescent="0.3">
      <c r="A5" s="87">
        <f>'TRX Fact Sheet Backup'!A5</f>
        <v>40816</v>
      </c>
      <c r="B5" s="88">
        <f>'TRX Fact Sheet Backup'!B5</f>
        <v>9537.9</v>
      </c>
      <c r="C5" s="88">
        <f>'TRX Fact Sheet Backup'!E5</f>
        <v>9157.313170200001</v>
      </c>
    </row>
    <row r="6" spans="1:3" x14ac:dyDescent="0.3">
      <c r="A6" s="87">
        <f>'TRX Fact Sheet Backup'!A6</f>
        <v>40847</v>
      </c>
      <c r="B6" s="88">
        <f>'TRX Fact Sheet Backup'!B6</f>
        <v>10028.1</v>
      </c>
      <c r="C6" s="88">
        <f>'TRX Fact Sheet Backup'!E6</f>
        <v>9683.8586774865016</v>
      </c>
    </row>
    <row r="7" spans="1:3" x14ac:dyDescent="0.3">
      <c r="A7" s="87">
        <f>'TRX Fact Sheet Backup'!A7</f>
        <v>40877</v>
      </c>
      <c r="B7" s="88">
        <f>'TRX Fact Sheet Backup'!B7</f>
        <v>10014.9</v>
      </c>
      <c r="C7" s="88">
        <f>'TRX Fact Sheet Backup'!E7</f>
        <v>9517.2963082337337</v>
      </c>
    </row>
    <row r="8" spans="1:3" x14ac:dyDescent="0.3">
      <c r="A8" s="87">
        <f>'TRX Fact Sheet Backup'!A8</f>
        <v>40908</v>
      </c>
      <c r="B8" s="88">
        <f>'TRX Fact Sheet Backup'!B8</f>
        <v>9999.35</v>
      </c>
      <c r="C8" s="88">
        <f>'TRX Fact Sheet Backup'!E8</f>
        <v>9522.0549563878503</v>
      </c>
    </row>
    <row r="9" spans="1:3" x14ac:dyDescent="0.3">
      <c r="A9" s="87">
        <f>'TRX Fact Sheet Backup'!A9</f>
        <v>40939</v>
      </c>
      <c r="B9" s="88">
        <f>'TRX Fact Sheet Backup'!B9</f>
        <v>10182.69</v>
      </c>
      <c r="C9" s="88">
        <f>'TRX Fact Sheet Backup'!E9</f>
        <v>9849.613646887592</v>
      </c>
    </row>
    <row r="10" spans="1:3" x14ac:dyDescent="0.3">
      <c r="A10" s="87">
        <f>'TRX Fact Sheet Backup'!A10</f>
        <v>40968</v>
      </c>
      <c r="B10" s="88">
        <f>'TRX Fact Sheet Backup'!B10</f>
        <v>10318.69</v>
      </c>
      <c r="C10" s="88">
        <f>'TRX Fact Sheet Backup'!E10</f>
        <v>10119.493060812312</v>
      </c>
    </row>
    <row r="11" spans="1:3" x14ac:dyDescent="0.3">
      <c r="A11" s="87">
        <f>'TRX Fact Sheet Backup'!A11</f>
        <v>40999</v>
      </c>
      <c r="B11" s="88">
        <f>'TRX Fact Sheet Backup'!B11</f>
        <v>10431.61</v>
      </c>
      <c r="C11" s="88">
        <f>'TRX Fact Sheet Backup'!E11</f>
        <v>10167.05467819813</v>
      </c>
    </row>
    <row r="12" spans="1:3" x14ac:dyDescent="0.3">
      <c r="A12" s="87">
        <f>'TRX Fact Sheet Backup'!A12</f>
        <v>41029</v>
      </c>
      <c r="B12" s="88">
        <f>'TRX Fact Sheet Backup'!B12</f>
        <v>10413.73</v>
      </c>
      <c r="C12" s="88">
        <f>'TRX Fact Sheet Backup'!E12</f>
        <v>10121.30293214624</v>
      </c>
    </row>
    <row r="13" spans="1:3" x14ac:dyDescent="0.3">
      <c r="A13" s="87">
        <f>'TRX Fact Sheet Backup'!A13</f>
        <v>41060</v>
      </c>
      <c r="B13" s="88">
        <f>'TRX Fact Sheet Backup'!B13</f>
        <v>9941.75</v>
      </c>
      <c r="C13" s="88">
        <f>'TRX Fact Sheet Backup'!E13</f>
        <v>9663.8200396132306</v>
      </c>
    </row>
    <row r="14" spans="1:3" x14ac:dyDescent="0.3">
      <c r="A14" s="87">
        <f>'TRX Fact Sheet Backup'!A14</f>
        <v>41090</v>
      </c>
      <c r="B14" s="88">
        <f>'TRX Fact Sheet Backup'!B14</f>
        <v>10182.76</v>
      </c>
      <c r="C14" s="88">
        <f>'TRX Fact Sheet Backup'!E14</f>
        <v>9920.8776526669426</v>
      </c>
    </row>
    <row r="15" spans="1:3" x14ac:dyDescent="0.3">
      <c r="A15" s="87">
        <f>'TRX Fact Sheet Backup'!A15</f>
        <v>41121</v>
      </c>
      <c r="B15" s="88">
        <f>'TRX Fact Sheet Backup'!B15</f>
        <v>10383.14</v>
      </c>
      <c r="C15" s="88">
        <f>'TRX Fact Sheet Backup'!E15</f>
        <v>10027.031043550478</v>
      </c>
    </row>
    <row r="16" spans="1:3" x14ac:dyDescent="0.3">
      <c r="A16" s="87">
        <f>'TRX Fact Sheet Backup'!A16</f>
        <v>41152</v>
      </c>
      <c r="B16" s="88">
        <f>'TRX Fact Sheet Backup'!B16</f>
        <v>10605.35</v>
      </c>
      <c r="C16" s="88">
        <f>'TRX Fact Sheet Backup'!E16</f>
        <v>10156.379744012278</v>
      </c>
    </row>
    <row r="17" spans="1:3" x14ac:dyDescent="0.3">
      <c r="A17" s="87">
        <f>'TRX Fact Sheet Backup'!A17</f>
        <v>41182</v>
      </c>
      <c r="B17" s="88">
        <f>'TRX Fact Sheet Backup'!B17</f>
        <v>10808.93</v>
      </c>
      <c r="C17" s="88">
        <f>'TRX Fact Sheet Backup'!E17</f>
        <v>10338.178941430098</v>
      </c>
    </row>
    <row r="18" spans="1:3" x14ac:dyDescent="0.3">
      <c r="A18" s="87">
        <f>'TRX Fact Sheet Backup'!A18</f>
        <v>41213</v>
      </c>
      <c r="B18" s="88">
        <f>'TRX Fact Sheet Backup'!B18</f>
        <v>10798.78</v>
      </c>
      <c r="C18" s="88">
        <f>'TRX Fact Sheet Backup'!E18</f>
        <v>10317.502583547239</v>
      </c>
    </row>
    <row r="19" spans="1:3" x14ac:dyDescent="0.3">
      <c r="A19" s="87">
        <f>'TRX Fact Sheet Backup'!A19</f>
        <v>41243</v>
      </c>
      <c r="B19" s="88">
        <f>'TRX Fact Sheet Backup'!B19</f>
        <v>10920.57</v>
      </c>
      <c r="C19" s="88">
        <f>'TRX Fact Sheet Backup'!E19</f>
        <v>10388.693351373713</v>
      </c>
    </row>
    <row r="20" spans="1:3" x14ac:dyDescent="0.3">
      <c r="A20" s="87">
        <f>'TRX Fact Sheet Backup'!A20</f>
        <v>41274</v>
      </c>
      <c r="B20" s="88">
        <f>'TRX Fact Sheet Backup'!B20</f>
        <v>11206.8</v>
      </c>
      <c r="C20" s="88">
        <f>'TRX Fact Sheet Backup'!E20</f>
        <v>10516.47427959561</v>
      </c>
    </row>
    <row r="21" spans="1:3" x14ac:dyDescent="0.3">
      <c r="A21" s="87">
        <f>'TRX Fact Sheet Backup'!A21</f>
        <v>41305</v>
      </c>
      <c r="B21" s="88">
        <f>'TRX Fact Sheet Backup'!B21</f>
        <v>11464.78</v>
      </c>
      <c r="C21" s="88">
        <f>'TRX Fact Sheet Backup'!E21</f>
        <v>10768.869662305904</v>
      </c>
    </row>
    <row r="22" spans="1:3" x14ac:dyDescent="0.3">
      <c r="A22" s="87">
        <f>'TRX Fact Sheet Backup'!A22</f>
        <v>41333</v>
      </c>
      <c r="B22" s="88">
        <f>'TRX Fact Sheet Backup'!B22</f>
        <v>11351.27</v>
      </c>
      <c r="C22" s="88">
        <f>'TRX Fact Sheet Backup'!E22</f>
        <v>10781.792305900672</v>
      </c>
    </row>
    <row r="23" spans="1:3" x14ac:dyDescent="0.3">
      <c r="A23" s="87">
        <f>'TRX Fact Sheet Backup'!A23</f>
        <v>41364</v>
      </c>
      <c r="B23" s="88">
        <f>'TRX Fact Sheet Backup'!B23</f>
        <v>11485.86</v>
      </c>
      <c r="C23" s="88">
        <f>'TRX Fact Sheet Backup'!E23</f>
        <v>10887.453870498499</v>
      </c>
    </row>
    <row r="24" spans="1:3" x14ac:dyDescent="0.3">
      <c r="A24" s="87">
        <f>'TRX Fact Sheet Backup'!A24</f>
        <v>41394</v>
      </c>
      <c r="B24" s="88">
        <f>'TRX Fact Sheet Backup'!B24</f>
        <v>11516.91</v>
      </c>
      <c r="C24" s="88">
        <f>'TRX Fact Sheet Backup'!E24</f>
        <v>11059.475641652376</v>
      </c>
    </row>
    <row r="25" spans="1:3" x14ac:dyDescent="0.3">
      <c r="A25" s="87">
        <f>'TRX Fact Sheet Backup'!A25</f>
        <v>41425</v>
      </c>
      <c r="B25" s="88">
        <f>'TRX Fact Sheet Backup'!B25</f>
        <v>11496.21</v>
      </c>
      <c r="C25" s="88">
        <f>'TRX Fact Sheet Backup'!E25</f>
        <v>11041.780480625732</v>
      </c>
    </row>
    <row r="26" spans="1:3" x14ac:dyDescent="0.3">
      <c r="A26" s="87">
        <f>'TRX Fact Sheet Backup'!A26</f>
        <v>41455</v>
      </c>
      <c r="B26" s="88">
        <f>'TRX Fact Sheet Backup'!B26</f>
        <v>11316.21</v>
      </c>
      <c r="C26" s="88">
        <f>'TRX Fact Sheet Backup'!E26</f>
        <v>10864.007814887658</v>
      </c>
    </row>
    <row r="27" spans="1:3" x14ac:dyDescent="0.3">
      <c r="A27" s="87">
        <f>'TRX Fact Sheet Backup'!A27</f>
        <v>41486</v>
      </c>
      <c r="B27" s="88">
        <f>'TRX Fact Sheet Backup'!B27</f>
        <v>11721.85</v>
      </c>
      <c r="C27" s="88">
        <f>'TRX Fact Sheet Backup'!E27</f>
        <v>11147.558418856226</v>
      </c>
    </row>
    <row r="28" spans="1:3" x14ac:dyDescent="0.3">
      <c r="A28" s="87">
        <f>'TRX Fact Sheet Backup'!A28</f>
        <v>41517</v>
      </c>
      <c r="B28" s="88">
        <f>'TRX Fact Sheet Backup'!B28</f>
        <v>11649.04</v>
      </c>
      <c r="C28" s="88">
        <f>'TRX Fact Sheet Backup'!E28</f>
        <v>11033.853322983892</v>
      </c>
    </row>
    <row r="29" spans="1:3" x14ac:dyDescent="0.3">
      <c r="A29" s="87">
        <f>'TRX Fact Sheet Backup'!A29</f>
        <v>41547</v>
      </c>
      <c r="B29" s="88">
        <f>'TRX Fact Sheet Backup'!B29</f>
        <v>12005.86</v>
      </c>
      <c r="C29" s="88">
        <f>'TRX Fact Sheet Backup'!E29</f>
        <v>11340.594445362845</v>
      </c>
    </row>
    <row r="30" spans="1:3" x14ac:dyDescent="0.3">
      <c r="A30" s="87">
        <f>'TRX Fact Sheet Backup'!A30</f>
        <v>41578</v>
      </c>
      <c r="B30" s="88">
        <f>'TRX Fact Sheet Backup'!B30</f>
        <v>12203.87</v>
      </c>
      <c r="C30" s="88">
        <f>'TRX Fact Sheet Backup'!E30</f>
        <v>11586.68534482722</v>
      </c>
    </row>
    <row r="31" spans="1:3" x14ac:dyDescent="0.3">
      <c r="A31" s="87">
        <f>'TRX Fact Sheet Backup'!A31</f>
        <v>41608</v>
      </c>
      <c r="B31" s="88">
        <f>'TRX Fact Sheet Backup'!B31</f>
        <v>12255.98</v>
      </c>
      <c r="C31" s="88">
        <f>'TRX Fact Sheet Backup'!E31</f>
        <v>11682.854833189285</v>
      </c>
    </row>
    <row r="32" spans="1:3" x14ac:dyDescent="0.3">
      <c r="A32" s="87">
        <f>'TRX Fact Sheet Backup'!A32</f>
        <v>41639</v>
      </c>
      <c r="B32" s="88">
        <f>'TRX Fact Sheet Backup'!B32</f>
        <v>12378.52</v>
      </c>
      <c r="C32" s="88">
        <f>'TRX Fact Sheet Backup'!E32</f>
        <v>11782.159099271394</v>
      </c>
    </row>
    <row r="33" spans="1:3" x14ac:dyDescent="0.3">
      <c r="A33" s="87">
        <f>'TRX Fact Sheet Backup'!A33</f>
        <v>41670</v>
      </c>
      <c r="B33" s="88">
        <f>'TRX Fact Sheet Backup'!B33</f>
        <v>12110.81</v>
      </c>
      <c r="C33" s="88">
        <f>'TRX Fact Sheet Backup'!E33</f>
        <v>11563.010940024946</v>
      </c>
    </row>
    <row r="34" spans="1:3" x14ac:dyDescent="0.3">
      <c r="A34" s="87">
        <f>'TRX Fact Sheet Backup'!A34</f>
        <v>41698</v>
      </c>
      <c r="B34" s="88">
        <f>'TRX Fact Sheet Backup'!B34</f>
        <v>12464.18</v>
      </c>
      <c r="C34" s="88">
        <f>'TRX Fact Sheet Backup'!E34</f>
        <v>11857.867718995583</v>
      </c>
    </row>
    <row r="35" spans="1:3" x14ac:dyDescent="0.3">
      <c r="A35" s="87">
        <f>'TRX Fact Sheet Backup'!A35</f>
        <v>41729</v>
      </c>
      <c r="B35" s="88">
        <f>'TRX Fact Sheet Backup'!B35</f>
        <v>12595.26</v>
      </c>
      <c r="C35" s="88">
        <f>'TRX Fact Sheet Backup'!E35</f>
        <v>11883.955027977374</v>
      </c>
    </row>
    <row r="36" spans="1:3" x14ac:dyDescent="0.3">
      <c r="A36" s="87">
        <f>'TRX Fact Sheet Backup'!A36</f>
        <v>41759</v>
      </c>
      <c r="B36" s="88">
        <f>'TRX Fact Sheet Backup'!B36</f>
        <v>12702.55</v>
      </c>
      <c r="C36" s="88">
        <f>'TRX Fact Sheet Backup'!E36</f>
        <v>11955.258758145239</v>
      </c>
    </row>
    <row r="37" spans="1:3" x14ac:dyDescent="0.3">
      <c r="A37" s="87">
        <f>'TRX Fact Sheet Backup'!A37</f>
        <v>41790</v>
      </c>
      <c r="B37" s="88">
        <f>'TRX Fact Sheet Backup'!B37</f>
        <v>12917.12</v>
      </c>
      <c r="C37" s="88">
        <f>'TRX Fact Sheet Backup'!E37</f>
        <v>12104.699492622054</v>
      </c>
    </row>
    <row r="38" spans="1:3" x14ac:dyDescent="0.3">
      <c r="A38" s="87">
        <f>'TRX Fact Sheet Backup'!A38</f>
        <v>41820</v>
      </c>
      <c r="B38" s="88">
        <f>'TRX Fact Sheet Backup'!B38</f>
        <v>13070.86</v>
      </c>
      <c r="C38" s="88">
        <f>'TRX Fact Sheet Backup'!E38</f>
        <v>12220.904607751227</v>
      </c>
    </row>
    <row r="39" spans="1:3" x14ac:dyDescent="0.3">
      <c r="A39" s="87">
        <f>'TRX Fact Sheet Backup'!A39</f>
        <v>41851</v>
      </c>
      <c r="B39" s="88">
        <f>'TRX Fact Sheet Backup'!B39</f>
        <v>12822.2</v>
      </c>
      <c r="C39" s="88">
        <f>'TRX Fact Sheet Backup'!E39</f>
        <v>12145.134999183168</v>
      </c>
    </row>
    <row r="40" spans="1:3" x14ac:dyDescent="0.3">
      <c r="A40" s="87">
        <f>'TRX Fact Sheet Backup'!A40</f>
        <v>41882</v>
      </c>
      <c r="B40" s="88">
        <f>'TRX Fact Sheet Backup'!B40</f>
        <v>13038.42</v>
      </c>
      <c r="C40" s="88">
        <f>'TRX Fact Sheet Backup'!E40</f>
        <v>12293.305646173203</v>
      </c>
    </row>
    <row r="41" spans="1:3" x14ac:dyDescent="0.3">
      <c r="A41" s="87">
        <f>'TRX Fact Sheet Backup'!A41</f>
        <v>41912</v>
      </c>
      <c r="B41" s="88">
        <f>'TRX Fact Sheet Backup'!B41</f>
        <v>12812.89</v>
      </c>
      <c r="C41" s="88">
        <f>'TRX Fact Sheet Backup'!E41</f>
        <v>12089.236772446728</v>
      </c>
    </row>
    <row r="42" spans="1:3" x14ac:dyDescent="0.3">
      <c r="A42" s="87">
        <f>'TRX Fact Sheet Backup'!A42</f>
        <v>41943</v>
      </c>
      <c r="B42" s="88">
        <f>'TRX Fact Sheet Backup'!B42</f>
        <v>12726.31</v>
      </c>
      <c r="C42" s="88">
        <f>'TRX Fact Sheet Backup'!E42</f>
        <v>12147.265108954471</v>
      </c>
    </row>
    <row r="43" spans="1:3" x14ac:dyDescent="0.3">
      <c r="A43" s="87">
        <f>'TRX Fact Sheet Backup'!A43</f>
        <v>41973</v>
      </c>
      <c r="B43" s="88">
        <f>'TRX Fact Sheet Backup'!B43</f>
        <v>12931.93</v>
      </c>
      <c r="C43" s="88">
        <f>'TRX Fact Sheet Backup'!E43</f>
        <v>12263.878854000433</v>
      </c>
    </row>
    <row r="44" spans="1:3" x14ac:dyDescent="0.3">
      <c r="A44" s="87">
        <f>'TRX Fact Sheet Backup'!A44</f>
        <v>42004</v>
      </c>
      <c r="B44" s="88">
        <f>'TRX Fact Sheet Backup'!B44</f>
        <v>12768.25</v>
      </c>
      <c r="C44" s="88">
        <f>'TRX Fact Sheet Backup'!E44</f>
        <v>12131.428962377229</v>
      </c>
    </row>
    <row r="45" spans="1:3" x14ac:dyDescent="0.3">
      <c r="A45" s="87">
        <f>'TRX Fact Sheet Backup'!A45</f>
        <v>42035</v>
      </c>
      <c r="B45" s="88">
        <f>'TRX Fact Sheet Backup'!B45</f>
        <v>12734.68</v>
      </c>
      <c r="C45" s="88">
        <f>'TRX Fact Sheet Backup'!E45</f>
        <v>12073.198103357818</v>
      </c>
    </row>
    <row r="46" spans="1:3" x14ac:dyDescent="0.3">
      <c r="A46" s="87">
        <f>'TRX Fact Sheet Backup'!A46</f>
        <v>42063</v>
      </c>
      <c r="B46" s="88">
        <f>'TRX Fact Sheet Backup'!B46</f>
        <v>13148.72</v>
      </c>
      <c r="C46" s="88">
        <f>'TRX Fact Sheet Backup'!E46</f>
        <v>12412.454970062172</v>
      </c>
    </row>
    <row r="47" spans="1:3" x14ac:dyDescent="0.3">
      <c r="A47" s="87">
        <f>'TRX Fact Sheet Backup'!A47</f>
        <v>42094</v>
      </c>
      <c r="B47" s="88">
        <f>'TRX Fact Sheet Backup'!B47</f>
        <v>12865.89</v>
      </c>
      <c r="C47" s="88">
        <f>'TRX Fact Sheet Backup'!E47</f>
        <v>12330.532767259761</v>
      </c>
    </row>
    <row r="48" spans="1:3" x14ac:dyDescent="0.3">
      <c r="A48" s="87">
        <f>'TRX Fact Sheet Backup'!A48</f>
        <v>42124</v>
      </c>
      <c r="B48" s="88">
        <f>'TRX Fact Sheet Backup'!B48</f>
        <v>13000.49</v>
      </c>
      <c r="C48" s="88">
        <f>'TRX Fact Sheet Backup'!E48</f>
        <v>12520.422971875563</v>
      </c>
    </row>
    <row r="49" spans="1:3" x14ac:dyDescent="0.3">
      <c r="A49" s="87">
        <f>'TRX Fact Sheet Backup'!A49</f>
        <v>42155</v>
      </c>
      <c r="B49" s="88">
        <f>'TRX Fact Sheet Backup'!B49</f>
        <v>13168.75</v>
      </c>
      <c r="C49" s="88">
        <f>'TRX Fact Sheet Backup'!E49</f>
        <v>12522.927056469938</v>
      </c>
    </row>
    <row r="50" spans="1:3" x14ac:dyDescent="0.3">
      <c r="A50" s="87">
        <f>'TRX Fact Sheet Backup'!A50</f>
        <v>42185</v>
      </c>
      <c r="B50" s="88">
        <f>'TRX Fact Sheet Backup'!B50</f>
        <v>12995.84</v>
      </c>
      <c r="C50" s="88">
        <f>'TRX Fact Sheet Backup'!E50</f>
        <v>12368.895053675358</v>
      </c>
    </row>
    <row r="51" spans="1:3" x14ac:dyDescent="0.3">
      <c r="A51" s="87">
        <f>'TRX Fact Sheet Backup'!A51</f>
        <v>42216</v>
      </c>
      <c r="B51" s="88">
        <f>'TRX Fact Sheet Backup'!B51</f>
        <v>13165.35</v>
      </c>
      <c r="C51" s="88">
        <f>'TRX Fact Sheet Backup'!E51</f>
        <v>12430.739528943734</v>
      </c>
    </row>
    <row r="52" spans="1:3" x14ac:dyDescent="0.3">
      <c r="A52" s="87">
        <f>'TRX Fact Sheet Backup'!A52</f>
        <v>42247</v>
      </c>
      <c r="B52" s="88">
        <f>'TRX Fact Sheet Backup'!B52</f>
        <v>12611.62</v>
      </c>
      <c r="C52" s="88">
        <f>'TRX Fact Sheet Backup'!E52</f>
        <v>12000.635941242281</v>
      </c>
    </row>
    <row r="53" spans="1:3" x14ac:dyDescent="0.3">
      <c r="A53" s="87">
        <f>'TRX Fact Sheet Backup'!A53</f>
        <v>42277</v>
      </c>
      <c r="B53" s="88">
        <f>'TRX Fact Sheet Backup'!B53</f>
        <v>12438.66</v>
      </c>
      <c r="C53" s="88">
        <f>'TRX Fact Sheet Backup'!E53</f>
        <v>11807.42570258828</v>
      </c>
    </row>
    <row r="54" spans="1:3" x14ac:dyDescent="0.3">
      <c r="A54" s="87">
        <f>'TRX Fact Sheet Backup'!A54</f>
        <v>42308</v>
      </c>
      <c r="B54" s="88">
        <f>'TRX Fact Sheet Backup'!B54</f>
        <v>12947.98</v>
      </c>
      <c r="C54" s="88">
        <f>'TRX Fact Sheet Backup'!E54</f>
        <v>12279.722730691812</v>
      </c>
    </row>
    <row r="55" spans="1:3" x14ac:dyDescent="0.3">
      <c r="A55" s="87">
        <f>'TRX Fact Sheet Backup'!A55</f>
        <v>42338</v>
      </c>
      <c r="B55" s="88">
        <f>'TRX Fact Sheet Backup'!B55</f>
        <v>12902.71</v>
      </c>
      <c r="C55" s="88">
        <f>'TRX Fact Sheet Backup'!E55</f>
        <v>12230.603839769044</v>
      </c>
    </row>
    <row r="56" spans="1:3" x14ac:dyDescent="0.3">
      <c r="A56" s="87">
        <f>'TRX Fact Sheet Backup'!A56</f>
        <v>42369</v>
      </c>
      <c r="B56" s="88">
        <f>'TRX Fact Sheet Backup'!B56</f>
        <v>12747.38</v>
      </c>
      <c r="C56" s="88">
        <f>'TRX Fact Sheet Backup'!E56</f>
        <v>12113.190042907261</v>
      </c>
    </row>
    <row r="57" spans="1:3" x14ac:dyDescent="0.3">
      <c r="A57" s="87">
        <f>'TRX Fact Sheet Backup'!A57</f>
        <v>42400</v>
      </c>
      <c r="B57" s="88">
        <f>'TRX Fact Sheet Backup'!B57</f>
        <v>12542.51</v>
      </c>
      <c r="C57" s="88">
        <f>'TRX Fact Sheet Backup'!E57</f>
        <v>11774.020721705858</v>
      </c>
    </row>
    <row r="58" spans="1:3" x14ac:dyDescent="0.3">
      <c r="A58" s="87">
        <f>'TRX Fact Sheet Backup'!A58</f>
        <v>42429</v>
      </c>
      <c r="B58" s="88">
        <f>'TRX Fact Sheet Backup'!B58</f>
        <v>12542.51</v>
      </c>
      <c r="C58" s="88">
        <f>'TRX Fact Sheet Backup'!E58</f>
        <v>11738.69865954074</v>
      </c>
    </row>
    <row r="59" spans="1:3" x14ac:dyDescent="0.3">
      <c r="A59" s="87">
        <f>'TRX Fact Sheet Backup'!A59</f>
        <v>42460</v>
      </c>
      <c r="B59" s="88">
        <f>'TRX Fact Sheet Backup'!B59</f>
        <v>13038.18</v>
      </c>
      <c r="C59" s="88">
        <f>'TRX Fact Sheet Backup'!E59</f>
        <v>12216.463694984048</v>
      </c>
    </row>
    <row r="60" spans="1:3" x14ac:dyDescent="0.3">
      <c r="A60" s="87">
        <f>'TRX Fact Sheet Backup'!A60</f>
        <v>42490</v>
      </c>
      <c r="B60" s="88">
        <f>'TRX Fact Sheet Backup'!B60</f>
        <v>13163.88</v>
      </c>
      <c r="C60" s="88">
        <f>'TRX Fact Sheet Backup'!E60</f>
        <v>12327.633514608404</v>
      </c>
    </row>
    <row r="61" spans="1:3" x14ac:dyDescent="0.3">
      <c r="A61" s="87">
        <f>'TRX Fact Sheet Backup'!A61</f>
        <v>42521</v>
      </c>
      <c r="B61" s="88">
        <f>'TRX Fact Sheet Backup'!B61</f>
        <v>13186.73</v>
      </c>
      <c r="C61" s="88">
        <f>'TRX Fact Sheet Backup'!E61</f>
        <v>12338.72838477155</v>
      </c>
    </row>
    <row r="62" spans="1:3" x14ac:dyDescent="0.3">
      <c r="A62" s="87">
        <f>'TRX Fact Sheet Backup'!A62</f>
        <v>42551</v>
      </c>
      <c r="B62" s="88">
        <f>'TRX Fact Sheet Backup'!B62</f>
        <v>13125.71</v>
      </c>
      <c r="C62" s="88">
        <f>'TRX Fact Sheet Backup'!E62</f>
        <v>12339.962257610026</v>
      </c>
    </row>
    <row r="63" spans="1:3" x14ac:dyDescent="0.3">
      <c r="A63" s="87">
        <f>'TRX Fact Sheet Backup'!A63</f>
        <v>42582</v>
      </c>
      <c r="B63" s="88">
        <f>'TRX Fact Sheet Backup'!B63</f>
        <v>13252.14</v>
      </c>
      <c r="C63" s="88">
        <f>'TRX Fact Sheet Backup'!E63</f>
        <v>12617.611408406252</v>
      </c>
    </row>
    <row r="64" spans="1:3" x14ac:dyDescent="0.3">
      <c r="A64" s="87">
        <f>'TRX Fact Sheet Backup'!A64</f>
        <v>42613</v>
      </c>
      <c r="B64" s="88">
        <f>'TRX Fact Sheet Backup'!B64</f>
        <v>13298.12</v>
      </c>
      <c r="C64" s="88">
        <f>'TRX Fact Sheet Backup'!E64</f>
        <v>12639.061347800543</v>
      </c>
    </row>
    <row r="65" spans="1:3" x14ac:dyDescent="0.3">
      <c r="A65" s="87">
        <f>'TRX Fact Sheet Backup'!A65</f>
        <v>42643</v>
      </c>
      <c r="B65" s="88">
        <f>'TRX Fact Sheet Backup'!B65</f>
        <v>13290.46</v>
      </c>
      <c r="C65" s="88">
        <f>'TRX Fact Sheet Backup'!E65</f>
        <v>12684.561968652626</v>
      </c>
    </row>
    <row r="66" spans="1:3" x14ac:dyDescent="0.3">
      <c r="A66" s="87">
        <f>'TRX Fact Sheet Backup'!A66</f>
        <v>42674</v>
      </c>
      <c r="B66" s="88">
        <f>'TRX Fact Sheet Backup'!B66</f>
        <v>13129.23</v>
      </c>
      <c r="C66" s="88">
        <f>'TRX Fact Sheet Backup'!E66</f>
        <v>12579.280104312809</v>
      </c>
    </row>
    <row r="67" spans="1:3" x14ac:dyDescent="0.3">
      <c r="A67" s="87">
        <f>'TRX Fact Sheet Backup'!A67</f>
        <v>42704</v>
      </c>
      <c r="B67" s="88">
        <f>'TRX Fact Sheet Backup'!B67</f>
        <v>13083.16</v>
      </c>
      <c r="C67" s="88">
        <f>'TRX Fact Sheet Backup'!E67</f>
        <v>12604.438664521434</v>
      </c>
    </row>
    <row r="68" spans="1:3" x14ac:dyDescent="0.3">
      <c r="A68" s="87">
        <f>'TRX Fact Sheet Backup'!A68</f>
        <v>42735</v>
      </c>
      <c r="B68" s="88">
        <f>'TRX Fact Sheet Backup'!B68</f>
        <v>13357.85</v>
      </c>
      <c r="C68" s="88">
        <f>'TRX Fact Sheet Backup'!E68</f>
        <v>12750.650153029885</v>
      </c>
    </row>
    <row r="69" spans="1:3" x14ac:dyDescent="0.3">
      <c r="A69" s="87">
        <f>'TRX Fact Sheet Backup'!A69</f>
        <v>42766</v>
      </c>
      <c r="B69" s="88">
        <f>'TRX Fact Sheet Backup'!B69</f>
        <v>13546.49</v>
      </c>
      <c r="C69" s="88">
        <f>'TRX Fact Sheet Backup'!E69</f>
        <v>12941.909905325332</v>
      </c>
    </row>
    <row r="70" spans="1:3" x14ac:dyDescent="0.3">
      <c r="A70" s="87">
        <f>'TRX Fact Sheet Backup'!A70</f>
        <v>42794</v>
      </c>
      <c r="B70" s="88">
        <f>'TRX Fact Sheet Backup'!B70</f>
        <v>13735.12</v>
      </c>
      <c r="C70" s="88">
        <f>'TRX Fact Sheet Backup'!E70</f>
        <v>13146.392081829474</v>
      </c>
    </row>
    <row r="71" spans="1:3" x14ac:dyDescent="0.3">
      <c r="A71" s="87">
        <f>'TRX Fact Sheet Backup'!A71</f>
        <v>42825</v>
      </c>
      <c r="B71" s="88">
        <f>'TRX Fact Sheet Backup'!B71</f>
        <v>13875.81</v>
      </c>
      <c r="C71" s="88">
        <f>'TRX Fact Sheet Backup'!E71</f>
        <v>13234.47290877773</v>
      </c>
    </row>
    <row r="72" spans="1:3" x14ac:dyDescent="0.3">
      <c r="A72" s="87">
        <f>'TRX Fact Sheet Backup'!A72</f>
        <v>42855</v>
      </c>
      <c r="B72" s="88">
        <f>'TRX Fact Sheet Backup'!B72</f>
        <v>14053.25</v>
      </c>
      <c r="C72" s="88">
        <f>'TRX Fact Sheet Backup'!E72</f>
        <v>13356.230059538488</v>
      </c>
    </row>
    <row r="73" spans="1:3" x14ac:dyDescent="0.3">
      <c r="A73" s="87">
        <f>'TRX Fact Sheet Backup'!A73</f>
        <v>42886</v>
      </c>
      <c r="B73" s="88">
        <f>'TRX Fact Sheet Backup'!B73</f>
        <v>14396.3</v>
      </c>
      <c r="C73" s="88">
        <f>'TRX Fact Sheet Backup'!E73</f>
        <v>13525.854181294626</v>
      </c>
    </row>
    <row r="74" spans="1:3" x14ac:dyDescent="0.3">
      <c r="A74" s="87">
        <f>'TRX Fact Sheet Backup'!A74</f>
        <v>42916</v>
      </c>
      <c r="B74" s="88">
        <f>'TRX Fact Sheet Backup'!B74</f>
        <v>14282.87</v>
      </c>
      <c r="C74" s="88">
        <f>'TRX Fact Sheet Backup'!E74</f>
        <v>13565.07915842038</v>
      </c>
    </row>
    <row r="75" spans="1:3" x14ac:dyDescent="0.3">
      <c r="A75" s="87">
        <f>'TRX Fact Sheet Backup'!A75</f>
        <v>42947</v>
      </c>
      <c r="B75" s="88">
        <f>'TRX Fact Sheet Backup'!B75</f>
        <v>14330.64</v>
      </c>
      <c r="C75" s="88">
        <f>'TRX Fact Sheet Backup'!E75</f>
        <v>13782.120424955107</v>
      </c>
    </row>
    <row r="76" spans="1:3" x14ac:dyDescent="0.3">
      <c r="A76" s="87">
        <f>'TRX Fact Sheet Backup'!A76</f>
        <v>42978</v>
      </c>
      <c r="B76" s="88">
        <f>'TRX Fact Sheet Backup'!B76</f>
        <v>14306.75</v>
      </c>
      <c r="C76" s="88">
        <f>'TRX Fact Sheet Backup'!E76</f>
        <v>13826.223210314964</v>
      </c>
    </row>
    <row r="77" spans="1:3" x14ac:dyDescent="0.3">
      <c r="A77" s="87">
        <f>'TRX Fact Sheet Backup'!A77</f>
        <v>43008</v>
      </c>
      <c r="B77" s="88">
        <f>'TRX Fact Sheet Backup'!B77</f>
        <v>14408.99</v>
      </c>
      <c r="C77" s="88">
        <f>'TRX Fact Sheet Backup'!E77</f>
        <v>13960.33757545502</v>
      </c>
    </row>
    <row r="78" spans="1:3" x14ac:dyDescent="0.3">
      <c r="A78" s="87">
        <f>'TRX Fact Sheet Backup'!A78</f>
        <v>43039</v>
      </c>
      <c r="B78" s="88">
        <f>'TRX Fact Sheet Backup'!B78</f>
        <v>14432.89</v>
      </c>
      <c r="C78" s="88">
        <f>'TRX Fact Sheet Backup'!E78</f>
        <v>14111.109221269933</v>
      </c>
    </row>
    <row r="79" spans="1:3" x14ac:dyDescent="0.3">
      <c r="A79" s="87">
        <f>'TRX Fact Sheet Backup'!A79</f>
        <v>43069</v>
      </c>
      <c r="B79" s="88">
        <f>'TRX Fact Sheet Backup'!B79</f>
        <v>14600.16</v>
      </c>
      <c r="C79" s="88">
        <f>'TRX Fact Sheet Backup'!E79</f>
        <v>14235.286982417107</v>
      </c>
    </row>
    <row r="80" spans="1:3" x14ac:dyDescent="0.3">
      <c r="A80" s="87">
        <f>'TRX Fact Sheet Backup'!A80</f>
        <v>43100</v>
      </c>
      <c r="B80" s="88">
        <f>'TRX Fact Sheet Backup'!B80</f>
        <v>14843.69</v>
      </c>
      <c r="C80" s="88">
        <f>'TRX Fact Sheet Backup'!E80</f>
        <v>14359.133979164135</v>
      </c>
    </row>
    <row r="81" spans="1:3" x14ac:dyDescent="0.3">
      <c r="A81" s="87">
        <f>'TRX Fact Sheet Backup'!A81</f>
        <v>43131</v>
      </c>
      <c r="B81" s="88">
        <f>'TRX Fact Sheet Backup'!B81</f>
        <v>15209.9</v>
      </c>
      <c r="C81" s="88">
        <f>'TRX Fact Sheet Backup'!E81</f>
        <v>14750.994745455524</v>
      </c>
    </row>
    <row r="82" spans="1:3" x14ac:dyDescent="0.3">
      <c r="A82" s="87">
        <f>'TRX Fact Sheet Backup'!A82</f>
        <v>43159</v>
      </c>
      <c r="B82" s="88">
        <f>'TRX Fact Sheet Backup'!B82</f>
        <v>14843.69</v>
      </c>
      <c r="C82" s="88">
        <f>'TRX Fact Sheet Backup'!E82</f>
        <v>14426.767880950412</v>
      </c>
    </row>
    <row r="83" spans="1:3" x14ac:dyDescent="0.3">
      <c r="A83" s="87">
        <f>'TRX Fact Sheet Backup'!A83</f>
        <v>43190</v>
      </c>
      <c r="B83" s="88">
        <f>'TRX Fact Sheet Backup'!B83</f>
        <v>14831.48</v>
      </c>
      <c r="C83" s="88">
        <f>'TRX Fact Sheet Backup'!E83</f>
        <v>14278.74924249186</v>
      </c>
    </row>
    <row r="84" spans="1:3" x14ac:dyDescent="0.3">
      <c r="A84" s="87">
        <f>'TRX Fact Sheet Backup'!A84</f>
        <v>43220</v>
      </c>
      <c r="B84" s="88">
        <f>'TRX Fact Sheet Backup'!B84</f>
        <v>14859.72</v>
      </c>
      <c r="C84" s="88">
        <f>'TRX Fact Sheet Backup'!E84</f>
        <v>14358.424663264963</v>
      </c>
    </row>
    <row r="85" spans="1:3" x14ac:dyDescent="0.3">
      <c r="A85" s="87">
        <f>'TRX Fact Sheet Backup'!A85</f>
        <v>43251</v>
      </c>
      <c r="B85" s="88">
        <f>'TRX Fact Sheet Backup'!B85</f>
        <v>14774.04</v>
      </c>
      <c r="C85" s="88">
        <f>'TRX Fact Sheet Backup'!E85</f>
        <v>14400.925600268229</v>
      </c>
    </row>
    <row r="86" spans="1:3" x14ac:dyDescent="0.3">
      <c r="A86" s="87">
        <f>'TRX Fact Sheet Backup'!A86</f>
        <v>43281</v>
      </c>
      <c r="B86" s="88">
        <f>'TRX Fact Sheet Backup'!B86</f>
        <v>14869.05</v>
      </c>
      <c r="C86" s="88">
        <f>'TRX Fact Sheet Backup'!E86</f>
        <v>14363.627202963535</v>
      </c>
    </row>
    <row r="87" spans="1:3" x14ac:dyDescent="0.3">
      <c r="A87" s="87">
        <f>'TRX Fact Sheet Backup'!A87</f>
        <v>43312</v>
      </c>
      <c r="B87" s="88">
        <f>'TRX Fact Sheet Backup'!B87</f>
        <v>14856.72</v>
      </c>
      <c r="C87" s="88">
        <f>'TRX Fact Sheet Backup'!E87</f>
        <v>14597.036145011694</v>
      </c>
    </row>
    <row r="88" spans="1:3" x14ac:dyDescent="0.3">
      <c r="A88" s="87">
        <f>'TRX Fact Sheet Backup'!A88</f>
        <v>43343</v>
      </c>
      <c r="B88" s="88">
        <f>'TRX Fact Sheet Backup'!B88</f>
        <v>14980.01</v>
      </c>
      <c r="C88" s="88">
        <f>'TRX Fact Sheet Backup'!E88</f>
        <v>14689.143443086719</v>
      </c>
    </row>
    <row r="89" spans="1:3" x14ac:dyDescent="0.3">
      <c r="A89" s="87">
        <f>'TRX Fact Sheet Backup'!A89</f>
        <v>43373</v>
      </c>
      <c r="B89" s="88">
        <f>'TRX Fact Sheet Backup'!B89</f>
        <v>14967.1</v>
      </c>
      <c r="C89" s="88">
        <f>'TRX Fact Sheet Backup'!E89</f>
        <v>14727.041433169883</v>
      </c>
    </row>
    <row r="90" spans="1:3" x14ac:dyDescent="0.3">
      <c r="A90" s="87">
        <f>'TRX Fact Sheet Backup'!A90</f>
        <v>43404</v>
      </c>
      <c r="B90" s="88">
        <f>'TRX Fact Sheet Backup'!B90</f>
        <v>14706.26</v>
      </c>
      <c r="C90" s="88">
        <f>'TRX Fact Sheet Backup'!E90</f>
        <v>14179.784573513291</v>
      </c>
    </row>
    <row r="91" spans="1:3" x14ac:dyDescent="0.3">
      <c r="A91" s="87">
        <f>'TRX Fact Sheet Backup'!A91</f>
        <v>43434</v>
      </c>
      <c r="B91" s="88">
        <f>'TRX Fact Sheet Backup'!B91</f>
        <v>14842.89</v>
      </c>
      <c r="C91" s="88">
        <f>'TRX Fact Sheet Backup'!E91</f>
        <v>14296.767796244776</v>
      </c>
    </row>
    <row r="92" spans="1:3" x14ac:dyDescent="0.3">
      <c r="A92" s="87">
        <f>'TRX Fact Sheet Backup'!A92</f>
        <v>43465</v>
      </c>
      <c r="B92" s="88">
        <f>'TRX Fact Sheet Backup'!B92</f>
        <v>14363.08</v>
      </c>
      <c r="C92" s="88">
        <f>'TRX Fact Sheet Backup'!E92</f>
        <v>13848.278190476578</v>
      </c>
    </row>
    <row r="93" spans="1:3" x14ac:dyDescent="0.3">
      <c r="A93" s="87">
        <f>'TRX Fact Sheet Backup'!A93</f>
        <v>43496</v>
      </c>
      <c r="B93" s="88">
        <f>'TRX Fact Sheet Backup'!B93</f>
        <v>14772.32</v>
      </c>
      <c r="C93" s="88">
        <f>'TRX Fact Sheet Backup'!E93</f>
        <v>14443.75415266707</v>
      </c>
    </row>
    <row r="94" spans="1:3" x14ac:dyDescent="0.3">
      <c r="A94" s="87">
        <f>'TRX Fact Sheet Backup'!A94</f>
        <v>43524</v>
      </c>
      <c r="B94" s="88">
        <f>'TRX Fact Sheet Backup'!B94</f>
        <v>15009.94</v>
      </c>
      <c r="C94" s="88">
        <f>'TRX Fact Sheet Backup'!E94</f>
        <v>14658.966089541809</v>
      </c>
    </row>
    <row r="95" spans="1:3" x14ac:dyDescent="0.3">
      <c r="A95" s="87">
        <f>'TRX Fact Sheet Backup'!A95</f>
        <v>43555</v>
      </c>
      <c r="B95" s="88">
        <f>'TRX Fact Sheet Backup'!B95</f>
        <v>15215.12</v>
      </c>
      <c r="C95" s="88">
        <f>'TRX Fact Sheet Backup'!E95</f>
        <v>14807.021647046182</v>
      </c>
    </row>
    <row r="96" spans="1:3" x14ac:dyDescent="0.3">
      <c r="A96" s="87">
        <f>'TRX Fact Sheet Backup'!A96</f>
        <v>43585</v>
      </c>
      <c r="B96" s="88">
        <f>'TRX Fact Sheet Backup'!B96</f>
        <v>15308.22</v>
      </c>
      <c r="C96" s="88">
        <f>'TRX Fact Sheet Backup'!E96</f>
        <v>15080.951547516535</v>
      </c>
    </row>
    <row r="97" spans="1:3" x14ac:dyDescent="0.3">
      <c r="A97" s="87">
        <f>'TRX Fact Sheet Backup'!A97</f>
        <v>43616</v>
      </c>
      <c r="B97" s="88">
        <f>'TRX Fact Sheet Backup'!B97</f>
        <v>15002.32</v>
      </c>
      <c r="C97" s="88">
        <f>'TRX Fact Sheet Backup'!E97</f>
        <v>14682.814426662098</v>
      </c>
    </row>
    <row r="98" spans="1:3" x14ac:dyDescent="0.3">
      <c r="A98" s="87">
        <f>'TRX Fact Sheet Backup'!A98</f>
        <v>43646</v>
      </c>
      <c r="B98" s="88">
        <f>'TRX Fact Sheet Backup'!B98</f>
        <v>15506.15</v>
      </c>
      <c r="C98" s="88">
        <f>'TRX Fact Sheet Backup'!E98</f>
        <v>15217.268871792599</v>
      </c>
    </row>
    <row r="99" spans="1:3" x14ac:dyDescent="0.3">
      <c r="A99" s="87">
        <f>'TRX Fact Sheet Backup'!A99</f>
        <v>43677</v>
      </c>
      <c r="B99" s="88">
        <f>'TRX Fact Sheet Backup'!B99</f>
        <v>15532.77</v>
      </c>
      <c r="C99" s="88">
        <f>'TRX Fact Sheet Backup'!E99</f>
        <v>15247.703409536185</v>
      </c>
    </row>
    <row r="100" spans="1:3" x14ac:dyDescent="0.3">
      <c r="A100" s="87">
        <f>'TRX Fact Sheet Backup'!A100</f>
        <v>43708</v>
      </c>
      <c r="B100" s="88">
        <f>'TRX Fact Sheet Backup'!B100</f>
        <v>15572.7</v>
      </c>
      <c r="C100" s="88">
        <f>'TRX Fact Sheet Backup'!E100</f>
        <v>15130.296093282755</v>
      </c>
    </row>
    <row r="101" spans="1:3" x14ac:dyDescent="0.3">
      <c r="A101" s="87">
        <f>'TRX Fact Sheet Backup'!A101</f>
        <v>43738</v>
      </c>
      <c r="B101" s="88">
        <f>'TRX Fact Sheet Backup'!B101</f>
        <v>15691.59</v>
      </c>
      <c r="C101" s="88">
        <f>'TRX Fact Sheet Backup'!E101</f>
        <v>15298.242379918196</v>
      </c>
    </row>
    <row r="102" spans="1:3" x14ac:dyDescent="0.3">
      <c r="A102" s="87">
        <f>'TRX Fact Sheet Backup'!A102</f>
        <v>43769</v>
      </c>
      <c r="B102" s="88">
        <f>'TRX Fact Sheet Backup'!B102</f>
        <v>15638</v>
      </c>
      <c r="C102" s="88">
        <f>'TRX Fact Sheet Backup'!E102</f>
        <v>15539.954609520904</v>
      </c>
    </row>
    <row r="103" spans="1:3" x14ac:dyDescent="0.3">
      <c r="A103" s="87">
        <f>'TRX Fact Sheet Backup'!A103</f>
        <v>43799</v>
      </c>
      <c r="B103" s="88">
        <f>'TRX Fact Sheet Backup'!B103</f>
        <v>15665</v>
      </c>
      <c r="C103" s="88">
        <f>'TRX Fact Sheet Backup'!E103</f>
        <v>15738.866028522771</v>
      </c>
    </row>
    <row r="104" spans="1:3" x14ac:dyDescent="0.3">
      <c r="A104" s="87">
        <f>'TRX Fact Sheet Backup'!A104</f>
        <v>43830</v>
      </c>
      <c r="B104" s="88">
        <f>'TRX Fact Sheet Backup'!B104</f>
        <v>16015</v>
      </c>
      <c r="C104" s="88">
        <f>'TRX Fact Sheet Backup'!E104</f>
        <v>16042.626142873261</v>
      </c>
    </row>
    <row r="105" spans="1:3" x14ac:dyDescent="0.3">
      <c r="A105" s="87">
        <f>'TRX Fact Sheet Backup'!A105</f>
        <v>43861</v>
      </c>
      <c r="B105" s="88">
        <f>'TRX Fact Sheet Backup'!B105</f>
        <v>15853</v>
      </c>
      <c r="C105" s="88">
        <f>'TRX Fact Sheet Backup'!E105</f>
        <v>15999.311052287503</v>
      </c>
    </row>
    <row r="106" spans="1:3" x14ac:dyDescent="0.3">
      <c r="A106" s="87">
        <f>'TRX Fact Sheet Backup'!A106</f>
        <v>43890</v>
      </c>
      <c r="B106" s="88">
        <f>'TRX Fact Sheet Backup'!B106</f>
        <v>14890</v>
      </c>
      <c r="C106" s="88">
        <f>'TRX Fact Sheet Backup'!E106</f>
        <v>15405.736612247636</v>
      </c>
    </row>
    <row r="107" spans="1:3" x14ac:dyDescent="0.3">
      <c r="A107" s="87">
        <f>'TRX Fact Sheet Backup'!A107</f>
        <v>43921</v>
      </c>
      <c r="B107" s="88">
        <f>'TRX Fact Sheet Backup'!B107</f>
        <v>13738</v>
      </c>
      <c r="C107" s="88">
        <f>'TRX Fact Sheet Backup'!E107</f>
        <v>14259.549808296411</v>
      </c>
    </row>
    <row r="108" spans="1:3" x14ac:dyDescent="0.3">
      <c r="A108" s="87">
        <f>'TRX Fact Sheet Backup'!A108</f>
        <v>43951</v>
      </c>
      <c r="B108" s="88">
        <f>'TRX Fact Sheet Backup'!B108</f>
        <v>14391</v>
      </c>
      <c r="C108" s="88">
        <f>'TRX Fact Sheet Backup'!E108</f>
        <v>15156.475491238254</v>
      </c>
    </row>
    <row r="109" spans="1:3" x14ac:dyDescent="0.3">
      <c r="A109" s="87">
        <f>'TRX Fact Sheet Backup'!A109</f>
        <v>43982</v>
      </c>
      <c r="B109" s="88">
        <f>'TRX Fact Sheet Backup'!B109</f>
        <v>14907</v>
      </c>
      <c r="C109" s="88">
        <f>'TRX Fact Sheet Backup'!E109</f>
        <v>15562.669034403438</v>
      </c>
    </row>
    <row r="110" spans="1:3" x14ac:dyDescent="0.3">
      <c r="A110" s="87">
        <f>'TRX Fact Sheet Backup'!A110</f>
        <v>44012</v>
      </c>
      <c r="B110" s="88">
        <f>'TRX Fact Sheet Backup'!B110</f>
        <v>14999</v>
      </c>
      <c r="C110" s="88">
        <f>'TRX Fact Sheet Backup'!E110</f>
        <v>15855.24721225022</v>
      </c>
    </row>
    <row r="111" spans="1:3" x14ac:dyDescent="0.3">
      <c r="A111" s="87">
        <f>'TRX Fact Sheet Backup'!A111</f>
        <v>44043</v>
      </c>
      <c r="B111" s="88">
        <f>'TRX Fact Sheet Backup'!B111</f>
        <v>15273</v>
      </c>
      <c r="C111" s="88">
        <f>'TRX Fact Sheet Backup'!E111</f>
        <v>16307.121757799352</v>
      </c>
    </row>
    <row r="112" spans="1:3" x14ac:dyDescent="0.3">
      <c r="A112" s="87">
        <f>'TRX Fact Sheet Backup'!A112</f>
        <v>44074</v>
      </c>
      <c r="B112" s="88">
        <f>'TRX Fact Sheet Backup'!B112</f>
        <v>15465</v>
      </c>
      <c r="C112" s="88">
        <f>'TRX Fact Sheet Backup'!E112</f>
        <v>16820.796093170033</v>
      </c>
    </row>
    <row r="113" spans="1:3" x14ac:dyDescent="0.3">
      <c r="A113" s="87">
        <f>'TRX Fact Sheet Backup'!A113</f>
        <v>44104</v>
      </c>
      <c r="B113" s="88">
        <f>'TRX Fact Sheet Backup'!B113</f>
        <v>15224</v>
      </c>
      <c r="C113" s="88">
        <f>'TRX Fact Sheet Backup'!E113</f>
        <v>16548.299196460677</v>
      </c>
    </row>
    <row r="114" spans="1:3" x14ac:dyDescent="0.3">
      <c r="A114" s="87">
        <f>'TRX Fact Sheet Backup'!A114</f>
        <v>44135</v>
      </c>
      <c r="B114" s="88">
        <f>'TRX Fact Sheet Backup'!B114</f>
        <v>14977</v>
      </c>
      <c r="C114" s="88">
        <f>'TRX Fact Sheet Backup'!E114</f>
        <v>16359.648585621026</v>
      </c>
    </row>
    <row r="115" spans="1:3" x14ac:dyDescent="0.3">
      <c r="A115" s="87">
        <f>'TRX Fact Sheet Backup'!A115</f>
        <v>44165</v>
      </c>
      <c r="B115" s="88">
        <f>'TRX Fact Sheet Backup'!B115</f>
        <v>16102</v>
      </c>
      <c r="C115" s="88">
        <f>'TRX Fact Sheet Backup'!E115</f>
        <v>17387.034516798027</v>
      </c>
    </row>
    <row r="116" spans="1:3" x14ac:dyDescent="0.3">
      <c r="A116" s="87">
        <f>'TRX Fact Sheet Backup'!A116</f>
        <v>44196</v>
      </c>
      <c r="B116" s="88">
        <f>'TRX Fact Sheet Backup'!B116</f>
        <v>16593</v>
      </c>
      <c r="C116" s="88">
        <f>'TRX Fact Sheet Backup'!E116</f>
        <v>17804.323345201181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7356-A7F6-480F-8A2F-F5B53BBAB6C8}">
  <sheetPr>
    <tabColor rgb="FFC00000"/>
  </sheetPr>
  <dimension ref="A1:D11"/>
  <sheetViews>
    <sheetView workbookViewId="0"/>
  </sheetViews>
  <sheetFormatPr defaultRowHeight="14.4" x14ac:dyDescent="0.3"/>
  <cols>
    <col min="2" max="3" width="9.109375" style="88"/>
  </cols>
  <sheetData>
    <row r="1" spans="1:4" x14ac:dyDescent="0.3">
      <c r="A1" t="s">
        <v>56</v>
      </c>
      <c r="B1" s="88" t="s">
        <v>14</v>
      </c>
      <c r="C1" s="88" t="s">
        <v>58</v>
      </c>
      <c r="D1" t="s">
        <v>59</v>
      </c>
    </row>
    <row r="2" spans="1:4" x14ac:dyDescent="0.3">
      <c r="A2">
        <v>2011</v>
      </c>
      <c r="B2" s="88">
        <f>'TRX Fact Sheet Backup'!Q34*100</f>
        <v>-6.4999999999981739E-3</v>
      </c>
      <c r="C2" s="88">
        <f>'TRX Fact Sheet Backup'!R34*100</f>
        <v>-4.7794504361215022</v>
      </c>
      <c r="D2">
        <v>1</v>
      </c>
    </row>
    <row r="3" spans="1:4" x14ac:dyDescent="0.3">
      <c r="A3">
        <v>2012</v>
      </c>
      <c r="B3" s="88">
        <f>'TRX Fact Sheet Backup'!Q35*100</f>
        <v>12.075284893518056</v>
      </c>
      <c r="C3" s="88">
        <f>'TRX Fact Sheet Backup'!R35*100</f>
        <v>10.443326863395752</v>
      </c>
      <c r="D3">
        <v>2</v>
      </c>
    </row>
    <row r="4" spans="1:4" x14ac:dyDescent="0.3">
      <c r="A4">
        <v>2013</v>
      </c>
      <c r="B4" s="88">
        <f>'TRX Fact Sheet Backup'!Q36*100</f>
        <v>10.455437769925414</v>
      </c>
      <c r="C4" s="88">
        <f>'TRX Fact Sheet Backup'!R36*100</f>
        <v>12.035258072484467</v>
      </c>
      <c r="D4">
        <v>3</v>
      </c>
    </row>
    <row r="5" spans="1:4" x14ac:dyDescent="0.3">
      <c r="A5">
        <v>2014</v>
      </c>
      <c r="B5" s="88">
        <f>'TRX Fact Sheet Backup'!Q37*100</f>
        <v>3.148437777698776</v>
      </c>
      <c r="C5" s="88">
        <f>'TRX Fact Sheet Backup'!R37*100</f>
        <v>2.9643960853273033</v>
      </c>
      <c r="D5">
        <v>4</v>
      </c>
    </row>
    <row r="6" spans="1:4" x14ac:dyDescent="0.3">
      <c r="A6">
        <v>2015</v>
      </c>
      <c r="B6" s="88">
        <f>'TRX Fact Sheet Backup'!Q38*100</f>
        <v>-0.16345231335539445</v>
      </c>
      <c r="C6" s="88">
        <f>'TRX Fact Sheet Backup'!R38*100</f>
        <v>-0.15034436195877632</v>
      </c>
      <c r="D6">
        <v>5</v>
      </c>
    </row>
    <row r="7" spans="1:4" x14ac:dyDescent="0.3">
      <c r="A7">
        <v>2016</v>
      </c>
      <c r="B7" s="88">
        <f>'TRX Fact Sheet Backup'!Q39*100</f>
        <v>4.7889840892795243</v>
      </c>
      <c r="C7" s="88">
        <f>'TRX Fact Sheet Backup'!R39*100</f>
        <v>5.2625287629816553</v>
      </c>
      <c r="D7">
        <v>6</v>
      </c>
    </row>
    <row r="8" spans="1:4" x14ac:dyDescent="0.3">
      <c r="A8">
        <v>2017</v>
      </c>
      <c r="B8" s="88">
        <f>'TRX Fact Sheet Backup'!Q40*100</f>
        <v>11.123346945803414</v>
      </c>
      <c r="C8" s="88">
        <f>'TRX Fact Sheet Backup'!R40*100</f>
        <v>12.614916155879573</v>
      </c>
      <c r="D8">
        <v>7</v>
      </c>
    </row>
    <row r="9" spans="1:4" x14ac:dyDescent="0.3">
      <c r="A9">
        <v>2018</v>
      </c>
      <c r="B9" s="88">
        <f>'TRX Fact Sheet Backup'!Q41*100</f>
        <v>-3.2378067717663273</v>
      </c>
      <c r="C9" s="88">
        <f>'TRX Fact Sheet Backup'!R41*100</f>
        <v>-3.5577061223109663</v>
      </c>
      <c r="D9">
        <v>8</v>
      </c>
    </row>
    <row r="10" spans="1:4" x14ac:dyDescent="0.3">
      <c r="A10">
        <v>2019</v>
      </c>
      <c r="B10" s="88">
        <f>'TRX Fact Sheet Backup'!Q42*100</f>
        <v>11.501154348510202</v>
      </c>
      <c r="C10" s="88">
        <f>'TRX Fact Sheet Backup'!R42*100</f>
        <v>15.845637430259952</v>
      </c>
      <c r="D10">
        <v>9</v>
      </c>
    </row>
    <row r="11" spans="1:4" x14ac:dyDescent="0.3">
      <c r="A11">
        <v>2020</v>
      </c>
      <c r="B11" s="88">
        <f>'TRX Fact Sheet Backup'!Q43*100</f>
        <v>3.6091164533250009</v>
      </c>
      <c r="C11" s="88">
        <f>'TRX Fact Sheet Backup'!R43*100</f>
        <v>10.99</v>
      </c>
      <c r="D1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5BA0B-D2AD-476C-92E7-FFAE1D77C60B}">
  <sheetPr>
    <tabColor rgb="FFC00000"/>
  </sheetPr>
  <dimension ref="A1:H9"/>
  <sheetViews>
    <sheetView workbookViewId="0"/>
  </sheetViews>
  <sheetFormatPr defaultRowHeight="14.4" x14ac:dyDescent="0.3"/>
  <cols>
    <col min="1" max="1" width="37" bestFit="1" customWidth="1"/>
    <col min="2" max="7" width="9.109375" style="88"/>
  </cols>
  <sheetData>
    <row r="1" spans="1:8" x14ac:dyDescent="0.3">
      <c r="A1" t="str">
        <f>'TRX Fact Sheet Backup'!M14</f>
        <v>Share Class/Benchmark</v>
      </c>
      <c r="B1" s="88" t="str">
        <f>'TRX Fact Sheet Backup'!N14</f>
        <v>QTD</v>
      </c>
      <c r="C1" s="88" t="str">
        <f>'TRX Fact Sheet Backup'!O14</f>
        <v>YTD</v>
      </c>
      <c r="D1" s="88" t="str">
        <f>'TRX Fact Sheet Backup'!P14</f>
        <v>1YR</v>
      </c>
      <c r="E1" s="88" t="str">
        <f>'TRX Fact Sheet Backup'!Q14</f>
        <v>3YR</v>
      </c>
      <c r="F1" s="88" t="str">
        <f>'TRX Fact Sheet Backup'!R14</f>
        <v>5YR</v>
      </c>
      <c r="G1" s="88" t="str">
        <f>'TRX Fact Sheet Backup'!S14</f>
        <v>Inception</v>
      </c>
      <c r="H1" t="s">
        <v>59</v>
      </c>
    </row>
    <row r="2" spans="1:8" x14ac:dyDescent="0.3">
      <c r="A2" t="s">
        <v>11</v>
      </c>
      <c r="B2" s="88">
        <f>'TRX Fact Sheet Backup'!N15</f>
        <v>8.9923804519180131</v>
      </c>
      <c r="C2" s="88">
        <f>'TRX Fact Sheet Backup'!O15</f>
        <v>3.6091164533250009</v>
      </c>
      <c r="D2" s="88">
        <f>'TRX Fact Sheet Backup'!P15</f>
        <v>3.6091164533250009</v>
      </c>
      <c r="E2" s="88">
        <f>'TRX Fact Sheet Backup'!Q15</f>
        <v>3.7833485746914697</v>
      </c>
      <c r="F2" s="88">
        <f>'TRX Fact Sheet Backup'!R15</f>
        <v>5.414607529489901</v>
      </c>
      <c r="G2" s="88">
        <f>'TRX Fact Sheet Backup'!S15</f>
        <v>5.5216397857715371</v>
      </c>
      <c r="H2">
        <v>1</v>
      </c>
    </row>
    <row r="3" spans="1:8" x14ac:dyDescent="0.3">
      <c r="A3" t="s">
        <v>12</v>
      </c>
      <c r="B3" s="88">
        <f>'TRX Fact Sheet Backup'!N16</f>
        <v>8.8000000000000007</v>
      </c>
      <c r="C3" s="88">
        <f>'TRX Fact Sheet Backup'!O16</f>
        <v>2.84</v>
      </c>
      <c r="D3" s="88">
        <f>'TRX Fact Sheet Backup'!P16</f>
        <v>2.84</v>
      </c>
      <c r="E3" s="88">
        <f>'TRX Fact Sheet Backup'!Q16</f>
        <v>3.04</v>
      </c>
      <c r="F3" s="88">
        <f>'TRX Fact Sheet Backup'!R16</f>
        <v>4.63</v>
      </c>
      <c r="G3" s="88">
        <f>'TRX Fact Sheet Backup'!S16</f>
        <v>4.7300000000000004</v>
      </c>
      <c r="H3">
        <v>2</v>
      </c>
    </row>
    <row r="4" spans="1:8" x14ac:dyDescent="0.3">
      <c r="A4" t="s">
        <v>63</v>
      </c>
      <c r="B4" s="88">
        <f>'TRX Fact Sheet Backup'!N17</f>
        <v>7.59</v>
      </c>
      <c r="C4" s="88">
        <f>'TRX Fact Sheet Backup'!O17</f>
        <v>10.99</v>
      </c>
      <c r="D4" s="88">
        <f>'TRX Fact Sheet Backup'!P17</f>
        <v>10.99</v>
      </c>
      <c r="E4" s="88">
        <f>'TRX Fact Sheet Backup'!Q17</f>
        <v>7.44</v>
      </c>
      <c r="F4" s="88">
        <f>'TRX Fact Sheet Backup'!R17</f>
        <v>8.01</v>
      </c>
      <c r="G4" s="88">
        <f>'TRX Fact Sheet Backup'!S17</f>
        <v>6.29</v>
      </c>
      <c r="H4">
        <v>3</v>
      </c>
    </row>
    <row r="5" spans="1:8" x14ac:dyDescent="0.3">
      <c r="A5" t="s">
        <v>97</v>
      </c>
      <c r="B5" s="88">
        <f>'TRX Fact Sheet Backup'!N18</f>
        <v>8.6</v>
      </c>
      <c r="C5" s="88">
        <f>'TRX Fact Sheet Backup'!O18</f>
        <v>3.07</v>
      </c>
      <c r="D5" s="88">
        <f>'TRX Fact Sheet Backup'!P18</f>
        <v>3.07</v>
      </c>
      <c r="E5" s="88">
        <f>'TRX Fact Sheet Backup'!Q18</f>
        <v>3.77</v>
      </c>
      <c r="F5" s="88">
        <f>'TRX Fact Sheet Backup'!R18</f>
        <v>5.77</v>
      </c>
      <c r="G5" s="88">
        <f>'TRX Fact Sheet Backup'!S18</f>
        <v>4.8600000000000003</v>
      </c>
      <c r="H5">
        <v>4</v>
      </c>
    </row>
    <row r="6" spans="1:8" x14ac:dyDescent="0.3">
      <c r="A6" t="s">
        <v>76</v>
      </c>
      <c r="B6" s="88">
        <f>'TRX Fact Sheet Backup'!N19</f>
        <v>14.787179126190807</v>
      </c>
      <c r="C6" s="88">
        <f>'TRX Fact Sheet Backup'!O19</f>
        <v>16.819156187075947</v>
      </c>
      <c r="D6" s="88">
        <f>'TRX Fact Sheet Backup'!P19</f>
        <v>16.819156187075947</v>
      </c>
      <c r="E6" s="88">
        <f>'TRX Fact Sheet Backup'!Q19</f>
        <v>10.637838704654822</v>
      </c>
      <c r="F6" s="88">
        <f>'TRX Fact Sheet Backup'!R19</f>
        <v>12.859150649440698</v>
      </c>
      <c r="G6" s="88">
        <f>'TRX Fact Sheet Backup'!S19</f>
        <v>9.9581259013761922</v>
      </c>
      <c r="H6">
        <v>5</v>
      </c>
    </row>
    <row r="7" spans="1:8" x14ac:dyDescent="0.3">
      <c r="A7" t="s">
        <v>13</v>
      </c>
      <c r="B7" s="88">
        <f>'TRX Fact Sheet Backup'!N20</f>
        <v>2.72</v>
      </c>
      <c r="C7" s="88">
        <f>'TRX Fact Sheet Backup'!O20</f>
        <v>-2.35</v>
      </c>
      <c r="D7" s="88">
        <f>'TRX Fact Sheet Backup'!P20</f>
        <v>-2.35</v>
      </c>
      <c r="E7" s="88">
        <f>'TRX Fact Sheet Backup'!Q20</f>
        <v>1.75</v>
      </c>
      <c r="F7" s="88">
        <f>'TRX Fact Sheet Backup'!R20</f>
        <v>4.17</v>
      </c>
      <c r="G7" s="88">
        <f>'TRX Fact Sheet Backup'!S20</f>
        <v>4.8600000000000003</v>
      </c>
      <c r="H7">
        <v>6</v>
      </c>
    </row>
    <row r="8" spans="1:8" x14ac:dyDescent="0.3">
      <c r="A8" t="s">
        <v>51</v>
      </c>
      <c r="B8" s="88">
        <f>'TRX Fact Sheet Backup'!N21</f>
        <v>9.0500000000000007</v>
      </c>
      <c r="C8" s="88">
        <f>'TRX Fact Sheet Backup'!O21</f>
        <v>3.88</v>
      </c>
      <c r="D8" s="88">
        <f>'TRX Fact Sheet Backup'!P21</f>
        <v>3.88</v>
      </c>
      <c r="E8" s="88">
        <f>'TRX Fact Sheet Backup'!Q21</f>
        <v>4.07</v>
      </c>
      <c r="F8" s="88">
        <f>'TRX Fact Sheet Backup'!R21</f>
        <v>5.71</v>
      </c>
      <c r="G8" s="88">
        <f>'TRX Fact Sheet Backup'!S21</f>
        <v>4.0599999999999996</v>
      </c>
      <c r="H8">
        <v>7</v>
      </c>
    </row>
    <row r="9" spans="1:8" x14ac:dyDescent="0.3">
      <c r="A9" t="s">
        <v>76</v>
      </c>
      <c r="B9" s="88">
        <f>'TRX Fact Sheet Backup'!N22</f>
        <v>14.787179126190807</v>
      </c>
      <c r="C9" s="88">
        <f>'TRX Fact Sheet Backup'!O22</f>
        <v>16.819156187075947</v>
      </c>
      <c r="D9" s="88">
        <f>'TRX Fact Sheet Backup'!P22</f>
        <v>16.819156187075947</v>
      </c>
      <c r="E9" s="88">
        <f>'TRX Fact Sheet Backup'!Q22</f>
        <v>10.637838704654822</v>
      </c>
      <c r="F9" s="88">
        <f>'TRX Fact Sheet Backup'!R22</f>
        <v>12.859150649440698</v>
      </c>
      <c r="G9" s="88">
        <f>'TRX Fact Sheet Backup'!S22</f>
        <v>9.16</v>
      </c>
      <c r="H9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9B903-5FA7-4FEB-B6A7-2D1B9D639500}">
  <sheetPr>
    <tabColor rgb="FFC00000"/>
  </sheetPr>
  <dimension ref="A1:D6"/>
  <sheetViews>
    <sheetView workbookViewId="0">
      <selection activeCell="E22" sqref="E22"/>
    </sheetView>
  </sheetViews>
  <sheetFormatPr defaultRowHeight="14.4" x14ac:dyDescent="0.3"/>
  <cols>
    <col min="1" max="1" width="18.6640625" bestFit="1" customWidth="1"/>
    <col min="2" max="2" width="9.109375" style="88"/>
    <col min="3" max="3" width="43.109375" style="88" bestFit="1" customWidth="1"/>
  </cols>
  <sheetData>
    <row r="1" spans="1:4" x14ac:dyDescent="0.3">
      <c r="A1" t="s">
        <v>60</v>
      </c>
      <c r="B1" s="88" t="s">
        <v>14</v>
      </c>
      <c r="C1" s="88" t="s">
        <v>61</v>
      </c>
      <c r="D1" t="s">
        <v>59</v>
      </c>
    </row>
    <row r="2" spans="1:4" x14ac:dyDescent="0.3">
      <c r="A2" t="s">
        <v>77</v>
      </c>
      <c r="B2" s="88">
        <f>'TRX Fact Sheet Backup'!N8</f>
        <v>-0.11566864533123986</v>
      </c>
      <c r="C2" s="88">
        <f>'TRX Fact Sheet Backup'!O8</f>
        <v>0</v>
      </c>
      <c r="D2">
        <v>1</v>
      </c>
    </row>
    <row r="3" spans="1:4" x14ac:dyDescent="0.3">
      <c r="A3" t="s">
        <v>78</v>
      </c>
      <c r="B3" s="88">
        <f>'TRX Fact Sheet Backup'!N9</f>
        <v>0.89162609226947742</v>
      </c>
      <c r="C3" s="88">
        <f>'TRX Fact Sheet Backup'!O9</f>
        <v>1</v>
      </c>
      <c r="D3">
        <v>2</v>
      </c>
    </row>
    <row r="4" spans="1:4" x14ac:dyDescent="0.3">
      <c r="A4" t="s">
        <v>79</v>
      </c>
      <c r="B4" s="88">
        <f>'TRX Fact Sheet Backup'!N10</f>
        <v>0.84262260266598865</v>
      </c>
      <c r="C4" s="88">
        <f>'TRX Fact Sheet Backup'!O10</f>
        <v>1</v>
      </c>
      <c r="D4">
        <v>3</v>
      </c>
    </row>
    <row r="5" spans="1:4" x14ac:dyDescent="0.3">
      <c r="A5" t="s">
        <v>80</v>
      </c>
      <c r="B5" s="88">
        <f>'TRX Fact Sheet Backup'!N11</f>
        <v>0.73451278638375272</v>
      </c>
      <c r="C5" s="88">
        <f>'TRX Fact Sheet Backup'!O11</f>
        <v>0.83148190839201841</v>
      </c>
      <c r="D5">
        <v>4</v>
      </c>
    </row>
    <row r="6" spans="1:4" x14ac:dyDescent="0.3">
      <c r="A6" t="s">
        <v>81</v>
      </c>
      <c r="B6" s="88">
        <f>'TRX Fact Sheet Backup'!N12*100</f>
        <v>7.4189856007822863</v>
      </c>
      <c r="C6" s="88">
        <f>'TRX Fact Sheet Backup'!O12*100</f>
        <v>7.5063749398543766</v>
      </c>
      <c r="D6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D31B-C046-4A6B-B21E-C4E1D3F0E880}">
  <sheetPr>
    <tabColor rgb="FFC00000"/>
  </sheetPr>
  <dimension ref="A1:C11"/>
  <sheetViews>
    <sheetView workbookViewId="0">
      <selection activeCell="B13" sqref="B13"/>
    </sheetView>
  </sheetViews>
  <sheetFormatPr defaultRowHeight="14.4" x14ac:dyDescent="0.3"/>
  <cols>
    <col min="1" max="1" width="33" customWidth="1"/>
    <col min="2" max="2" width="9.109375" style="90"/>
  </cols>
  <sheetData>
    <row r="1" spans="1:3" x14ac:dyDescent="0.3">
      <c r="A1" t="s">
        <v>60</v>
      </c>
      <c r="B1" s="90" t="s">
        <v>62</v>
      </c>
      <c r="C1" t="s">
        <v>59</v>
      </c>
    </row>
    <row r="2" spans="1:3" x14ac:dyDescent="0.3">
      <c r="A2" t="str">
        <f>'TRX Portfolio'!D22</f>
        <v>Nestle - ADR</v>
      </c>
      <c r="B2" s="90">
        <f>'TRX Portfolio'!E22*100</f>
        <v>4.21</v>
      </c>
      <c r="C2">
        <v>1</v>
      </c>
    </row>
    <row r="3" spans="1:3" x14ac:dyDescent="0.3">
      <c r="A3" t="str">
        <f>'TRX Portfolio'!D23</f>
        <v>Cisco Systems Inc</v>
      </c>
      <c r="B3" s="90">
        <f>'TRX Portfolio'!E23*100</f>
        <v>4.0599999999999996</v>
      </c>
      <c r="C3">
        <v>2</v>
      </c>
    </row>
    <row r="4" spans="1:3" x14ac:dyDescent="0.3">
      <c r="A4" t="str">
        <f>'TRX Portfolio'!D24</f>
        <v>Johnson &amp; Johnson</v>
      </c>
      <c r="B4" s="90">
        <f>'TRX Portfolio'!E24*100</f>
        <v>3.7800000000000002</v>
      </c>
      <c r="C4">
        <v>3</v>
      </c>
    </row>
    <row r="5" spans="1:3" x14ac:dyDescent="0.3">
      <c r="A5" t="str">
        <f>'TRX Portfolio'!D25</f>
        <v>Sanofi ADR</v>
      </c>
      <c r="B5" s="90">
        <f>'TRX Portfolio'!E25*100</f>
        <v>3.73</v>
      </c>
      <c r="C5">
        <v>4</v>
      </c>
    </row>
    <row r="6" spans="1:3" x14ac:dyDescent="0.3">
      <c r="A6" t="str">
        <f>'TRX Portfolio'!D26</f>
        <v>Cash</v>
      </c>
      <c r="B6" s="90">
        <f>'TRX Portfolio'!E26*100</f>
        <v>3.6799999999999997</v>
      </c>
      <c r="C6">
        <v>5</v>
      </c>
    </row>
    <row r="7" spans="1:3" x14ac:dyDescent="0.3">
      <c r="A7" t="str">
        <f>'TRX Portfolio'!D27</f>
        <v>Bunge LTD</v>
      </c>
      <c r="B7" s="90">
        <f>'TRX Portfolio'!E27*100</f>
        <v>3.6699999999999995</v>
      </c>
      <c r="C7">
        <v>6</v>
      </c>
    </row>
    <row r="8" spans="1:3" x14ac:dyDescent="0.3">
      <c r="A8" t="str">
        <f>'TRX Portfolio'!D28</f>
        <v>Novartis AG-ADR</v>
      </c>
      <c r="B8" s="90">
        <f>'TRX Portfolio'!E28*100</f>
        <v>3.58</v>
      </c>
      <c r="C8">
        <v>7</v>
      </c>
    </row>
    <row r="9" spans="1:3" x14ac:dyDescent="0.3">
      <c r="A9" t="str">
        <f>'TRX Portfolio'!D29</f>
        <v>Orange - ADR</v>
      </c>
      <c r="B9" s="90">
        <f>'TRX Portfolio'!E29*100</f>
        <v>3.4000000000000004</v>
      </c>
      <c r="C9">
        <v>8</v>
      </c>
    </row>
    <row r="10" spans="1:3" x14ac:dyDescent="0.3">
      <c r="A10" t="str">
        <f>'TRX Portfolio'!D30</f>
        <v>Tetra Tech Inc</v>
      </c>
      <c r="B10" s="90">
        <f>'TRX Portfolio'!E30*100</f>
        <v>3.2300000000000004</v>
      </c>
      <c r="C10">
        <v>9</v>
      </c>
    </row>
    <row r="11" spans="1:3" x14ac:dyDescent="0.3">
      <c r="A11" t="str">
        <f>'TRX Portfolio'!D31</f>
        <v>Groupe Bruxelles Lambert SA</v>
      </c>
      <c r="B11" s="90">
        <f>'TRX Portfolio'!E31*100</f>
        <v>3.09</v>
      </c>
      <c r="C11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A228-0F94-4B52-B5B0-CFE24DE832A1}">
  <sheetPr>
    <tabColor rgb="FFC00000"/>
  </sheetPr>
  <dimension ref="A1:C18"/>
  <sheetViews>
    <sheetView workbookViewId="0">
      <selection activeCell="I18" sqref="I18"/>
    </sheetView>
  </sheetViews>
  <sheetFormatPr defaultRowHeight="14.4" x14ac:dyDescent="0.3"/>
  <cols>
    <col min="1" max="1" width="23.109375" bestFit="1" customWidth="1"/>
    <col min="2" max="2" width="9.109375" style="88"/>
  </cols>
  <sheetData>
    <row r="1" spans="1:3" x14ac:dyDescent="0.3">
      <c r="A1" t="s">
        <v>60</v>
      </c>
      <c r="B1" s="88" t="s">
        <v>62</v>
      </c>
      <c r="C1" t="s">
        <v>59</v>
      </c>
    </row>
    <row r="2" spans="1:3" x14ac:dyDescent="0.3">
      <c r="A2" t="str">
        <f>'TRX Portfolio'!D9</f>
        <v>CONSUMER STAPLES</v>
      </c>
      <c r="B2" s="90">
        <f>'TRX Portfolio'!E9*100</f>
        <v>19.100000000000001</v>
      </c>
      <c r="C2">
        <v>1</v>
      </c>
    </row>
    <row r="3" spans="1:3" x14ac:dyDescent="0.3">
      <c r="A3" t="str">
        <f>'TRX Portfolio'!D10</f>
        <v>HEALTH CARE</v>
      </c>
      <c r="B3" s="90">
        <f>'TRX Portfolio'!E10*100</f>
        <v>16.899999999999999</v>
      </c>
      <c r="C3">
        <v>2</v>
      </c>
    </row>
    <row r="4" spans="1:3" x14ac:dyDescent="0.3">
      <c r="A4" t="str">
        <f>'TRX Portfolio'!D11</f>
        <v>INFORMATION TECHNOLOGY</v>
      </c>
      <c r="B4" s="90">
        <f>'TRX Portfolio'!E11*100</f>
        <v>15</v>
      </c>
      <c r="C4">
        <v>3</v>
      </c>
    </row>
    <row r="5" spans="1:3" x14ac:dyDescent="0.3">
      <c r="A5" t="str">
        <f>'TRX Portfolio'!D12</f>
        <v>CONSUMER DISCRETIONARY</v>
      </c>
      <c r="B5" s="90">
        <f>'TRX Portfolio'!E12*100</f>
        <v>12.8</v>
      </c>
      <c r="C5">
        <v>4</v>
      </c>
    </row>
    <row r="6" spans="1:3" x14ac:dyDescent="0.3">
      <c r="A6" t="str">
        <f>'TRX Portfolio'!D13</f>
        <v>COMMUNICATION SERVICES</v>
      </c>
      <c r="B6" s="90">
        <f>'TRX Portfolio'!E13*100</f>
        <v>10.6</v>
      </c>
      <c r="C6">
        <v>5</v>
      </c>
    </row>
    <row r="7" spans="1:3" x14ac:dyDescent="0.3">
      <c r="A7" t="str">
        <f>'TRX Portfolio'!D14</f>
        <v>UTILITIES</v>
      </c>
      <c r="B7" s="90">
        <f>'TRX Portfolio'!E14*100</f>
        <v>6.9</v>
      </c>
      <c r="C7">
        <v>6</v>
      </c>
    </row>
    <row r="8" spans="1:3" x14ac:dyDescent="0.3">
      <c r="A8" t="str">
        <f>'TRX Portfolio'!D15</f>
        <v>MATERIALS</v>
      </c>
      <c r="B8" s="90">
        <f>'TRX Portfolio'!E15*100</f>
        <v>5.6</v>
      </c>
      <c r="C8">
        <v>7</v>
      </c>
    </row>
    <row r="9" spans="1:3" x14ac:dyDescent="0.3">
      <c r="A9" t="str">
        <f>'TRX Portfolio'!D16</f>
        <v>FINANCIALS</v>
      </c>
      <c r="B9" s="90">
        <f>'TRX Portfolio'!E16*100</f>
        <v>3.8</v>
      </c>
      <c r="C9">
        <v>8</v>
      </c>
    </row>
    <row r="10" spans="1:3" x14ac:dyDescent="0.3">
      <c r="A10" t="str">
        <f>'TRX Portfolio'!D17</f>
        <v>Cash and Equivalent</v>
      </c>
      <c r="B10" s="90">
        <f>'TRX Portfolio'!E17*100</f>
        <v>3.7000000000000006</v>
      </c>
      <c r="C10">
        <v>9</v>
      </c>
    </row>
    <row r="11" spans="1:3" x14ac:dyDescent="0.3">
      <c r="A11" t="str">
        <f>'TRX Portfolio'!D18</f>
        <v>INDUSTRIALS</v>
      </c>
      <c r="B11" s="90">
        <f>'TRX Portfolio'!E18*100</f>
        <v>3.6000000000000005</v>
      </c>
      <c r="C11">
        <v>10</v>
      </c>
    </row>
    <row r="12" spans="1:3" x14ac:dyDescent="0.3">
      <c r="A12" t="str">
        <f>'TRX Portfolio'!D19</f>
        <v>ENERGY</v>
      </c>
      <c r="B12" s="90">
        <f>'TRX Portfolio'!E19*100</f>
        <v>2</v>
      </c>
      <c r="C12">
        <v>11</v>
      </c>
    </row>
    <row r="13" spans="1:3" x14ac:dyDescent="0.3">
      <c r="B13" s="90"/>
    </row>
    <row r="14" spans="1:3" x14ac:dyDescent="0.3">
      <c r="B14" s="90"/>
    </row>
    <row r="15" spans="1:3" x14ac:dyDescent="0.3">
      <c r="B15" s="90"/>
    </row>
    <row r="16" spans="1:3" x14ac:dyDescent="0.3">
      <c r="B16" s="90"/>
    </row>
    <row r="17" spans="2:2" x14ac:dyDescent="0.3">
      <c r="B17" s="90"/>
    </row>
    <row r="18" spans="2:2" x14ac:dyDescent="0.3">
      <c r="B18" s="9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BF9E-4809-4E12-A915-D851D86AB9E4}">
  <sheetPr>
    <tabColor rgb="FFC00000"/>
  </sheetPr>
  <dimension ref="A1:C6"/>
  <sheetViews>
    <sheetView workbookViewId="0">
      <selection activeCell="J25" sqref="J25"/>
    </sheetView>
  </sheetViews>
  <sheetFormatPr defaultRowHeight="14.4" x14ac:dyDescent="0.3"/>
  <cols>
    <col min="1" max="1" width="23" bestFit="1" customWidth="1"/>
  </cols>
  <sheetData>
    <row r="1" spans="1:3" x14ac:dyDescent="0.3">
      <c r="A1" t="s">
        <v>60</v>
      </c>
      <c r="B1" t="s">
        <v>62</v>
      </c>
      <c r="C1" t="s">
        <v>59</v>
      </c>
    </row>
    <row r="2" spans="1:3" x14ac:dyDescent="0.3">
      <c r="A2" t="str">
        <f>'TRX Portfolio'!A9</f>
        <v>Number of Holdings</v>
      </c>
      <c r="B2">
        <f>'TRX Portfolio'!B9</f>
        <v>53</v>
      </c>
      <c r="C2">
        <v>1</v>
      </c>
    </row>
    <row r="3" spans="1:3" x14ac:dyDescent="0.3">
      <c r="A3" t="str">
        <f>'TRX Portfolio'!A10</f>
        <v>P/E Ratio</v>
      </c>
      <c r="B3">
        <f>'TRX Portfolio'!B10</f>
        <v>21.02</v>
      </c>
      <c r="C3">
        <v>2</v>
      </c>
    </row>
    <row r="4" spans="1:3" x14ac:dyDescent="0.3">
      <c r="A4" t="str">
        <f>'TRX Portfolio'!A11</f>
        <v>Wtd. Avg. Market Cap $B</v>
      </c>
      <c r="B4" t="str">
        <f>'TRX Portfolio'!B11</f>
        <v>$150.5B</v>
      </c>
      <c r="C4">
        <v>3</v>
      </c>
    </row>
    <row r="5" spans="1:3" x14ac:dyDescent="0.3">
      <c r="A5" t="str">
        <f>'TRX Portfolio'!A12</f>
        <v>Turnover</v>
      </c>
      <c r="B5" s="89">
        <f>'TRX Portfolio'!B12*100</f>
        <v>34.479999999999997</v>
      </c>
      <c r="C5">
        <v>4</v>
      </c>
    </row>
    <row r="6" spans="1:3" x14ac:dyDescent="0.3">
      <c r="A6" t="str">
        <f>'TRX Portfolio'!A13</f>
        <v>Average Duration</v>
      </c>
      <c r="B6" s="90">
        <f>'TRX Portfolio'!B13</f>
        <v>1.66</v>
      </c>
      <c r="C6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TRX Fact Sheet Backup</vt:lpstr>
      <vt:lpstr>TRX Portfolio</vt:lpstr>
      <vt:lpstr>TRX_EXPORT_10kChart</vt:lpstr>
      <vt:lpstr>TRX_EXPORT_AnnualReturn</vt:lpstr>
      <vt:lpstr>TRX_EXPORT_PerformanceTable</vt:lpstr>
      <vt:lpstr>TRX_EXPORT_Perf&amp;RiskStatistics</vt:lpstr>
      <vt:lpstr>TRX_EXPORT_TopHoldings</vt:lpstr>
      <vt:lpstr>TRX_EXPORT_PortfolioAllocation</vt:lpstr>
      <vt:lpstr>TRX_EXPORT_PortCharacteristics</vt:lpstr>
      <vt:lpstr>TRX_EXPORT_PortfolioAssetAllo</vt:lpstr>
      <vt:lpstr>TRX_EXPORT_CapitalizationComp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jacob</cp:lastModifiedBy>
  <dcterms:created xsi:type="dcterms:W3CDTF">2016-07-08T19:14:18Z</dcterms:created>
  <dcterms:modified xsi:type="dcterms:W3CDTF">2021-01-21T18:18:54Z</dcterms:modified>
</cp:coreProperties>
</file>