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Users\jacob\Dropbox (Catalyst Funds)\Marketing Team Files\Marketing Materials\AutoCharts&amp;Tables\Backup Files\Rational\NUX\"/>
    </mc:Choice>
  </mc:AlternateContent>
  <xr:revisionPtr revIDLastSave="0" documentId="13_ncr:1_{9F8ABF02-91B5-407E-A3C8-6C2F49B006C4}" xr6:coauthVersionLast="45" xr6:coauthVersionMax="45" xr10:uidLastSave="{00000000-0000-0000-0000-000000000000}"/>
  <bookViews>
    <workbookView xWindow="28692" yWindow="-108" windowWidth="29016" windowHeight="15816" tabRatio="928" xr2:uid="{00000000-000D-0000-FFFF-FFFF00000000}"/>
  </bookViews>
  <sheets>
    <sheet name="NUX Return Data" sheetId="7" r:id="rId1"/>
    <sheet name="NUX - FACT SHEET" sheetId="4" r:id="rId2"/>
    <sheet name="NUX_EXPORT_AnnualReturn" sheetId="15" r:id="rId3"/>
    <sheet name="NUX_EXPORT_NUXPosVsNegPie" sheetId="10" r:id="rId4"/>
    <sheet name="NUX_EXPORT_SPPosVsNegPie" sheetId="11" r:id="rId5"/>
    <sheet name="NUX_EXPORT_PerformanceTable" sheetId="12" r:id="rId6"/>
    <sheet name="NUX_EXPORT_PerformanceBar" sheetId="13" r:id="rId7"/>
    <sheet name="NUX_EXPORT_ClassIRiskAnalysis" sheetId="14" r:id="rId8"/>
  </sheets>
  <externalReferences>
    <externalReference r:id="rId9"/>
  </externalReferences>
  <definedNames>
    <definedName name="__FDS_HYPERLINK_TOGGLE_STATE__" hidden="1">"ON"</definedName>
    <definedName name="__FDS_UNIQUE_RANGE_ID_GENERATOR_COUNTER" hidden="1">7</definedName>
    <definedName name="_1__FDSAUDITLINK__" hidden="1">{"fdsup://directions/FAT Viewer?action=UPDATE&amp;creator=factset&amp;DYN_ARGS=TRUE&amp;DOC_NAME=FAT:FQL_AUDITING_CLIENT_TEMPLATE.FAT&amp;display_string=Audit&amp;VAR:KEY=LSBADEBMNW&amp;VAR:QUERY=RkZfUEVfRElMKEFOTiw2LzMwLzIwMTEsNi8yOS8yMDEyLEFZKQ==&amp;WINDOW=FIRST_POPUP&amp;HEIGHT=450&amp;WI","DTH=450&amp;START_MAXIMIZED=FALSE&amp;VAR:CALENDAR=US&amp;VAR:SYMBOL=FNSXX&amp;VAR:INDEX=0"}</definedName>
    <definedName name="_2__FDSAUDITLINK__" hidden="1">{"fdsup://directions/FAT Viewer?action=UPDATE&amp;creator=factset&amp;DYN_ARGS=TRUE&amp;DOC_NAME=FAT:FQL_AUDITING_CLIENT_TEMPLATE.FAT&amp;display_string=Audit&amp;VAR:KEY=LCVWFIZGLE&amp;VAR:QUERY=RkZfUEVfRElMKEFOTiw2LzMwLzIwMTEsNi8yOS8yMDEyLEFZKQ==&amp;WINDOW=FIRST_POPUP&amp;HEIGHT=450&amp;WI","DTH=450&amp;START_MAXIMIZED=FALSE&amp;VAR:CALENDAR=US&amp;VAR:SYMBOL=AAPL&amp;VAR:INDEX=0"}</definedName>
    <definedName name="_3__FDSAUDITLINK__" hidden="1">{"fdsup://directions/FAT Viewer?action=UPDATE&amp;creator=factset&amp;DYN_ARGS=TRUE&amp;DOC_NAME=FAT:FQL_AUDITING_CLIENT_TEMPLATE.FAT&amp;display_string=Audit&amp;VAR:KEY=YLGNOZSPQD&amp;VAR:QUERY=RkZfUEVfRElMKENBTCwwNi8zMC8yMDExKQ==&amp;WINDOW=FIRST_POPUP&amp;HEIGHT=450&amp;WIDTH=450&amp;START_MA","XIMIZED=FALSE&amp;VAR:CALENDAR=US&amp;VAR:SYMBOL=HCA&amp;VAR:INDEX=0"}</definedName>
    <definedName name="_4__FDSAUDITLINK__" hidden="1">{"fdsup://directions/FAT Viewer?action=UPDATE&amp;creator=factset&amp;DYN_ARGS=TRUE&amp;DOC_NAME=FAT:FQL_AUDITING_CLIENT_TEMPLATE.FAT&amp;display_string=Audit&amp;VAR:KEY=ZYZGNKPSTA&amp;VAR:QUERY=RkZfUEVfRElMKEFOTiwxMi8zMC8yMDExLDA2LzI5LzIwMTIsQVkp&amp;WINDOW=FIRST_POPUP&amp;HEIGHT=450&amp;WI","DTH=450&amp;START_MAXIMIZED=FALSE&amp;VAR:CALENDAR=US&amp;VAR:SYMBOL=CHMT&amp;VAR:INDEX=0"}</definedName>
    <definedName name="_5__FDSAUDITLINK__" hidden="1">{"fdsup://directions/FAT Viewer?action=UPDATE&amp;creator=factset&amp;DYN_ARGS=TRUE&amp;DOC_NAME=FAT:FQL_AUDITING_CLIENT_TEMPLATE.FAT&amp;display_string=Audit&amp;VAR:KEY=YTILMLATQX&amp;VAR:QUERY=RkZfUEVfRElMKEFOTiwxMi8zMC8yMDExLDA2LzI5LzIwMTIsQVkp&amp;WINDOW=FIRST_POPUP&amp;HEIGHT=450&amp;WI","DTH=450&amp;START_MAXIMIZED=FALSE&amp;VAR:CALENDAR=US&amp;VAR:SYMBOL=FNSXX&amp;VAR:INDEX=0"}</definedName>
    <definedName name="_6__FDSAUDITLINK__" hidden="1">{"fdsup://directions/FAT Viewer?action=UPDATE&amp;creator=factset&amp;DYN_ARGS=TRUE&amp;DOC_NAME=FAT:FQL_AUDITING_CLIENT_TEMPLATE.FAT&amp;display_string=Audit&amp;VAR:KEY=EHQBUJUHER&amp;VAR:QUERY=RkZfUEVfRElMKEFOTiwwNi8zMC8yMDExLDA2LzI5LzIwMTIsQVkp&amp;WINDOW=FIRST_POPUP&amp;HEIGHT=450&amp;WI","DTH=450&amp;START_MAXIMIZED=FALSE&amp;VAR:CALENDAR=US&amp;VAR:SYMBOL=HSY&amp;VAR:INDEX=0"}</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1" i="4" l="1"/>
  <c r="E41" i="4"/>
  <c r="F40" i="4"/>
  <c r="E40" i="4"/>
  <c r="F39" i="4"/>
  <c r="E39" i="4"/>
  <c r="J36" i="4"/>
  <c r="I36" i="4"/>
  <c r="H36" i="4"/>
  <c r="G36" i="4"/>
  <c r="F36" i="4"/>
  <c r="E36" i="4"/>
  <c r="D36" i="4"/>
  <c r="I35" i="4"/>
  <c r="H35" i="4"/>
  <c r="G35" i="4"/>
  <c r="F35" i="4"/>
  <c r="E35" i="4"/>
  <c r="D35" i="4"/>
  <c r="H28" i="4"/>
  <c r="G28" i="4"/>
  <c r="F28" i="4"/>
  <c r="E28" i="4"/>
  <c r="G7" i="4" s="1"/>
  <c r="D28" i="4"/>
  <c r="G27" i="4"/>
  <c r="F27" i="4"/>
  <c r="E27" i="4"/>
  <c r="D27" i="4"/>
  <c r="F6" i="4" s="1"/>
  <c r="G26" i="4"/>
  <c r="E9" i="4" s="1"/>
  <c r="F26" i="4"/>
  <c r="D26" i="4"/>
  <c r="E6" i="4" s="1"/>
  <c r="E23" i="4"/>
  <c r="D23" i="4"/>
  <c r="C23" i="4"/>
  <c r="E20" i="4"/>
  <c r="E19" i="4"/>
  <c r="D19" i="4"/>
  <c r="E18" i="4"/>
  <c r="D18" i="4"/>
  <c r="E17" i="4"/>
  <c r="D17" i="4"/>
  <c r="C17" i="4"/>
  <c r="E16" i="4"/>
  <c r="D16" i="4"/>
  <c r="C16" i="4"/>
  <c r="E15" i="4"/>
  <c r="D15" i="4"/>
  <c r="C15" i="4"/>
  <c r="E14" i="4"/>
  <c r="D14" i="4"/>
  <c r="C14" i="4"/>
  <c r="E13" i="4"/>
  <c r="D13" i="4"/>
  <c r="C13" i="4"/>
  <c r="G10" i="4"/>
  <c r="F10" i="4"/>
  <c r="E10" i="4"/>
  <c r="D10" i="4"/>
  <c r="G9" i="4"/>
  <c r="F9" i="4"/>
  <c r="D9" i="4"/>
  <c r="G8" i="4"/>
  <c r="F8" i="4"/>
  <c r="E8" i="4"/>
  <c r="D8" i="4"/>
  <c r="F7" i="4"/>
  <c r="E7" i="4"/>
  <c r="D7" i="4"/>
  <c r="G6" i="4"/>
  <c r="D6" i="4"/>
  <c r="G5" i="4"/>
  <c r="F5" i="4"/>
  <c r="E5" i="4"/>
  <c r="D4" i="4"/>
  <c r="J93" i="7"/>
  <c r="F93" i="7"/>
  <c r="E93" i="7"/>
  <c r="D93" i="7"/>
  <c r="J92" i="7"/>
  <c r="F92" i="7"/>
  <c r="E92" i="7"/>
  <c r="D92" i="7"/>
  <c r="J91" i="7"/>
  <c r="F91" i="7"/>
  <c r="E91" i="7"/>
  <c r="D91" i="7"/>
  <c r="J90" i="7"/>
  <c r="F90" i="7"/>
  <c r="E90" i="7"/>
  <c r="D90" i="7"/>
  <c r="J89" i="7"/>
  <c r="F89" i="7"/>
  <c r="E89" i="7"/>
  <c r="D89" i="7"/>
  <c r="J88" i="7"/>
  <c r="F88" i="7"/>
  <c r="E88" i="7"/>
  <c r="D88" i="7"/>
  <c r="J87" i="7"/>
  <c r="F87" i="7"/>
  <c r="E87" i="7"/>
  <c r="D87" i="7"/>
  <c r="J86" i="7"/>
  <c r="F86" i="7"/>
  <c r="E86" i="7"/>
  <c r="D86" i="7"/>
  <c r="J85" i="7"/>
  <c r="F85" i="7"/>
  <c r="E85" i="7"/>
  <c r="D85" i="7"/>
  <c r="J84" i="7"/>
  <c r="F84" i="7"/>
  <c r="E84" i="7"/>
  <c r="D84" i="7"/>
  <c r="J83" i="7"/>
  <c r="F83" i="7"/>
  <c r="E83" i="7"/>
  <c r="D83" i="7"/>
  <c r="J82" i="7"/>
  <c r="F82" i="7"/>
  <c r="E82" i="7"/>
  <c r="D82" i="7"/>
  <c r="J81" i="7"/>
  <c r="F81" i="7"/>
  <c r="E81" i="7"/>
  <c r="D81" i="7"/>
  <c r="J80" i="7"/>
  <c r="F80" i="7"/>
  <c r="E80" i="7"/>
  <c r="D80" i="7"/>
  <c r="J79" i="7"/>
  <c r="F79" i="7"/>
  <c r="E79" i="7"/>
  <c r="D79" i="7"/>
  <c r="J78" i="7"/>
  <c r="F78" i="7"/>
  <c r="E78" i="7"/>
  <c r="D78" i="7"/>
  <c r="J77" i="7"/>
  <c r="F77" i="7"/>
  <c r="E77" i="7"/>
  <c r="D77" i="7"/>
  <c r="J76" i="7"/>
  <c r="F76" i="7"/>
  <c r="E76" i="7"/>
  <c r="D76" i="7"/>
  <c r="J75" i="7"/>
  <c r="F75" i="7"/>
  <c r="E75" i="7"/>
  <c r="D75" i="7"/>
  <c r="J74" i="7"/>
  <c r="F74" i="7"/>
  <c r="E74" i="7"/>
  <c r="D74" i="7"/>
  <c r="J73" i="7"/>
  <c r="F73" i="7"/>
  <c r="E73" i="7"/>
  <c r="D73" i="7"/>
  <c r="J72" i="7"/>
  <c r="F72" i="7"/>
  <c r="E72" i="7"/>
  <c r="D72" i="7"/>
  <c r="J71" i="7"/>
  <c r="F71" i="7"/>
  <c r="E71" i="7"/>
  <c r="D71" i="7"/>
  <c r="J70" i="7"/>
  <c r="F70" i="7"/>
  <c r="E70" i="7"/>
  <c r="D70" i="7"/>
  <c r="J69" i="7"/>
  <c r="F69" i="7"/>
  <c r="E69" i="7"/>
  <c r="D69" i="7"/>
  <c r="J68" i="7"/>
  <c r="F68" i="7"/>
  <c r="E68" i="7"/>
  <c r="D68" i="7"/>
  <c r="J67" i="7"/>
  <c r="F67" i="7"/>
  <c r="E67" i="7"/>
  <c r="D67" i="7"/>
  <c r="J66" i="7"/>
  <c r="F66" i="7"/>
  <c r="E66" i="7"/>
  <c r="D66" i="7"/>
  <c r="J65" i="7"/>
  <c r="F65" i="7"/>
  <c r="E65" i="7"/>
  <c r="D65" i="7"/>
  <c r="J64" i="7"/>
  <c r="F64" i="7"/>
  <c r="E64" i="7"/>
  <c r="D64" i="7"/>
  <c r="J63" i="7"/>
  <c r="F63" i="7"/>
  <c r="E63" i="7"/>
  <c r="D63" i="7"/>
  <c r="J62" i="7"/>
  <c r="F62" i="7"/>
  <c r="E62" i="7"/>
  <c r="D62" i="7"/>
  <c r="J61" i="7"/>
  <c r="F61" i="7"/>
  <c r="E61" i="7"/>
  <c r="D61" i="7"/>
  <c r="J60" i="7"/>
  <c r="F60" i="7"/>
  <c r="E60" i="7"/>
  <c r="D60" i="7"/>
  <c r="J59" i="7"/>
  <c r="F59" i="7"/>
  <c r="E59" i="7"/>
  <c r="D59" i="7"/>
  <c r="J58" i="7"/>
  <c r="F58" i="7"/>
  <c r="E58" i="7"/>
  <c r="D58" i="7"/>
  <c r="J57" i="7"/>
  <c r="F57" i="7"/>
  <c r="E57" i="7"/>
  <c r="D57" i="7"/>
  <c r="J56" i="7"/>
  <c r="F56" i="7"/>
  <c r="E56" i="7"/>
  <c r="D56" i="7"/>
  <c r="J55" i="7"/>
  <c r="F55" i="7"/>
  <c r="E55" i="7"/>
  <c r="D55" i="7"/>
  <c r="J54" i="7"/>
  <c r="F54" i="7"/>
  <c r="E54" i="7"/>
  <c r="D54" i="7"/>
  <c r="J53" i="7"/>
  <c r="F53" i="7"/>
  <c r="E53" i="7"/>
  <c r="D53" i="7"/>
  <c r="J52" i="7"/>
  <c r="F52" i="7"/>
  <c r="E52" i="7"/>
  <c r="D52" i="7"/>
  <c r="J51" i="7"/>
  <c r="F51" i="7"/>
  <c r="E51" i="7"/>
  <c r="D51" i="7"/>
  <c r="J50" i="7"/>
  <c r="F50" i="7"/>
  <c r="E50" i="7"/>
  <c r="D50" i="7"/>
  <c r="J49" i="7"/>
  <c r="F49" i="7"/>
  <c r="E49" i="7"/>
  <c r="D49" i="7"/>
  <c r="J48" i="7"/>
  <c r="F48" i="7"/>
  <c r="E48" i="7"/>
  <c r="D48" i="7"/>
  <c r="J47" i="7"/>
  <c r="F47" i="7"/>
  <c r="E47" i="7"/>
  <c r="D47" i="7"/>
  <c r="J46" i="7"/>
  <c r="F46" i="7"/>
  <c r="E46" i="7"/>
  <c r="D46" i="7"/>
  <c r="J45" i="7"/>
  <c r="F45" i="7"/>
  <c r="E45" i="7"/>
  <c r="D45" i="7"/>
  <c r="J44" i="7"/>
  <c r="F44" i="7"/>
  <c r="E44" i="7"/>
  <c r="D44" i="7"/>
  <c r="J43" i="7"/>
  <c r="F43" i="7"/>
  <c r="E43" i="7"/>
  <c r="D43" i="7"/>
  <c r="J42" i="7"/>
  <c r="F42" i="7"/>
  <c r="E42" i="7"/>
  <c r="D42" i="7"/>
  <c r="J41" i="7"/>
  <c r="F41" i="7"/>
  <c r="E41" i="7"/>
  <c r="D41" i="7"/>
  <c r="J40" i="7"/>
  <c r="F40" i="7"/>
  <c r="E40" i="7"/>
  <c r="D40" i="7"/>
  <c r="J39" i="7"/>
  <c r="F39" i="7"/>
  <c r="E39" i="7"/>
  <c r="D39" i="7"/>
  <c r="J38" i="7"/>
  <c r="F38" i="7"/>
  <c r="E38" i="7"/>
  <c r="D38" i="7"/>
  <c r="O37" i="7"/>
  <c r="J37" i="7"/>
  <c r="F37" i="7"/>
  <c r="E37" i="7"/>
  <c r="D37" i="7"/>
  <c r="J36" i="7"/>
  <c r="F36" i="7"/>
  <c r="E36" i="7"/>
  <c r="D36" i="7"/>
  <c r="J35" i="7"/>
  <c r="F35" i="7"/>
  <c r="E35" i="7"/>
  <c r="D35" i="7"/>
  <c r="J34" i="7"/>
  <c r="F34" i="7"/>
  <c r="E34" i="7"/>
  <c r="D34" i="7"/>
  <c r="J33" i="7"/>
  <c r="F33" i="7"/>
  <c r="E33" i="7"/>
  <c r="D33" i="7"/>
  <c r="J32" i="7"/>
  <c r="F32" i="7"/>
  <c r="E32" i="7"/>
  <c r="D32" i="7"/>
  <c r="O31" i="7"/>
  <c r="O32" i="7" s="1"/>
  <c r="O33" i="7" s="1"/>
  <c r="O34" i="7" s="1"/>
  <c r="J31" i="7"/>
  <c r="F31" i="7"/>
  <c r="E31" i="7"/>
  <c r="D31" i="7"/>
  <c r="J30" i="7"/>
  <c r="F30" i="7"/>
  <c r="E30" i="7"/>
  <c r="D30" i="7"/>
  <c r="J29" i="7"/>
  <c r="F29" i="7"/>
  <c r="E29" i="7"/>
  <c r="D29" i="7"/>
  <c r="J28" i="7"/>
  <c r="F28" i="7"/>
  <c r="E28" i="7"/>
  <c r="D28" i="7"/>
  <c r="J27" i="7"/>
  <c r="F27" i="7"/>
  <c r="E27" i="7"/>
  <c r="D27" i="7"/>
  <c r="O26" i="7"/>
  <c r="J26" i="7"/>
  <c r="F26" i="7"/>
  <c r="E26" i="7"/>
  <c r="D26" i="7"/>
  <c r="O25" i="7"/>
  <c r="J25" i="7"/>
  <c r="F25" i="7"/>
  <c r="E25" i="7"/>
  <c r="D25" i="7"/>
  <c r="O24" i="7"/>
  <c r="J24" i="7"/>
  <c r="F24" i="7"/>
  <c r="E24" i="7"/>
  <c r="D24" i="7"/>
  <c r="O23" i="7"/>
  <c r="J23" i="7"/>
  <c r="F23" i="7"/>
  <c r="E23" i="7"/>
  <c r="D23" i="7"/>
  <c r="O22" i="7"/>
  <c r="J22" i="7"/>
  <c r="F22" i="7"/>
  <c r="E22" i="7"/>
  <c r="D22" i="7"/>
  <c r="O21" i="7"/>
  <c r="J21" i="7"/>
  <c r="F21" i="7"/>
  <c r="E21" i="7"/>
  <c r="D21" i="7"/>
  <c r="J20" i="7"/>
  <c r="F20" i="7"/>
  <c r="E20" i="7"/>
  <c r="D20" i="7"/>
  <c r="S19" i="7"/>
  <c r="P19" i="7"/>
  <c r="S28" i="7" s="1"/>
  <c r="J19" i="7"/>
  <c r="F19" i="7"/>
  <c r="E19" i="7"/>
  <c r="R7" i="7" s="1"/>
  <c r="D19" i="7"/>
  <c r="J18" i="7"/>
  <c r="F18" i="7"/>
  <c r="E18" i="7"/>
  <c r="D18" i="7"/>
  <c r="J17" i="7"/>
  <c r="F17" i="7"/>
  <c r="E17" i="7"/>
  <c r="D17" i="7"/>
  <c r="J16" i="7"/>
  <c r="F16" i="7"/>
  <c r="E16" i="7"/>
  <c r="D16" i="7"/>
  <c r="J15" i="7"/>
  <c r="F15" i="7"/>
  <c r="E15" i="7"/>
  <c r="D15" i="7"/>
  <c r="P14" i="7"/>
  <c r="J14" i="7"/>
  <c r="F14" i="7"/>
  <c r="E14" i="7"/>
  <c r="D14" i="7"/>
  <c r="J13" i="7"/>
  <c r="F13" i="7"/>
  <c r="E13" i="7"/>
  <c r="D13" i="7"/>
  <c r="P12" i="7"/>
  <c r="J12" i="7"/>
  <c r="F12" i="7"/>
  <c r="E12" i="7"/>
  <c r="D12" i="7"/>
  <c r="J11" i="7"/>
  <c r="F11" i="7"/>
  <c r="E11" i="7"/>
  <c r="D11" i="7"/>
  <c r="J10" i="7"/>
  <c r="F10" i="7"/>
  <c r="E10" i="7"/>
  <c r="D10" i="7"/>
  <c r="J9" i="7"/>
  <c r="F9" i="7"/>
  <c r="E9" i="7"/>
  <c r="D9" i="7"/>
  <c r="J8" i="7"/>
  <c r="F8" i="7"/>
  <c r="E8" i="7"/>
  <c r="D8" i="7"/>
  <c r="J7" i="7"/>
  <c r="F7" i="7"/>
  <c r="E7" i="7"/>
  <c r="D7" i="7"/>
  <c r="Q6" i="7"/>
  <c r="P6" i="7"/>
  <c r="J6" i="7"/>
  <c r="F6" i="7"/>
  <c r="E6" i="7"/>
  <c r="D6" i="7"/>
  <c r="J5" i="7"/>
  <c r="F5" i="7"/>
  <c r="E5" i="7"/>
  <c r="D5" i="7"/>
  <c r="Q7" i="7" s="1"/>
  <c r="J4" i="7"/>
  <c r="P16" i="7" s="1"/>
  <c r="F4" i="7"/>
  <c r="E4" i="7"/>
  <c r="D4" i="7"/>
  <c r="H4" i="7" s="1"/>
  <c r="K4" i="7" s="1"/>
  <c r="A4" i="7"/>
  <c r="K36" i="4" l="1"/>
  <c r="D20" i="4"/>
  <c r="A5" i="7"/>
  <c r="O49" i="7"/>
  <c r="O39" i="7"/>
  <c r="P7" i="7"/>
  <c r="P8" i="7"/>
  <c r="Q14" i="7"/>
  <c r="P28" i="7"/>
  <c r="R8" i="7"/>
  <c r="R14" i="7"/>
  <c r="R12" i="7"/>
  <c r="H5" i="7"/>
  <c r="I4" i="7"/>
  <c r="B4" i="14"/>
  <c r="B3" i="14"/>
  <c r="B2" i="14"/>
  <c r="H6" i="7" l="1"/>
  <c r="K5" i="7"/>
  <c r="L4" i="7"/>
  <c r="I5" i="7"/>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P4" i="7" l="1"/>
  <c r="P20" i="7"/>
  <c r="P21" i="7"/>
  <c r="Q25" i="7"/>
  <c r="Q29" i="7" s="1"/>
  <c r="P32" i="7"/>
  <c r="P25" i="7"/>
  <c r="P29" i="7" s="1"/>
  <c r="P37" i="7"/>
  <c r="P33" i="7"/>
  <c r="S33" i="7" s="1"/>
  <c r="O43" i="7" s="1"/>
  <c r="P36" i="7"/>
  <c r="P31" i="7"/>
  <c r="P26" i="7"/>
  <c r="P34" i="7"/>
  <c r="S34" i="7" s="1"/>
  <c r="O44" i="7" s="1"/>
  <c r="P30" i="7"/>
  <c r="S30" i="7" s="1"/>
  <c r="H7" i="7"/>
  <c r="K6" i="7"/>
  <c r="I6" i="7"/>
  <c r="L5" i="7"/>
  <c r="P35" i="7"/>
  <c r="S35" i="7" s="1"/>
  <c r="O45" i="7" s="1"/>
  <c r="P24" i="7"/>
  <c r="P23" i="7"/>
  <c r="R25" i="7"/>
  <c r="R29" i="7" s="1"/>
  <c r="P22" i="7"/>
  <c r="A9" i="15"/>
  <c r="O40" i="7" l="1"/>
  <c r="S31" i="7"/>
  <c r="O41" i="7" s="1"/>
  <c r="S25" i="7"/>
  <c r="P10" i="7" s="1"/>
  <c r="S24" i="7"/>
  <c r="S23" i="7"/>
  <c r="S22" i="7"/>
  <c r="S21" i="7"/>
  <c r="S20" i="7"/>
  <c r="P9" i="7"/>
  <c r="S36" i="7"/>
  <c r="O46" i="7" s="1"/>
  <c r="K7" i="7"/>
  <c r="H8" i="7"/>
  <c r="I7" i="7"/>
  <c r="L6" i="7"/>
  <c r="S37" i="7"/>
  <c r="O47" i="7" s="1"/>
  <c r="S32" i="7"/>
  <c r="O42" i="7" s="1"/>
  <c r="P15" i="7"/>
  <c r="Q15" i="7"/>
  <c r="R15" i="7"/>
  <c r="C5" i="12"/>
  <c r="D5" i="12"/>
  <c r="E5" i="12"/>
  <c r="F5" i="12"/>
  <c r="C6" i="12"/>
  <c r="D6" i="12"/>
  <c r="E6" i="12"/>
  <c r="F6" i="12"/>
  <c r="D7" i="12"/>
  <c r="E7" i="12"/>
  <c r="F7" i="12"/>
  <c r="B5" i="12"/>
  <c r="B6" i="12"/>
  <c r="A3" i="12"/>
  <c r="A4" i="12"/>
  <c r="A5" i="12"/>
  <c r="A6" i="12"/>
  <c r="A2" i="12"/>
  <c r="I8" i="7" l="1"/>
  <c r="L7" i="7"/>
  <c r="P13" i="7"/>
  <c r="H9" i="7"/>
  <c r="K8" i="7"/>
  <c r="O50" i="7"/>
  <c r="B2" i="10" s="1"/>
  <c r="B3" i="10" s="1"/>
  <c r="L8" i="7" l="1"/>
  <c r="I9" i="7"/>
  <c r="K9" i="7"/>
  <c r="H10" i="7"/>
  <c r="C8" i="15"/>
  <c r="C9" i="15"/>
  <c r="H11" i="7" l="1"/>
  <c r="K10" i="7"/>
  <c r="L9" i="7"/>
  <c r="I10" i="7"/>
  <c r="B6" i="13"/>
  <c r="F2" i="12"/>
  <c r="E2" i="12"/>
  <c r="B5" i="13"/>
  <c r="D2" i="12"/>
  <c r="B4" i="13"/>
  <c r="B3" i="13"/>
  <c r="C2" i="12"/>
  <c r="I11" i="7" l="1"/>
  <c r="L10" i="7"/>
  <c r="H12" i="7"/>
  <c r="K11" i="7"/>
  <c r="C2" i="15"/>
  <c r="B7" i="15"/>
  <c r="B6" i="15"/>
  <c r="B5" i="15"/>
  <c r="B2" i="15"/>
  <c r="H13" i="7" l="1"/>
  <c r="K12" i="7"/>
  <c r="Q30" i="7"/>
  <c r="T30" i="7" s="1"/>
  <c r="I12" i="7"/>
  <c r="L11" i="7"/>
  <c r="B2" i="12"/>
  <c r="B2" i="13"/>
  <c r="B8" i="15"/>
  <c r="B9" i="15"/>
  <c r="B3" i="15"/>
  <c r="B4" i="15"/>
  <c r="I13" i="7" l="1"/>
  <c r="L12" i="7"/>
  <c r="R30" i="7"/>
  <c r="U30" i="7" s="1"/>
  <c r="P40" i="7" s="1"/>
  <c r="H14" i="7"/>
  <c r="K13" i="7"/>
  <c r="C3" i="15"/>
  <c r="H15" i="7" l="1"/>
  <c r="K14" i="7"/>
  <c r="I14" i="7"/>
  <c r="L13" i="7"/>
  <c r="C4" i="15"/>
  <c r="L14" i="7" l="1"/>
  <c r="I15" i="7"/>
  <c r="H16" i="7"/>
  <c r="K15" i="7"/>
  <c r="C5" i="15"/>
  <c r="H17" i="7" l="1"/>
  <c r="K16" i="7"/>
  <c r="I16" i="7"/>
  <c r="L15" i="7"/>
  <c r="C6" i="15"/>
  <c r="I17" i="7" l="1"/>
  <c r="L16" i="7"/>
  <c r="H18" i="7"/>
  <c r="K17" i="7"/>
  <c r="C7" i="15"/>
  <c r="H19" i="7" l="1"/>
  <c r="K18" i="7"/>
  <c r="I18" i="7"/>
  <c r="L17" i="7"/>
  <c r="B4" i="12"/>
  <c r="D2" i="13"/>
  <c r="D5" i="13"/>
  <c r="E4" i="12"/>
  <c r="D4" i="12"/>
  <c r="D4" i="13"/>
  <c r="C4" i="12"/>
  <c r="D3" i="13"/>
  <c r="L18" i="7" l="1"/>
  <c r="I19" i="7"/>
  <c r="H20" i="7"/>
  <c r="K19" i="7"/>
  <c r="C4" i="13"/>
  <c r="D3" i="12"/>
  <c r="B3" i="12"/>
  <c r="C2" i="13"/>
  <c r="E3" i="12"/>
  <c r="C5" i="13"/>
  <c r="C3" i="13"/>
  <c r="C3" i="12"/>
  <c r="D6" i="13"/>
  <c r="F4" i="12"/>
  <c r="C7" i="12"/>
  <c r="B7" i="12"/>
  <c r="H21" i="7" l="1"/>
  <c r="K20" i="7"/>
  <c r="I20" i="7"/>
  <c r="L19" i="7"/>
  <c r="C6" i="13"/>
  <c r="F3" i="12"/>
  <c r="I21" i="7" l="1"/>
  <c r="L20" i="7"/>
  <c r="K21" i="7"/>
  <c r="H22" i="7"/>
  <c r="K22" i="7" l="1"/>
  <c r="H23" i="7"/>
  <c r="I22" i="7"/>
  <c r="L21" i="7"/>
  <c r="H24" i="7" l="1"/>
  <c r="K23" i="7"/>
  <c r="I23" i="7"/>
  <c r="L22" i="7"/>
  <c r="I24" i="7" l="1"/>
  <c r="L23" i="7"/>
  <c r="H25" i="7"/>
  <c r="K24" i="7"/>
  <c r="Q31" i="7"/>
  <c r="T31" i="7" s="1"/>
  <c r="K25" i="7" l="1"/>
  <c r="H26" i="7"/>
  <c r="I25" i="7"/>
  <c r="L24" i="7"/>
  <c r="R31" i="7"/>
  <c r="U31" i="7" s="1"/>
  <c r="P41" i="7" s="1"/>
  <c r="I26" i="7" l="1"/>
  <c r="L25" i="7"/>
  <c r="H27" i="7"/>
  <c r="K26" i="7"/>
  <c r="H28" i="7" l="1"/>
  <c r="K27" i="7"/>
  <c r="I27" i="7"/>
  <c r="L26" i="7"/>
  <c r="L27" i="7" l="1"/>
  <c r="I28" i="7"/>
  <c r="H29" i="7"/>
  <c r="K28" i="7"/>
  <c r="H30" i="7" l="1"/>
  <c r="K29" i="7"/>
  <c r="I29" i="7"/>
  <c r="L28" i="7"/>
  <c r="I30" i="7" l="1"/>
  <c r="L29" i="7"/>
  <c r="H31" i="7"/>
  <c r="K30" i="7"/>
  <c r="H32" i="7" l="1"/>
  <c r="K31" i="7"/>
  <c r="L30" i="7"/>
  <c r="I31" i="7"/>
  <c r="L31" i="7" l="1"/>
  <c r="I32" i="7"/>
  <c r="H33" i="7"/>
  <c r="K32" i="7"/>
  <c r="H34" i="7" l="1"/>
  <c r="K33" i="7"/>
  <c r="Q24" i="7"/>
  <c r="I33" i="7"/>
  <c r="L32" i="7"/>
  <c r="I34" i="7" l="1"/>
  <c r="L33" i="7"/>
  <c r="R24" i="7"/>
  <c r="H35" i="7"/>
  <c r="K34" i="7"/>
  <c r="K35" i="7" l="1"/>
  <c r="H36" i="7"/>
  <c r="I35" i="7"/>
  <c r="L34" i="7"/>
  <c r="I36" i="7" l="1"/>
  <c r="L35" i="7"/>
  <c r="H37" i="7"/>
  <c r="K36" i="7"/>
  <c r="Q32" i="7"/>
  <c r="T32" i="7" s="1"/>
  <c r="K37" i="7" l="1"/>
  <c r="H38" i="7"/>
  <c r="L36" i="7"/>
  <c r="I37" i="7"/>
  <c r="R32" i="7"/>
  <c r="U32" i="7" s="1"/>
  <c r="P42" i="7" s="1"/>
  <c r="I38" i="7" l="1"/>
  <c r="L37" i="7"/>
  <c r="K38" i="7"/>
  <c r="H39" i="7"/>
  <c r="H40" i="7" l="1"/>
  <c r="K39" i="7"/>
  <c r="L38" i="7"/>
  <c r="I39" i="7"/>
  <c r="I40" i="7" l="1"/>
  <c r="L39" i="7"/>
  <c r="K40" i="7"/>
  <c r="H41" i="7"/>
  <c r="H42" i="7" l="1"/>
  <c r="K41" i="7"/>
  <c r="I41" i="7"/>
  <c r="L40" i="7"/>
  <c r="L41" i="7" l="1"/>
  <c r="I42" i="7"/>
  <c r="K42" i="7"/>
  <c r="H43" i="7"/>
  <c r="H44" i="7" l="1"/>
  <c r="K43" i="7"/>
  <c r="L42" i="7"/>
  <c r="I43" i="7"/>
  <c r="I44" i="7" l="1"/>
  <c r="L43" i="7"/>
  <c r="K44" i="7"/>
  <c r="H45" i="7"/>
  <c r="K45" i="7" l="1"/>
  <c r="H46" i="7"/>
  <c r="I45" i="7"/>
  <c r="L44" i="7"/>
  <c r="L45" i="7" l="1"/>
  <c r="I46" i="7"/>
  <c r="H47" i="7"/>
  <c r="K46" i="7"/>
  <c r="H48" i="7" l="1"/>
  <c r="K47" i="7"/>
  <c r="L46" i="7"/>
  <c r="I47" i="7"/>
  <c r="L47" i="7" l="1"/>
  <c r="I48" i="7"/>
  <c r="H49" i="7"/>
  <c r="K48" i="7"/>
  <c r="Q33" i="7"/>
  <c r="T33" i="7" s="1"/>
  <c r="K49" i="7" l="1"/>
  <c r="H50" i="7"/>
  <c r="L48" i="7"/>
  <c r="I49" i="7"/>
  <c r="R33" i="7"/>
  <c r="U33" i="7" s="1"/>
  <c r="P43" i="7" s="1"/>
  <c r="I50" i="7" l="1"/>
  <c r="L49" i="7"/>
  <c r="K50" i="7"/>
  <c r="H51" i="7"/>
  <c r="K51" i="7" l="1"/>
  <c r="H52" i="7"/>
  <c r="L50" i="7"/>
  <c r="I51" i="7"/>
  <c r="I52" i="7" l="1"/>
  <c r="L51" i="7"/>
  <c r="H53" i="7"/>
  <c r="K52" i="7"/>
  <c r="H54" i="7" l="1"/>
  <c r="K53" i="7"/>
  <c r="L52" i="7"/>
  <c r="I53" i="7"/>
  <c r="L53" i="7" l="1"/>
  <c r="I54" i="7"/>
  <c r="K54" i="7"/>
  <c r="H55" i="7"/>
  <c r="L54" i="7" l="1"/>
  <c r="I55" i="7"/>
  <c r="K55" i="7"/>
  <c r="H56" i="7"/>
  <c r="H57" i="7" l="1"/>
  <c r="K56" i="7"/>
  <c r="I56" i="7"/>
  <c r="L55" i="7"/>
  <c r="L56" i="7" l="1"/>
  <c r="I57" i="7"/>
  <c r="K57" i="7"/>
  <c r="H58" i="7"/>
  <c r="Q23" i="7"/>
  <c r="K58" i="7" l="1"/>
  <c r="H59" i="7"/>
  <c r="L57" i="7"/>
  <c r="I58" i="7"/>
  <c r="R23" i="7"/>
  <c r="I59" i="7" l="1"/>
  <c r="L58" i="7"/>
  <c r="H60" i="7"/>
  <c r="K59" i="7"/>
  <c r="H61" i="7" l="1"/>
  <c r="K60" i="7"/>
  <c r="Q34" i="7"/>
  <c r="T34" i="7" s="1"/>
  <c r="I60" i="7"/>
  <c r="L59" i="7"/>
  <c r="I61" i="7" l="1"/>
  <c r="L60" i="7"/>
  <c r="R34" i="7"/>
  <c r="U34" i="7" s="1"/>
  <c r="P44" i="7" s="1"/>
  <c r="K61" i="7"/>
  <c r="H62" i="7"/>
  <c r="K62" i="7" l="1"/>
  <c r="H63" i="7"/>
  <c r="L61" i="7"/>
  <c r="I62" i="7"/>
  <c r="I63" i="7" l="1"/>
  <c r="L62" i="7"/>
  <c r="H64" i="7"/>
  <c r="K63" i="7"/>
  <c r="H65" i="7" l="1"/>
  <c r="K64" i="7"/>
  <c r="I64" i="7"/>
  <c r="L63" i="7"/>
  <c r="L64" i="7" l="1"/>
  <c r="I65" i="7"/>
  <c r="K65" i="7"/>
  <c r="H66" i="7"/>
  <c r="K66" i="7" l="1"/>
  <c r="H67" i="7"/>
  <c r="L65" i="7"/>
  <c r="I66" i="7"/>
  <c r="I67" i="7" l="1"/>
  <c r="L66" i="7"/>
  <c r="H68" i="7"/>
  <c r="K67" i="7"/>
  <c r="H69" i="7" l="1"/>
  <c r="K68" i="7"/>
  <c r="I68" i="7"/>
  <c r="L67" i="7"/>
  <c r="L68" i="7" l="1"/>
  <c r="I69" i="7"/>
  <c r="K69" i="7"/>
  <c r="H70" i="7"/>
  <c r="L69" i="7" l="1"/>
  <c r="I70" i="7"/>
  <c r="K70" i="7"/>
  <c r="H71" i="7"/>
  <c r="I71" i="7" l="1"/>
  <c r="L70" i="7"/>
  <c r="H72" i="7"/>
  <c r="K71" i="7"/>
  <c r="H73" i="7" l="1"/>
  <c r="K72" i="7"/>
  <c r="Q35" i="7"/>
  <c r="T35" i="7" s="1"/>
  <c r="I72" i="7"/>
  <c r="L71" i="7"/>
  <c r="L72" i="7" l="1"/>
  <c r="I73" i="7"/>
  <c r="R35" i="7"/>
  <c r="U35" i="7" s="1"/>
  <c r="P45" i="7" s="1"/>
  <c r="K73" i="7"/>
  <c r="H74" i="7"/>
  <c r="K74" i="7" l="1"/>
  <c r="H75" i="7"/>
  <c r="L73" i="7"/>
  <c r="I74" i="7"/>
  <c r="I75" i="7" l="1"/>
  <c r="L74" i="7"/>
  <c r="H76" i="7"/>
  <c r="K75" i="7"/>
  <c r="H77" i="7" l="1"/>
  <c r="K76" i="7"/>
  <c r="I76" i="7"/>
  <c r="L75" i="7"/>
  <c r="L76" i="7" l="1"/>
  <c r="I77" i="7"/>
  <c r="K77" i="7"/>
  <c r="H78" i="7"/>
  <c r="K78" i="7" l="1"/>
  <c r="H79" i="7"/>
  <c r="L77" i="7"/>
  <c r="I78" i="7"/>
  <c r="I79" i="7" l="1"/>
  <c r="L78" i="7"/>
  <c r="H80" i="7"/>
  <c r="K79" i="7"/>
  <c r="H81" i="7" l="1"/>
  <c r="K80" i="7"/>
  <c r="I80" i="7"/>
  <c r="L79" i="7"/>
  <c r="L80" i="7" l="1"/>
  <c r="I81" i="7"/>
  <c r="K81" i="7"/>
  <c r="H82" i="7"/>
  <c r="Q22" i="7"/>
  <c r="K82" i="7" l="1"/>
  <c r="H83" i="7"/>
  <c r="L81" i="7"/>
  <c r="I82" i="7"/>
  <c r="R22" i="7"/>
  <c r="I83" i="7" l="1"/>
  <c r="L82" i="7"/>
  <c r="H84" i="7"/>
  <c r="K83" i="7"/>
  <c r="H85" i="7" l="1"/>
  <c r="K84" i="7"/>
  <c r="Q36" i="7"/>
  <c r="T36" i="7" s="1"/>
  <c r="Q20" i="7"/>
  <c r="I84" i="7"/>
  <c r="L83" i="7"/>
  <c r="L84" i="7" l="1"/>
  <c r="I85" i="7"/>
  <c r="R20" i="7"/>
  <c r="R36" i="7"/>
  <c r="U36" i="7" s="1"/>
  <c r="P46" i="7" s="1"/>
  <c r="K85" i="7"/>
  <c r="H86" i="7"/>
  <c r="L85" i="7" l="1"/>
  <c r="I86" i="7"/>
  <c r="K86" i="7"/>
  <c r="H87" i="7"/>
  <c r="H88" i="7" l="1"/>
  <c r="K87" i="7"/>
  <c r="I87" i="7"/>
  <c r="L86" i="7"/>
  <c r="I88" i="7" l="1"/>
  <c r="L87" i="7"/>
  <c r="H89" i="7"/>
  <c r="K88" i="7"/>
  <c r="K89" i="7" l="1"/>
  <c r="H90" i="7"/>
  <c r="L88" i="7"/>
  <c r="I89" i="7"/>
  <c r="L89" i="7" l="1"/>
  <c r="I90" i="7"/>
  <c r="K90" i="7"/>
  <c r="H91" i="7"/>
  <c r="Q21" i="7"/>
  <c r="H92" i="7" l="1"/>
  <c r="K91" i="7"/>
  <c r="I91" i="7"/>
  <c r="L90" i="7"/>
  <c r="R21" i="7"/>
  <c r="I92" i="7" l="1"/>
  <c r="L91" i="7"/>
  <c r="K92" i="7"/>
  <c r="H93" i="7"/>
  <c r="K93" i="7" l="1"/>
  <c r="Q16" i="7" s="1"/>
  <c r="Q26" i="7"/>
  <c r="Q37" i="7"/>
  <c r="T37" i="7" s="1"/>
  <c r="P50" i="7" s="1"/>
  <c r="B2" i="11" s="1"/>
  <c r="B3" i="11" s="1"/>
  <c r="L92" i="7"/>
  <c r="I93" i="7"/>
  <c r="L93" i="7" l="1"/>
  <c r="R16" i="7" s="1"/>
  <c r="R37" i="7"/>
  <c r="U37" i="7" s="1"/>
  <c r="P47" i="7" s="1"/>
  <c r="R26" i="7"/>
  <c r="T24" i="7"/>
  <c r="T20" i="7"/>
  <c r="Q9" i="7"/>
  <c r="T25" i="7"/>
  <c r="Q10" i="7" s="1"/>
  <c r="T21" i="7"/>
  <c r="T22" i="7"/>
  <c r="T23" i="7"/>
  <c r="Q13" i="7" l="1"/>
  <c r="P11" i="7"/>
  <c r="U24" i="7"/>
  <c r="U20" i="7"/>
  <c r="U22" i="7"/>
  <c r="U25" i="7"/>
  <c r="R10" i="7" s="1"/>
  <c r="U21" i="7"/>
  <c r="R9" i="7"/>
  <c r="U23" i="7"/>
  <c r="R13" i="7" l="1"/>
  <c r="R11" i="7"/>
</calcChain>
</file>

<file path=xl/sharedStrings.xml><?xml version="1.0" encoding="utf-8"?>
<sst xmlns="http://schemas.openxmlformats.org/spreadsheetml/2006/main" count="118" uniqueCount="65">
  <si>
    <t>BENCH</t>
  </si>
  <si>
    <t>Inception*</t>
  </si>
  <si>
    <t>3 Years</t>
  </si>
  <si>
    <t>1 Year</t>
  </si>
  <si>
    <t>Current</t>
  </si>
  <si>
    <t>Class A</t>
  </si>
  <si>
    <t>YTD</t>
  </si>
  <si>
    <t xml:space="preserve">PERFORMANCE SUMMARY </t>
  </si>
  <si>
    <t>PAGE 1</t>
  </si>
  <si>
    <t>PERFORMANCE SUMMARY GRAPH</t>
  </si>
  <si>
    <t>Growth of $10,000 Chart</t>
  </si>
  <si>
    <t>Class A w/ Load</t>
  </si>
  <si>
    <t>Class C</t>
  </si>
  <si>
    <t>cut &amp; paste to fact sheet</t>
  </si>
  <si>
    <t>S&amp;P 500 TR Index</t>
  </si>
  <si>
    <t>Date</t>
  </si>
  <si>
    <t>CURRENT</t>
  </si>
  <si>
    <t>Risk Free Rate:</t>
  </si>
  <si>
    <t>Months:</t>
  </si>
  <si>
    <t>Standard Deviation:</t>
  </si>
  <si>
    <t>Class I</t>
  </si>
  <si>
    <t>Beta:</t>
  </si>
  <si>
    <t>Cumulative Return</t>
  </si>
  <si>
    <t>Ann. Inception</t>
  </si>
  <si>
    <t>Alpha:</t>
  </si>
  <si>
    <t>R-squared:</t>
  </si>
  <si>
    <t>Sharpe Ratio:</t>
  </si>
  <si>
    <t># positive months</t>
  </si>
  <si>
    <t>% positive months</t>
  </si>
  <si>
    <t>max DD</t>
  </si>
  <si>
    <t>SP500TR</t>
  </si>
  <si>
    <t>NUXIX</t>
  </si>
  <si>
    <t>Growth of 10K</t>
  </si>
  <si>
    <t>Drawdown</t>
  </si>
  <si>
    <t>QTD</t>
  </si>
  <si>
    <t>ANNUAL RETURNS</t>
  </si>
  <si>
    <t>Performance &amp; Risk Statistics</t>
  </si>
  <si>
    <t>Alpha vs S&amp;P 500 TR</t>
  </si>
  <si>
    <t>Beta vs. S&amp;P 500 TR</t>
  </si>
  <si>
    <t>R-Squared vs. S&amp;P 500 TR</t>
  </si>
  <si>
    <t>SG CTA Index</t>
  </si>
  <si>
    <t>SG CTA MF Index</t>
  </si>
  <si>
    <t>5 Years</t>
  </si>
  <si>
    <t xml:space="preserve">NEIXCTAM Index  </t>
  </si>
  <si>
    <t>SG CTA Mutual Fund Index</t>
  </si>
  <si>
    <t>SG CTA MF</t>
  </si>
  <si>
    <t>2013 YTD</t>
  </si>
  <si>
    <t>% Positive Years</t>
  </si>
  <si>
    <t>Annual Returns</t>
  </si>
  <si>
    <t>S&amp;P 500 TR</t>
  </si>
  <si>
    <t>2020 YTD</t>
  </si>
  <si>
    <t>Year</t>
  </si>
  <si>
    <t>Label</t>
  </si>
  <si>
    <t>ID</t>
  </si>
  <si>
    <t>Value</t>
  </si>
  <si>
    <t>Since Inception</t>
  </si>
  <si>
    <t>Category</t>
  </si>
  <si>
    <t>Inception</t>
  </si>
  <si>
    <t>Alpha vs. S&amp;P 500 TR Index</t>
  </si>
  <si>
    <t>Beta vs. S&amp;P 500 TR Index</t>
  </si>
  <si>
    <t>R-Squared vs. S&amp;P 500 TR Index</t>
  </si>
  <si>
    <t>% Negative Years</t>
  </si>
  <si>
    <t>*Inception: 03/31/2013. The performance shown prior to March 1, 2018 is that of the Predecessor Fund, which reflects all of the Predecessor Fund's actual fees and expenses adjusted to include any fees of each share class.</t>
  </si>
  <si>
    <t>Class A w/ Sales Charge</t>
  </si>
  <si>
    <t>Data source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</si>
</sst>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_-&quot;$&quot;* #,##0.00_-;\-&quot;$&quot;* #,##0.00_-;_-&quot;$&quot;* &quot;-&quot;??_-;_-@_-"/>
    <numFmt numFmtId="165" formatCode="_-* #,##0.00_-;\-* #,##0.00_-;_-* &quot;-&quot;??_-;_-@_-"/>
    <numFmt numFmtId="166" formatCode="_-&quot;$&quot;* #,##0_-;\-&quot;$&quot;* #,##0_-;_-&quot;$&quot;* &quot;-&quot;??_-;_-@_-"/>
    <numFmt numFmtId="167" formatCode="0.0%"/>
    <numFmt numFmtId="168" formatCode="_-* #,##0_-;\-* #,##0_-;_-* &quot;-&quot;??_-;_-@_-"/>
    <numFmt numFmtId="169" formatCode="0.0000%"/>
    <numFmt numFmtId="170" formatCode="[$-10409]#,##0.00;\(#,##0.00\)"/>
    <numFmt numFmtId="171" formatCode="_(* #,##0_);_(* \(#,##0\);_(* &quot;-&quot;??_);_(@_)"/>
    <numFmt numFmtId="172" formatCode="0.000"/>
    <numFmt numFmtId="173" formatCode="0.0"/>
  </numFmts>
  <fonts count="22">
    <font>
      <sz val="11"/>
      <color theme="1"/>
      <name val="Calibri"/>
      <family val="2"/>
      <scheme val="minor"/>
    </font>
    <font>
      <sz val="11"/>
      <color theme="1"/>
      <name val="Calibri"/>
      <family val="2"/>
      <scheme val="minor"/>
    </font>
    <font>
      <b/>
      <sz val="9"/>
      <color theme="1"/>
      <name val="Calibri"/>
      <family val="2"/>
      <scheme val="minor"/>
    </font>
    <font>
      <sz val="8"/>
      <color theme="1"/>
      <name val="Calibri"/>
      <family val="2"/>
      <scheme val="minor"/>
    </font>
    <font>
      <sz val="8"/>
      <name val="Arial"/>
      <family val="2"/>
    </font>
    <font>
      <sz val="8"/>
      <color rgb="FF000000"/>
      <name val="Source Sans Pro Light"/>
      <family val="2"/>
    </font>
    <font>
      <sz val="7.5"/>
      <color rgb="FF000000"/>
      <name val="Trade Gothic LT Std Light"/>
      <family val="3"/>
    </font>
    <font>
      <b/>
      <sz val="7"/>
      <color rgb="FF000000"/>
      <name val="Helvetica LT Std"/>
      <family val="2"/>
    </font>
    <font>
      <b/>
      <sz val="8"/>
      <color rgb="FF025C78"/>
      <name val="Proxima Nova Rg"/>
      <family val="3"/>
    </font>
    <font>
      <sz val="8"/>
      <color rgb="FF000000"/>
      <name val="Helvetica LT Std Light"/>
      <family val="2"/>
    </font>
    <font>
      <b/>
      <sz val="8"/>
      <color rgb="FF000000"/>
      <name val="Calibri"/>
      <family val="2"/>
      <scheme val="minor"/>
    </font>
    <font>
      <sz val="9"/>
      <color rgb="FF000000"/>
      <name val="Source Sans Pro Light"/>
      <family val="2"/>
    </font>
    <font>
      <b/>
      <sz val="8"/>
      <color rgb="FFFF0000"/>
      <name val="Calibri"/>
      <family val="2"/>
      <scheme val="minor"/>
    </font>
    <font>
      <sz val="8"/>
      <color theme="1"/>
      <name val="Proxima Nova Cn Lt"/>
      <family val="3"/>
    </font>
    <font>
      <sz val="11"/>
      <color rgb="FFFF0000"/>
      <name val="Calibri"/>
      <family val="2"/>
      <scheme val="minor"/>
    </font>
    <font>
      <sz val="10"/>
      <name val="Arial"/>
      <family val="2"/>
    </font>
    <font>
      <sz val="12"/>
      <color rgb="FFFFFF00"/>
      <name val="Calibri"/>
      <family val="2"/>
      <scheme val="minor"/>
    </font>
    <font>
      <b/>
      <sz val="12"/>
      <color rgb="FFFFFF00"/>
      <name val="Calibri"/>
      <family val="2"/>
      <scheme val="minor"/>
    </font>
    <font>
      <b/>
      <sz val="11"/>
      <color theme="1"/>
      <name val="Calibri"/>
      <family val="2"/>
      <scheme val="minor"/>
    </font>
    <font>
      <b/>
      <sz val="8"/>
      <color theme="1"/>
      <name val="Arial"/>
      <family val="2"/>
    </font>
    <font>
      <b/>
      <sz val="9"/>
      <color theme="0"/>
      <name val="Arial"/>
      <family val="2"/>
    </font>
    <font>
      <u/>
      <sz val="11"/>
      <color theme="1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1" tint="0.49998474074526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indexed="9"/>
        <bgColor indexed="64"/>
      </patternFill>
    </fill>
    <fill>
      <patternFill patternType="solid">
        <fgColor theme="4"/>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theme="0" tint="-0.14996795556505021"/>
      </top>
      <bottom style="thin">
        <color theme="0" tint="-0.14996795556505021"/>
      </bottom>
      <diagonal/>
    </border>
    <border>
      <left style="thin">
        <color indexed="64"/>
      </left>
      <right style="thin">
        <color indexed="64"/>
      </right>
      <top style="thin">
        <color indexed="64"/>
      </top>
      <bottom style="thin">
        <color theme="0" tint="-0.149967955565050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theme="0" tint="-0.14996795556505021"/>
      </right>
      <top style="thin">
        <color indexed="64"/>
      </top>
      <bottom style="thin">
        <color theme="0" tint="-0.14996795556505021"/>
      </bottom>
      <diagonal/>
    </border>
    <border>
      <left style="medium">
        <color indexed="64"/>
      </left>
      <right style="thin">
        <color indexed="64"/>
      </right>
      <top/>
      <bottom/>
      <diagonal/>
    </border>
    <border>
      <left/>
      <right style="thin">
        <color theme="0" tint="-0.14996795556505021"/>
      </right>
      <top style="thin">
        <color theme="0" tint="-0.14996795556505021"/>
      </top>
      <bottom style="thin">
        <color theme="0" tint="-0.14996795556505021"/>
      </bottom>
      <diagonal/>
    </border>
    <border>
      <left style="medium">
        <color indexed="64"/>
      </left>
      <right style="thin">
        <color indexed="64"/>
      </right>
      <top/>
      <bottom style="medium">
        <color indexed="64"/>
      </bottom>
      <diagonal/>
    </border>
    <border>
      <left style="thin">
        <color indexed="64"/>
      </left>
      <right style="thin">
        <color indexed="64"/>
      </right>
      <top style="thin">
        <color theme="0" tint="-0.14996795556505021"/>
      </top>
      <bottom style="medium">
        <color indexed="64"/>
      </bottom>
      <diagonal/>
    </border>
    <border>
      <left/>
      <right style="thin">
        <color theme="0" tint="-0.14996795556505021"/>
      </right>
      <top style="thin">
        <color theme="0" tint="-0.14996795556505021"/>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style="medium">
        <color indexed="64"/>
      </left>
      <right style="thin">
        <color indexed="64"/>
      </right>
      <top style="medium">
        <color indexed="64"/>
      </top>
      <bottom/>
      <diagonal/>
    </border>
    <border>
      <left/>
      <right style="medium">
        <color indexed="64"/>
      </right>
      <top style="thin">
        <color indexed="64"/>
      </top>
      <bottom style="thin">
        <color theme="0" tint="-0.14996795556505021"/>
      </bottom>
      <diagonal/>
    </border>
    <border>
      <left/>
      <right style="medium">
        <color indexed="64"/>
      </right>
      <top style="thin">
        <color theme="0" tint="-0.14996795556505021"/>
      </top>
      <bottom style="thin">
        <color theme="0" tint="-0.14996795556505021"/>
      </bottom>
      <diagonal/>
    </border>
    <border>
      <left/>
      <right style="medium">
        <color indexed="64"/>
      </right>
      <top style="thin">
        <color theme="0" tint="-0.14996795556505021"/>
      </top>
      <bottom style="medium">
        <color indexed="64"/>
      </bottom>
      <diagonal/>
    </border>
    <border>
      <left/>
      <right style="thin">
        <color theme="0" tint="-0.14996795556505021"/>
      </right>
      <top/>
      <bottom style="thin">
        <color theme="0" tint="-0.14996795556505021"/>
      </bottom>
      <diagonal/>
    </border>
    <border>
      <left/>
      <right style="thin">
        <color indexed="64"/>
      </right>
      <top style="medium">
        <color indexed="64"/>
      </top>
      <bottom style="thin">
        <color indexed="64"/>
      </bottom>
      <diagonal/>
    </border>
    <border>
      <left/>
      <right style="medium">
        <color indexed="64"/>
      </right>
      <top/>
      <bottom style="thin">
        <color theme="0" tint="-0.14996795556505021"/>
      </bottom>
      <diagonal/>
    </border>
    <border>
      <left style="medium">
        <color indexed="64"/>
      </left>
      <right style="thin">
        <color indexed="64"/>
      </right>
      <top/>
      <bottom style="thin">
        <color theme="0" tint="-0.14996795556505021"/>
      </bottom>
      <diagonal/>
    </border>
    <border>
      <left style="medium">
        <color indexed="64"/>
      </left>
      <right style="thin">
        <color indexed="64"/>
      </right>
      <top style="thin">
        <color theme="0" tint="-0.14996795556505021"/>
      </top>
      <bottom style="thin">
        <color theme="0" tint="-0.14996795556505021"/>
      </bottom>
      <diagonal/>
    </border>
    <border>
      <left style="medium">
        <color indexed="64"/>
      </left>
      <right style="thin">
        <color indexed="64"/>
      </right>
      <top style="thin">
        <color theme="0" tint="-0.14996795556505021"/>
      </top>
      <bottom style="medium">
        <color indexed="64"/>
      </bottom>
      <diagonal/>
    </border>
    <border>
      <left/>
      <right style="thin">
        <color theme="0" tint="-0.14996795556505021"/>
      </right>
      <top/>
      <bottom style="medium">
        <color indexed="64"/>
      </bottom>
      <diagonal/>
    </border>
    <border>
      <left style="medium">
        <color indexed="64"/>
      </left>
      <right style="thin">
        <color indexed="64"/>
      </right>
      <top style="thin">
        <color theme="0" tint="-0.14996795556505021"/>
      </top>
      <bottom/>
      <diagonal/>
    </border>
    <border>
      <left style="thin">
        <color indexed="64"/>
      </left>
      <right/>
      <top style="medium">
        <color indexed="64"/>
      </top>
      <bottom/>
      <diagonal/>
    </border>
  </borders>
  <cellStyleXfs count="13">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0" fontId="15" fillId="0" borderId="0"/>
    <xf numFmtId="9" fontId="15" fillId="0" borderId="0" applyFont="0" applyFill="0" applyBorder="0" applyAlignment="0" applyProtection="0"/>
    <xf numFmtId="43" fontId="1" fillId="0" borderId="0" applyFont="0" applyFill="0" applyBorder="0" applyAlignment="0" applyProtection="0"/>
    <xf numFmtId="0" fontId="21" fillId="0" borderId="0" applyNumberFormat="0" applyFill="0" applyBorder="0" applyAlignment="0" applyProtection="0"/>
  </cellStyleXfs>
  <cellXfs count="183">
    <xf numFmtId="0" fontId="0" fillId="0" borderId="0" xfId="0"/>
    <xf numFmtId="0" fontId="0" fillId="2" borderId="0" xfId="0" applyFill="1"/>
    <xf numFmtId="0" fontId="0" fillId="2" borderId="0" xfId="0" applyFill="1" applyAlignment="1">
      <alignment vertical="center"/>
    </xf>
    <xf numFmtId="0" fontId="0" fillId="2" borderId="0" xfId="0" applyFill="1" applyAlignment="1">
      <alignment horizontal="right" vertical="center"/>
    </xf>
    <xf numFmtId="0" fontId="3" fillId="2" borderId="0" xfId="0" applyFont="1" applyFill="1"/>
    <xf numFmtId="0" fontId="0" fillId="2" borderId="0" xfId="0" applyFill="1" applyAlignment="1">
      <alignment horizontal="center" vertical="center"/>
    </xf>
    <xf numFmtId="17" fontId="0" fillId="2" borderId="0" xfId="0" applyNumberFormat="1" applyFill="1" applyAlignment="1">
      <alignment vertical="center"/>
    </xf>
    <xf numFmtId="10" fontId="3" fillId="2" borderId="0" xfId="3" applyNumberFormat="1" applyFont="1" applyFill="1" applyAlignment="1">
      <alignment horizontal="center" vertical="center"/>
    </xf>
    <xf numFmtId="17" fontId="3" fillId="2" borderId="0" xfId="0" applyNumberFormat="1" applyFont="1" applyFill="1" applyAlignment="1">
      <alignment vertical="center"/>
    </xf>
    <xf numFmtId="0" fontId="3" fillId="2" borderId="0" xfId="0" applyFont="1" applyFill="1" applyAlignment="1">
      <alignment vertical="center"/>
    </xf>
    <xf numFmtId="166" fontId="9" fillId="2" borderId="1" xfId="2" applyNumberFormat="1" applyFont="1" applyFill="1" applyBorder="1" applyAlignment="1">
      <alignment horizontal="center" vertical="center"/>
    </xf>
    <xf numFmtId="0" fontId="3" fillId="2" borderId="9" xfId="0" applyFont="1" applyFill="1" applyBorder="1"/>
    <xf numFmtId="0" fontId="0" fillId="2" borderId="10" xfId="0" applyFill="1" applyBorder="1" applyAlignment="1">
      <alignment vertical="center"/>
    </xf>
    <xf numFmtId="0" fontId="0" fillId="2" borderId="10" xfId="0" applyFill="1" applyBorder="1" applyAlignment="1">
      <alignment horizontal="center" vertical="center"/>
    </xf>
    <xf numFmtId="0" fontId="3" fillId="2" borderId="11" xfId="0" applyFont="1" applyFill="1" applyBorder="1"/>
    <xf numFmtId="0" fontId="3" fillId="2" borderId="12" xfId="0" applyFont="1" applyFill="1" applyBorder="1"/>
    <xf numFmtId="10" fontId="7" fillId="2" borderId="14" xfId="0" applyNumberFormat="1" applyFont="1" applyFill="1" applyBorder="1" applyAlignment="1">
      <alignment horizontal="center" vertical="center"/>
    </xf>
    <xf numFmtId="10" fontId="7" fillId="2" borderId="15" xfId="0" applyNumberFormat="1" applyFont="1" applyFill="1" applyBorder="1" applyAlignment="1">
      <alignment horizontal="center" vertical="center"/>
    </xf>
    <xf numFmtId="0" fontId="3" fillId="2" borderId="13" xfId="0" applyFont="1" applyFill="1" applyBorder="1"/>
    <xf numFmtId="166" fontId="9" fillId="2" borderId="17" xfId="2" applyNumberFormat="1" applyFont="1" applyFill="1" applyBorder="1" applyAlignment="1">
      <alignment horizontal="center" vertical="center"/>
    </xf>
    <xf numFmtId="10" fontId="10" fillId="2" borderId="5" xfId="0" applyNumberFormat="1" applyFont="1" applyFill="1" applyBorder="1" applyAlignment="1">
      <alignment horizontal="center" vertical="center"/>
    </xf>
    <xf numFmtId="10" fontId="11" fillId="2" borderId="19" xfId="3" applyNumberFormat="1" applyFont="1" applyFill="1" applyBorder="1" applyAlignment="1">
      <alignment horizontal="right" vertical="center"/>
    </xf>
    <xf numFmtId="0" fontId="3" fillId="2" borderId="0" xfId="0" applyFont="1" applyFill="1" applyAlignment="1">
      <alignment horizontal="center" vertical="center"/>
    </xf>
    <xf numFmtId="10" fontId="10" fillId="2" borderId="4" xfId="0" applyNumberFormat="1" applyFont="1" applyFill="1" applyBorder="1" applyAlignment="1">
      <alignment horizontal="center" vertical="center"/>
    </xf>
    <xf numFmtId="10" fontId="11" fillId="2" borderId="21" xfId="3" applyNumberFormat="1" applyFont="1" applyFill="1" applyBorder="1" applyAlignment="1">
      <alignment horizontal="right" vertical="center"/>
    </xf>
    <xf numFmtId="10" fontId="10" fillId="2" borderId="23" xfId="0" applyNumberFormat="1" applyFont="1" applyFill="1" applyBorder="1" applyAlignment="1">
      <alignment horizontal="center" vertical="center"/>
    </xf>
    <xf numFmtId="10" fontId="11" fillId="2" borderId="24" xfId="3" applyNumberFormat="1" applyFont="1" applyFill="1" applyBorder="1" applyAlignment="1">
      <alignment horizontal="right" vertical="center"/>
    </xf>
    <xf numFmtId="0" fontId="8" fillId="0" borderId="25" xfId="0" applyFont="1" applyBorder="1" applyAlignment="1">
      <alignment horizontal="left" vertical="center" readingOrder="1"/>
    </xf>
    <xf numFmtId="0" fontId="7" fillId="6" borderId="26" xfId="0" applyFont="1" applyFill="1" applyBorder="1" applyAlignment="1">
      <alignment horizontal="center" vertical="center"/>
    </xf>
    <xf numFmtId="0" fontId="7" fillId="6" borderId="27" xfId="0" applyFont="1" applyFill="1" applyBorder="1" applyAlignment="1">
      <alignment horizontal="center" vertical="center"/>
    </xf>
    <xf numFmtId="0" fontId="13" fillId="7" borderId="0" xfId="0" applyFont="1" applyFill="1" applyAlignment="1">
      <alignment vertical="center" wrapText="1"/>
    </xf>
    <xf numFmtId="0" fontId="12" fillId="2" borderId="28" xfId="0" applyFont="1" applyFill="1" applyBorder="1" applyAlignment="1">
      <alignment vertical="center" textRotation="90"/>
    </xf>
    <xf numFmtId="0" fontId="5" fillId="2" borderId="2" xfId="0" applyFont="1" applyFill="1" applyBorder="1" applyAlignment="1">
      <alignment horizontal="left" vertical="center"/>
    </xf>
    <xf numFmtId="0" fontId="4" fillId="2" borderId="2"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29" xfId="0" applyFont="1" applyFill="1" applyBorder="1"/>
    <xf numFmtId="10" fontId="9" fillId="2" borderId="30" xfId="0" applyNumberFormat="1" applyFont="1" applyFill="1" applyBorder="1" applyAlignment="1">
      <alignment horizontal="left" vertical="center"/>
    </xf>
    <xf numFmtId="0" fontId="16" fillId="2" borderId="0" xfId="0" applyFont="1" applyFill="1"/>
    <xf numFmtId="0" fontId="16" fillId="2" borderId="0" xfId="0" applyFont="1" applyFill="1" applyAlignment="1">
      <alignment vertical="center"/>
    </xf>
    <xf numFmtId="0" fontId="14" fillId="2" borderId="0" xfId="0" applyFont="1" applyFill="1" applyAlignment="1">
      <alignment vertical="center"/>
    </xf>
    <xf numFmtId="2" fontId="6" fillId="4" borderId="29" xfId="0" applyNumberFormat="1" applyFont="1" applyFill="1" applyBorder="1" applyAlignment="1">
      <alignment horizontal="right" vertical="center"/>
    </xf>
    <xf numFmtId="2" fontId="6" fillId="2" borderId="0" xfId="0" applyNumberFormat="1" applyFont="1" applyFill="1" applyAlignment="1">
      <alignment horizontal="right" vertical="center"/>
    </xf>
    <xf numFmtId="10" fontId="6" fillId="2" borderId="13" xfId="3" applyNumberFormat="1" applyFont="1" applyFill="1" applyBorder="1" applyAlignment="1">
      <alignment horizontal="right" vertical="center"/>
    </xf>
    <xf numFmtId="2" fontId="6" fillId="2" borderId="13" xfId="0" applyNumberFormat="1" applyFont="1" applyFill="1" applyBorder="1" applyAlignment="1">
      <alignment horizontal="right" vertical="center"/>
    </xf>
    <xf numFmtId="2" fontId="6" fillId="2" borderId="29" xfId="0" applyNumberFormat="1" applyFont="1" applyFill="1" applyBorder="1" applyAlignment="1">
      <alignment horizontal="right" vertical="center"/>
    </xf>
    <xf numFmtId="14" fontId="19" fillId="0" borderId="0" xfId="0" applyNumberFormat="1" applyFont="1"/>
    <xf numFmtId="0" fontId="18" fillId="0" borderId="0" xfId="0" applyFont="1"/>
    <xf numFmtId="0" fontId="1" fillId="0" borderId="0" xfId="0" applyFont="1" applyAlignment="1">
      <alignment horizontal="center"/>
    </xf>
    <xf numFmtId="0" fontId="2" fillId="0" borderId="0" xfId="0" applyFont="1" applyAlignment="1">
      <alignment horizontal="center"/>
    </xf>
    <xf numFmtId="14" fontId="1" fillId="0" borderId="0" xfId="0" applyNumberFormat="1" applyFont="1"/>
    <xf numFmtId="170" fontId="1" fillId="0" borderId="0" xfId="1" applyNumberFormat="1"/>
    <xf numFmtId="0" fontId="1" fillId="0" borderId="0" xfId="0" applyFont="1"/>
    <xf numFmtId="10" fontId="1" fillId="0" borderId="0" xfId="3" applyNumberFormat="1"/>
    <xf numFmtId="9" fontId="1" fillId="0" borderId="0" xfId="3"/>
    <xf numFmtId="2" fontId="1" fillId="0" borderId="0" xfId="0" applyNumberFormat="1" applyFont="1" applyAlignment="1">
      <alignment horizontal="center"/>
    </xf>
    <xf numFmtId="43" fontId="18" fillId="0" borderId="0" xfId="0" applyNumberFormat="1" applyFont="1" applyAlignment="1">
      <alignment horizontal="center"/>
    </xf>
    <xf numFmtId="171" fontId="18" fillId="0" borderId="0" xfId="0" applyNumberFormat="1" applyFont="1" applyAlignment="1">
      <alignment horizontal="center"/>
    </xf>
    <xf numFmtId="10" fontId="1" fillId="0" borderId="0" xfId="3" applyNumberFormat="1" applyAlignment="1">
      <alignment horizontal="center"/>
    </xf>
    <xf numFmtId="167" fontId="1" fillId="0" borderId="0" xfId="3" applyNumberFormat="1" applyAlignment="1">
      <alignment horizontal="center"/>
    </xf>
    <xf numFmtId="10" fontId="1" fillId="0" borderId="0" xfId="0" applyNumberFormat="1" applyFont="1" applyAlignment="1">
      <alignment horizontal="center"/>
    </xf>
    <xf numFmtId="172" fontId="1" fillId="0" borderId="0" xfId="0" applyNumberFormat="1" applyFont="1" applyAlignment="1">
      <alignment horizontal="center"/>
    </xf>
    <xf numFmtId="0" fontId="2" fillId="0" borderId="9" xfId="0" applyFont="1" applyBorder="1" applyAlignment="1">
      <alignment horizontal="center"/>
    </xf>
    <xf numFmtId="0" fontId="1" fillId="0" borderId="10" xfId="0" applyFont="1" applyBorder="1"/>
    <xf numFmtId="43" fontId="20" fillId="8" borderId="6" xfId="0" applyNumberFormat="1" applyFont="1" applyFill="1" applyBorder="1" applyAlignment="1">
      <alignment horizontal="center" wrapText="1"/>
    </xf>
    <xf numFmtId="171" fontId="18" fillId="0" borderId="7" xfId="0" applyNumberFormat="1" applyFont="1" applyBorder="1" applyAlignment="1">
      <alignment horizontal="center" vertical="center"/>
    </xf>
    <xf numFmtId="0" fontId="2" fillId="0" borderId="12" xfId="0" applyFont="1" applyBorder="1" applyAlignment="1">
      <alignment horizontal="center"/>
    </xf>
    <xf numFmtId="14" fontId="1" fillId="5" borderId="0" xfId="0" applyNumberFormat="1" applyFont="1" applyFill="1"/>
    <xf numFmtId="171" fontId="1" fillId="0" borderId="0" xfId="11" applyNumberFormat="1" applyAlignment="1">
      <alignment horizontal="center"/>
    </xf>
    <xf numFmtId="10" fontId="1" fillId="0" borderId="12" xfId="3" applyNumberFormat="1" applyBorder="1" applyAlignment="1">
      <alignment horizontal="center"/>
    </xf>
    <xf numFmtId="14" fontId="1" fillId="0" borderId="0" xfId="0" applyNumberFormat="1" applyFont="1" applyAlignment="1">
      <alignment horizontal="center"/>
    </xf>
    <xf numFmtId="0" fontId="2" fillId="0" borderId="28" xfId="0" applyFont="1" applyBorder="1" applyAlignment="1">
      <alignment horizontal="center"/>
    </xf>
    <xf numFmtId="14" fontId="1" fillId="0" borderId="2" xfId="0" applyNumberFormat="1" applyFont="1" applyBorder="1" applyAlignment="1">
      <alignment horizontal="center"/>
    </xf>
    <xf numFmtId="171" fontId="1" fillId="0" borderId="2" xfId="11" applyNumberFormat="1" applyBorder="1" applyAlignment="1">
      <alignment horizontal="center"/>
    </xf>
    <xf numFmtId="10" fontId="1" fillId="0" borderId="28" xfId="3" applyNumberFormat="1" applyBorder="1" applyAlignment="1">
      <alignment horizontal="center"/>
    </xf>
    <xf numFmtId="0" fontId="1" fillId="0" borderId="10" xfId="0" applyFont="1" applyBorder="1" applyAlignment="1">
      <alignment horizontal="center"/>
    </xf>
    <xf numFmtId="171" fontId="1" fillId="0" borderId="10" xfId="0" applyNumberFormat="1" applyFont="1" applyBorder="1" applyAlignment="1">
      <alignment horizontal="center"/>
    </xf>
    <xf numFmtId="171" fontId="1" fillId="0" borderId="11" xfId="0" applyNumberFormat="1" applyFont="1" applyBorder="1" applyAlignment="1">
      <alignment horizontal="center"/>
    </xf>
    <xf numFmtId="10" fontId="18" fillId="0" borderId="12" xfId="3" applyNumberFormat="1" applyFont="1" applyBorder="1" applyAlignment="1">
      <alignment horizontal="center"/>
    </xf>
    <xf numFmtId="14" fontId="1" fillId="0" borderId="2" xfId="0" applyNumberFormat="1" applyFont="1" applyBorder="1"/>
    <xf numFmtId="10" fontId="18" fillId="0" borderId="28" xfId="3" applyNumberFormat="1" applyFont="1" applyBorder="1" applyAlignment="1">
      <alignment horizontal="center"/>
    </xf>
    <xf numFmtId="168" fontId="1" fillId="0" borderId="0" xfId="1" applyNumberFormat="1"/>
    <xf numFmtId="168" fontId="0" fillId="0" borderId="0" xfId="1" applyNumberFormat="1" applyFont="1"/>
    <xf numFmtId="0" fontId="1" fillId="4" borderId="0" xfId="0" applyFont="1" applyFill="1"/>
    <xf numFmtId="43" fontId="20" fillId="8" borderId="9" xfId="0" applyNumberFormat="1" applyFont="1" applyFill="1" applyBorder="1" applyAlignment="1">
      <alignment horizontal="center" wrapText="1"/>
    </xf>
    <xf numFmtId="10" fontId="1" fillId="5" borderId="12" xfId="3" applyNumberFormat="1" applyFill="1" applyBorder="1" applyAlignment="1">
      <alignment horizontal="center"/>
    </xf>
    <xf numFmtId="10" fontId="9" fillId="4" borderId="28" xfId="0" applyNumberFormat="1" applyFont="1" applyFill="1" applyBorder="1" applyAlignment="1">
      <alignment horizontal="left" vertical="center"/>
    </xf>
    <xf numFmtId="2" fontId="6" fillId="4" borderId="2" xfId="0" applyNumberFormat="1" applyFont="1" applyFill="1" applyBorder="1" applyAlignment="1">
      <alignment horizontal="right" vertical="center"/>
    </xf>
    <xf numFmtId="2" fontId="1" fillId="4" borderId="0" xfId="0" applyNumberFormat="1" applyFont="1" applyFill="1" applyAlignment="1">
      <alignment horizontal="center"/>
    </xf>
    <xf numFmtId="0" fontId="18" fillId="2" borderId="0" xfId="0" applyFont="1" applyFill="1"/>
    <xf numFmtId="0" fontId="8" fillId="0" borderId="31" xfId="0" applyFont="1" applyBorder="1" applyAlignment="1">
      <alignment horizontal="left" vertical="center" readingOrder="1"/>
    </xf>
    <xf numFmtId="0" fontId="7" fillId="6" borderId="14" xfId="0" applyFont="1" applyFill="1" applyBorder="1" applyAlignment="1">
      <alignment horizontal="center" vertical="center"/>
    </xf>
    <xf numFmtId="0" fontId="7" fillId="6" borderId="15" xfId="0" applyFont="1" applyFill="1" applyBorder="1" applyAlignment="1">
      <alignment horizontal="center" vertical="center"/>
    </xf>
    <xf numFmtId="10" fontId="9" fillId="2" borderId="6" xfId="0" applyNumberFormat="1" applyFont="1" applyFill="1" applyBorder="1" applyAlignment="1">
      <alignment horizontal="left" vertical="center"/>
    </xf>
    <xf numFmtId="2" fontId="6" fillId="2" borderId="7" xfId="0" applyNumberFormat="1" applyFont="1" applyFill="1" applyBorder="1" applyAlignment="1">
      <alignment horizontal="right" vertical="center"/>
    </xf>
    <xf numFmtId="10" fontId="1" fillId="4" borderId="0" xfId="3" applyNumberFormat="1" applyFill="1" applyAlignment="1">
      <alignment horizontal="center"/>
    </xf>
    <xf numFmtId="2" fontId="6" fillId="2" borderId="13" xfId="3" applyNumberFormat="1" applyFont="1" applyFill="1" applyBorder="1" applyAlignment="1">
      <alignment horizontal="right" vertical="center"/>
    </xf>
    <xf numFmtId="171" fontId="18" fillId="0" borderId="10" xfId="0" applyNumberFormat="1" applyFont="1" applyBorder="1" applyAlignment="1">
      <alignment horizontal="center" vertical="center"/>
    </xf>
    <xf numFmtId="171" fontId="1" fillId="0" borderId="13" xfId="11" applyNumberFormat="1" applyBorder="1" applyAlignment="1">
      <alignment horizontal="center"/>
    </xf>
    <xf numFmtId="171" fontId="1" fillId="0" borderId="29" xfId="11" applyNumberFormat="1" applyBorder="1" applyAlignment="1">
      <alignment horizontal="center"/>
    </xf>
    <xf numFmtId="0" fontId="1" fillId="0" borderId="2" xfId="0" applyFont="1" applyBorder="1" applyAlignment="1">
      <alignment horizontal="center"/>
    </xf>
    <xf numFmtId="10" fontId="18" fillId="0" borderId="2" xfId="3" applyNumberFormat="1" applyFont="1" applyBorder="1" applyAlignment="1">
      <alignment horizontal="center"/>
    </xf>
    <xf numFmtId="10" fontId="6" fillId="2" borderId="0" xfId="3" applyNumberFormat="1" applyFont="1" applyFill="1" applyAlignment="1">
      <alignment horizontal="right" vertical="center"/>
    </xf>
    <xf numFmtId="2" fontId="6" fillId="2" borderId="0" xfId="3" applyNumberFormat="1" applyFont="1" applyFill="1" applyAlignment="1">
      <alignment horizontal="right" vertical="center"/>
    </xf>
    <xf numFmtId="2" fontId="6" fillId="2" borderId="10" xfId="0" applyNumberFormat="1" applyFont="1" applyFill="1" applyBorder="1" applyAlignment="1">
      <alignment horizontal="right" vertical="center"/>
    </xf>
    <xf numFmtId="2" fontId="6" fillId="2" borderId="2" xfId="0" applyNumberFormat="1" applyFont="1" applyFill="1" applyBorder="1" applyAlignment="1">
      <alignment horizontal="right" vertical="center"/>
    </xf>
    <xf numFmtId="10" fontId="11" fillId="2" borderId="32" xfId="3" applyNumberFormat="1" applyFont="1" applyFill="1" applyBorder="1" applyAlignment="1">
      <alignment horizontal="right" vertical="center"/>
    </xf>
    <xf numFmtId="10" fontId="11" fillId="2" borderId="33" xfId="3" applyNumberFormat="1" applyFont="1" applyFill="1" applyBorder="1" applyAlignment="1">
      <alignment horizontal="right" vertical="center"/>
    </xf>
    <xf numFmtId="10" fontId="11" fillId="2" borderId="34" xfId="3" applyNumberFormat="1" applyFont="1" applyFill="1" applyBorder="1" applyAlignment="1">
      <alignment horizontal="right" vertical="center"/>
    </xf>
    <xf numFmtId="14" fontId="18" fillId="0" borderId="0" xfId="0" applyNumberFormat="1" applyFont="1"/>
    <xf numFmtId="14" fontId="18" fillId="0" borderId="0" xfId="0" applyNumberFormat="1" applyFont="1" applyAlignment="1">
      <alignment horizontal="center"/>
    </xf>
    <xf numFmtId="14" fontId="18" fillId="0" borderId="7" xfId="0" applyNumberFormat="1" applyFont="1" applyBorder="1" applyAlignment="1">
      <alignment horizontal="center" vertical="center"/>
    </xf>
    <xf numFmtId="14" fontId="18" fillId="0" borderId="8" xfId="0" applyNumberFormat="1" applyFont="1" applyBorder="1" applyAlignment="1">
      <alignment horizontal="center" vertical="center"/>
    </xf>
    <xf numFmtId="14" fontId="18" fillId="0" borderId="11" xfId="0" applyNumberFormat="1" applyFont="1" applyBorder="1" applyAlignment="1">
      <alignment horizontal="center" vertical="center"/>
    </xf>
    <xf numFmtId="14" fontId="6" fillId="2" borderId="11" xfId="0" applyNumberFormat="1" applyFont="1" applyFill="1" applyBorder="1" applyAlignment="1">
      <alignment horizontal="left" vertical="center"/>
    </xf>
    <xf numFmtId="170" fontId="1" fillId="4" borderId="0" xfId="1" applyNumberFormat="1" applyFill="1"/>
    <xf numFmtId="2" fontId="6" fillId="4" borderId="13" xfId="0" applyNumberFormat="1" applyFont="1" applyFill="1" applyBorder="1" applyAlignment="1">
      <alignment horizontal="right" vertical="center"/>
    </xf>
    <xf numFmtId="14" fontId="20" fillId="8" borderId="6" xfId="0" applyNumberFormat="1" applyFont="1" applyFill="1" applyBorder="1" applyAlignment="1">
      <alignment horizontal="center" wrapText="1"/>
    </xf>
    <xf numFmtId="10" fontId="1" fillId="0" borderId="13" xfId="3" applyNumberFormat="1" applyBorder="1" applyAlignment="1">
      <alignment horizontal="center"/>
    </xf>
    <xf numFmtId="0" fontId="1" fillId="0" borderId="29" xfId="0" applyFont="1" applyBorder="1" applyAlignment="1">
      <alignment horizontal="center"/>
    </xf>
    <xf numFmtId="10" fontId="18" fillId="0" borderId="13" xfId="3" applyNumberFormat="1" applyFont="1" applyBorder="1" applyAlignment="1">
      <alignment horizontal="center"/>
    </xf>
    <xf numFmtId="10" fontId="18" fillId="0" borderId="29" xfId="3" applyNumberFormat="1" applyFont="1" applyBorder="1" applyAlignment="1">
      <alignment horizontal="center"/>
    </xf>
    <xf numFmtId="14" fontId="0" fillId="0" borderId="0" xfId="0" applyNumberFormat="1"/>
    <xf numFmtId="10" fontId="1" fillId="5" borderId="13" xfId="3" applyNumberFormat="1" applyFill="1" applyBorder="1" applyAlignment="1">
      <alignment horizontal="center"/>
    </xf>
    <xf numFmtId="10" fontId="1" fillId="0" borderId="10" xfId="0" applyNumberFormat="1" applyFont="1" applyBorder="1"/>
    <xf numFmtId="10" fontId="1" fillId="0" borderId="11" xfId="0" applyNumberFormat="1" applyFont="1" applyBorder="1" applyAlignment="1">
      <alignment horizontal="center"/>
    </xf>
    <xf numFmtId="10" fontId="1" fillId="0" borderId="13" xfId="0" applyNumberFormat="1" applyFont="1" applyBorder="1" applyAlignment="1">
      <alignment horizontal="center"/>
    </xf>
    <xf numFmtId="10" fontId="1" fillId="0" borderId="2" xfId="0" applyNumberFormat="1" applyFont="1" applyBorder="1"/>
    <xf numFmtId="10" fontId="1" fillId="0" borderId="29" xfId="0" applyNumberFormat="1" applyFont="1" applyBorder="1" applyAlignment="1">
      <alignment horizontal="center"/>
    </xf>
    <xf numFmtId="0" fontId="0" fillId="0" borderId="6" xfId="0" applyBorder="1"/>
    <xf numFmtId="9" fontId="1" fillId="0" borderId="7" xfId="0" applyNumberFormat="1" applyFont="1" applyBorder="1"/>
    <xf numFmtId="9" fontId="1" fillId="0" borderId="8" xfId="0" applyNumberFormat="1" applyFont="1" applyBorder="1"/>
    <xf numFmtId="171" fontId="18" fillId="0" borderId="8" xfId="0" applyNumberFormat="1" applyFont="1" applyBorder="1" applyAlignment="1">
      <alignment horizontal="center" vertical="center"/>
    </xf>
    <xf numFmtId="10" fontId="10" fillId="2" borderId="0" xfId="0" applyNumberFormat="1" applyFont="1" applyFill="1" applyAlignment="1">
      <alignment horizontal="center" vertical="center"/>
    </xf>
    <xf numFmtId="10" fontId="11" fillId="2" borderId="0" xfId="3" applyNumberFormat="1" applyFont="1" applyFill="1" applyAlignment="1">
      <alignment horizontal="right" vertical="center"/>
    </xf>
    <xf numFmtId="10" fontId="11" fillId="2" borderId="35" xfId="3" applyNumberFormat="1" applyFont="1" applyFill="1" applyBorder="1" applyAlignment="1">
      <alignment horizontal="right" vertical="center"/>
    </xf>
    <xf numFmtId="10" fontId="7" fillId="2" borderId="36" xfId="0" applyNumberFormat="1" applyFont="1" applyFill="1" applyBorder="1" applyAlignment="1">
      <alignment horizontal="center" vertical="center"/>
    </xf>
    <xf numFmtId="10" fontId="7" fillId="2" borderId="27" xfId="0" applyNumberFormat="1" applyFont="1" applyFill="1" applyBorder="1" applyAlignment="1">
      <alignment horizontal="center" vertical="center"/>
    </xf>
    <xf numFmtId="10" fontId="11" fillId="2" borderId="37" xfId="3" applyNumberFormat="1" applyFont="1" applyFill="1" applyBorder="1" applyAlignment="1">
      <alignment horizontal="right" vertical="center"/>
    </xf>
    <xf numFmtId="0" fontId="11" fillId="2" borderId="38" xfId="3" applyNumberFormat="1" applyFont="1" applyFill="1" applyBorder="1" applyAlignment="1">
      <alignment horizontal="center" vertical="center"/>
    </xf>
    <xf numFmtId="0" fontId="11" fillId="2" borderId="39" xfId="3" applyNumberFormat="1" applyFont="1" applyFill="1" applyBorder="1" applyAlignment="1">
      <alignment horizontal="center" vertical="center"/>
    </xf>
    <xf numFmtId="0" fontId="11" fillId="2" borderId="40" xfId="3" applyNumberFormat="1" applyFont="1" applyFill="1" applyBorder="1" applyAlignment="1">
      <alignment horizontal="center" vertical="center"/>
    </xf>
    <xf numFmtId="0" fontId="11" fillId="2" borderId="22" xfId="3" applyNumberFormat="1" applyFont="1" applyFill="1" applyBorder="1" applyAlignment="1">
      <alignment horizontal="center" vertical="center"/>
    </xf>
    <xf numFmtId="10" fontId="11" fillId="2" borderId="41" xfId="3" applyNumberFormat="1" applyFont="1" applyFill="1" applyBorder="1" applyAlignment="1">
      <alignment horizontal="right" vertical="center"/>
    </xf>
    <xf numFmtId="10" fontId="11" fillId="2" borderId="29" xfId="3" applyNumberFormat="1" applyFont="1" applyFill="1" applyBorder="1" applyAlignment="1">
      <alignment horizontal="right" vertical="center"/>
    </xf>
    <xf numFmtId="0" fontId="2" fillId="0" borderId="10" xfId="0" applyFont="1" applyBorder="1" applyAlignment="1">
      <alignment horizontal="center"/>
    </xf>
    <xf numFmtId="10" fontId="18" fillId="0" borderId="0" xfId="3" applyNumberFormat="1" applyFont="1" applyBorder="1" applyAlignment="1">
      <alignment horizontal="center"/>
    </xf>
    <xf numFmtId="0" fontId="1" fillId="0" borderId="11" xfId="0" applyFont="1" applyBorder="1"/>
    <xf numFmtId="171" fontId="1" fillId="0" borderId="0" xfId="11" applyNumberFormat="1" applyBorder="1" applyAlignment="1">
      <alignment horizontal="center"/>
    </xf>
    <xf numFmtId="0" fontId="11" fillId="2" borderId="42" xfId="3" applyNumberFormat="1" applyFont="1" applyFill="1" applyBorder="1" applyAlignment="1">
      <alignment horizontal="center" vertical="center"/>
    </xf>
    <xf numFmtId="0" fontId="7" fillId="6" borderId="43" xfId="0" applyFont="1" applyFill="1" applyBorder="1" applyAlignment="1">
      <alignment horizontal="center" vertical="center"/>
    </xf>
    <xf numFmtId="10" fontId="1" fillId="0" borderId="0" xfId="3" applyNumberFormat="1" applyBorder="1" applyAlignment="1">
      <alignment horizontal="center"/>
    </xf>
    <xf numFmtId="10" fontId="1" fillId="5" borderId="0" xfId="3" applyNumberFormat="1" applyFill="1" applyBorder="1" applyAlignment="1">
      <alignment horizontal="center"/>
    </xf>
    <xf numFmtId="10" fontId="0" fillId="0" borderId="0" xfId="0" applyNumberFormat="1"/>
    <xf numFmtId="2" fontId="0" fillId="0" borderId="0" xfId="0" applyNumberFormat="1"/>
    <xf numFmtId="10" fontId="1" fillId="0" borderId="0" xfId="0" applyNumberFormat="1" applyFont="1"/>
    <xf numFmtId="3" fontId="1" fillId="4" borderId="0" xfId="1" applyNumberFormat="1" applyFill="1"/>
    <xf numFmtId="10" fontId="11" fillId="5" borderId="24" xfId="3" applyNumberFormat="1" applyFont="1" applyFill="1" applyBorder="1" applyAlignment="1">
      <alignment horizontal="right" vertical="center"/>
    </xf>
    <xf numFmtId="2" fontId="6" fillId="4" borderId="0" xfId="0" applyNumberFormat="1" applyFont="1" applyFill="1" applyAlignment="1">
      <alignment horizontal="right" vertical="center"/>
    </xf>
    <xf numFmtId="2" fontId="6" fillId="5" borderId="8" xfId="0" applyNumberFormat="1" applyFont="1" applyFill="1" applyBorder="1" applyAlignment="1">
      <alignment horizontal="right" vertical="center"/>
    </xf>
    <xf numFmtId="173" fontId="0" fillId="0" borderId="0" xfId="0" applyNumberFormat="1"/>
    <xf numFmtId="0" fontId="14" fillId="0" borderId="0" xfId="0" applyFont="1" applyAlignment="1">
      <alignment horizontal="center"/>
    </xf>
    <xf numFmtId="10" fontId="9" fillId="2" borderId="12" xfId="0" applyNumberFormat="1" applyFont="1" applyFill="1" applyBorder="1" applyAlignment="1">
      <alignment horizontal="left" vertical="center"/>
    </xf>
    <xf numFmtId="10" fontId="9" fillId="2" borderId="0" xfId="0" applyNumberFormat="1" applyFont="1" applyFill="1" applyAlignment="1">
      <alignment horizontal="left" vertical="center"/>
    </xf>
    <xf numFmtId="0" fontId="14" fillId="0" borderId="0" xfId="0" applyFont="1" applyAlignment="1">
      <alignment horizontal="center"/>
    </xf>
    <xf numFmtId="10" fontId="9" fillId="2" borderId="12" xfId="0" applyNumberFormat="1" applyFont="1" applyFill="1" applyBorder="1" applyAlignment="1">
      <alignment horizontal="left" vertical="center"/>
    </xf>
    <xf numFmtId="10" fontId="9" fillId="2" borderId="0" xfId="0" applyNumberFormat="1" applyFont="1" applyFill="1" applyAlignment="1">
      <alignment horizontal="left" vertical="center"/>
    </xf>
    <xf numFmtId="10" fontId="9" fillId="2" borderId="28" xfId="0" applyNumberFormat="1" applyFont="1" applyFill="1" applyBorder="1" applyAlignment="1">
      <alignment horizontal="left" vertical="center"/>
    </xf>
    <xf numFmtId="10" fontId="9" fillId="2" borderId="2" xfId="0" applyNumberFormat="1" applyFont="1" applyFill="1" applyBorder="1" applyAlignment="1">
      <alignment horizontal="left" vertical="center"/>
    </xf>
    <xf numFmtId="10" fontId="9" fillId="2" borderId="0" xfId="0" applyNumberFormat="1" applyFont="1" applyFill="1" applyAlignment="1">
      <alignment horizontal="left" vertical="center" wrapText="1"/>
    </xf>
    <xf numFmtId="0" fontId="8" fillId="0" borderId="9" xfId="0" applyFont="1" applyBorder="1" applyAlignment="1">
      <alignment horizontal="left" vertical="center" readingOrder="1"/>
    </xf>
    <xf numFmtId="0" fontId="8" fillId="0" borderId="10" xfId="0" applyFont="1" applyBorder="1" applyAlignment="1">
      <alignment horizontal="left" vertical="center" readingOrder="1"/>
    </xf>
    <xf numFmtId="0" fontId="17" fillId="3" borderId="6" xfId="0" applyFont="1" applyFill="1" applyBorder="1" applyAlignment="1">
      <alignment horizontal="center"/>
    </xf>
    <xf numFmtId="0" fontId="17" fillId="3" borderId="7" xfId="0" applyFont="1" applyFill="1" applyBorder="1" applyAlignment="1">
      <alignment horizontal="center"/>
    </xf>
    <xf numFmtId="0" fontId="17" fillId="3" borderId="8" xfId="0" applyFont="1" applyFill="1" applyBorder="1" applyAlignment="1">
      <alignment horizontal="center"/>
    </xf>
    <xf numFmtId="0" fontId="8" fillId="0" borderId="9" xfId="0" applyFont="1" applyBorder="1" applyAlignment="1">
      <alignment horizontal="center" vertical="center" wrapText="1" readingOrder="1"/>
    </xf>
    <xf numFmtId="0" fontId="8" fillId="0" borderId="16" xfId="0" applyFont="1" applyBorder="1" applyAlignment="1">
      <alignment horizontal="center" vertical="center" wrapText="1" readingOrder="1"/>
    </xf>
    <xf numFmtId="15" fontId="10" fillId="2" borderId="14" xfId="0" applyNumberFormat="1" applyFont="1" applyFill="1" applyBorder="1" applyAlignment="1">
      <alignment horizontal="center" vertical="center"/>
    </xf>
    <xf numFmtId="15" fontId="10" fillId="2" borderId="3" xfId="0" applyNumberFormat="1" applyFont="1" applyFill="1" applyBorder="1" applyAlignment="1">
      <alignment horizontal="center" vertical="center"/>
    </xf>
    <xf numFmtId="0" fontId="8" fillId="0" borderId="18" xfId="0" applyFont="1" applyBorder="1" applyAlignment="1">
      <alignment horizontal="center" vertical="center" wrapText="1" readingOrder="1"/>
    </xf>
    <xf numFmtId="0" fontId="8" fillId="0" borderId="20" xfId="0" applyFont="1" applyBorder="1" applyAlignment="1">
      <alignment horizontal="center" vertical="center" wrapText="1" readingOrder="1"/>
    </xf>
    <xf numFmtId="0" fontId="8" fillId="0" borderId="22" xfId="0" applyFont="1" applyBorder="1" applyAlignment="1">
      <alignment horizontal="center" vertical="center" wrapText="1" readingOrder="1"/>
    </xf>
    <xf numFmtId="169" fontId="0" fillId="5" borderId="0" xfId="0" applyNumberFormat="1" applyFill="1" applyAlignment="1">
      <alignment horizontal="center"/>
    </xf>
    <xf numFmtId="0" fontId="21" fillId="0" borderId="0" xfId="12" applyFill="1" applyAlignment="1">
      <alignment wrapText="1"/>
    </xf>
  </cellXfs>
  <cellStyles count="13">
    <cellStyle name="Comma" xfId="1" builtinId="3"/>
    <cellStyle name="Comma 2" xfId="4" xr:uid="{00000000-0005-0000-0000-000001000000}"/>
    <cellStyle name="Comma 2 2" xfId="11" xr:uid="{DF994D52-FA59-4BCC-B253-8395AFFDE301}"/>
    <cellStyle name="Comma 3" xfId="7" xr:uid="{00000000-0005-0000-0000-000002000000}"/>
    <cellStyle name="Comma 4" xfId="6" xr:uid="{00000000-0005-0000-0000-000003000000}"/>
    <cellStyle name="Currency" xfId="2" builtinId="4"/>
    <cellStyle name="Currency 2" xfId="5" xr:uid="{00000000-0005-0000-0000-000005000000}"/>
    <cellStyle name="Currency 3" xfId="8" xr:uid="{00000000-0005-0000-0000-000006000000}"/>
    <cellStyle name="Hyperlink" xfId="12" builtinId="8"/>
    <cellStyle name="Normal" xfId="0" builtinId="0"/>
    <cellStyle name="Normal 2" xfId="9" xr:uid="{00000000-0005-0000-0000-000008000000}"/>
    <cellStyle name="Percent" xfId="3" builtinId="5"/>
    <cellStyle name="Percent 2" xfId="10" xr:uid="{00000000-0005-0000-0000-00000A000000}"/>
  </cellStyles>
  <dxfs count="52">
    <dxf>
      <font>
        <color rgb="FFFF0000"/>
      </font>
      <fill>
        <patternFill patternType="none">
          <bgColor auto="1"/>
        </patternFill>
      </fill>
    </dxf>
    <dxf>
      <font>
        <color theme="0"/>
      </font>
    </dxf>
    <dxf>
      <font>
        <color rgb="FFFF0000"/>
      </font>
      <fill>
        <patternFill patternType="none">
          <bgColor auto="1"/>
        </patternFill>
      </fill>
    </dxf>
    <dxf>
      <font>
        <color theme="0"/>
      </font>
    </dxf>
    <dxf>
      <font>
        <color rgb="FFFF0000"/>
      </font>
      <fill>
        <patternFill patternType="none">
          <bgColor auto="1"/>
        </patternFill>
      </fill>
    </dxf>
    <dxf>
      <font>
        <color theme="0"/>
      </font>
    </dxf>
    <dxf>
      <font>
        <color theme="0"/>
      </font>
    </dxf>
    <dxf>
      <font>
        <color rgb="FFFF0000"/>
      </font>
      <fill>
        <patternFill patternType="none">
          <bgColor auto="1"/>
        </patternFill>
      </fill>
    </dxf>
    <dxf>
      <font>
        <color theme="0"/>
      </font>
    </dxf>
    <dxf>
      <font>
        <color rgb="FFFF0000"/>
      </font>
      <fill>
        <patternFill patternType="none">
          <bgColor auto="1"/>
        </patternFill>
      </fill>
    </dxf>
    <dxf>
      <font>
        <color theme="0"/>
      </font>
    </dxf>
    <dxf>
      <font>
        <color rgb="FFFF0000"/>
      </font>
      <fill>
        <patternFill patternType="none">
          <bgColor auto="1"/>
        </patternFill>
      </fill>
    </dxf>
    <dxf>
      <font>
        <color theme="0"/>
      </font>
    </dxf>
    <dxf>
      <font>
        <color rgb="FFFF0000"/>
      </font>
      <fill>
        <patternFill patternType="none">
          <bgColor auto="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fill>
        <patternFill patternType="none">
          <bgColor auto="1"/>
        </patternFill>
      </fill>
    </dxf>
    <dxf>
      <font>
        <color theme="0"/>
      </font>
    </dxf>
    <dxf>
      <font>
        <color rgb="FFFF0000"/>
      </font>
      <fill>
        <patternFill patternType="none">
          <bgColor auto="1"/>
        </patternFill>
      </fill>
    </dxf>
    <dxf>
      <font>
        <color theme="0"/>
      </font>
    </dxf>
    <dxf>
      <font>
        <color rgb="FFFF0000"/>
      </font>
      <fill>
        <patternFill patternType="none">
          <bgColor auto="1"/>
        </patternFill>
      </fill>
    </dxf>
    <dxf>
      <font>
        <color theme="0"/>
      </font>
    </dxf>
    <dxf>
      <font>
        <color rgb="FFFF0000"/>
      </font>
      <fill>
        <patternFill patternType="none">
          <bgColor auto="1"/>
        </patternFill>
      </fill>
    </dxf>
    <dxf>
      <font>
        <color theme="0"/>
      </font>
    </dxf>
    <dxf>
      <font>
        <color theme="0"/>
      </font>
    </dxf>
    <dxf>
      <font>
        <color rgb="FFFF0000"/>
      </font>
      <fill>
        <patternFill patternType="none">
          <bgColor auto="1"/>
        </patternFill>
      </fill>
    </dxf>
    <dxf>
      <font>
        <color theme="0"/>
      </font>
    </dxf>
    <dxf>
      <font>
        <color rgb="FFFF0000"/>
      </font>
      <fill>
        <patternFill patternType="none">
          <bgColor auto="1"/>
        </patternFill>
      </fill>
    </dxf>
    <dxf>
      <font>
        <color theme="0"/>
      </font>
    </dxf>
    <dxf>
      <font>
        <color rgb="FFFF0000"/>
      </font>
      <fill>
        <patternFill patternType="none">
          <bgColor auto="1"/>
        </patternFill>
      </fill>
    </dxf>
    <dxf>
      <font>
        <color theme="0"/>
      </font>
    </dxf>
    <dxf>
      <font>
        <color rgb="FFFF0000"/>
      </font>
      <fill>
        <patternFill patternType="none">
          <bgColor auto="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fill>
        <patternFill patternType="none">
          <bgColor auto="1"/>
        </patternFill>
      </fill>
    </dxf>
    <dxf>
      <font>
        <color theme="0"/>
      </font>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cob/Dropbox%20(Catalyst%20Funds)/Marketing%20Team%20Files/Marketing%20Materials/Fact%20Sheets/Rational%202020-Q3/NUX/FACT%20SHEET%20BACKUP%20DATA%20-%20Rational-NuWave%20Enhanced%20Market%20Opportunity%20Fund%20(09-3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X Return Data"/>
      <sheetName val="NUX - FACT SHEET"/>
    </sheetNames>
    <sheetDataSet>
      <sheetData sheetId="0">
        <row r="2">
          <cell r="N2" t="str">
            <v>CURRENT</v>
          </cell>
          <cell r="O2">
            <v>44104</v>
          </cell>
        </row>
        <row r="3">
          <cell r="N3" t="str">
            <v>Risk Free Rate:</v>
          </cell>
        </row>
        <row r="4">
          <cell r="N4" t="str">
            <v>Months:</v>
          </cell>
        </row>
        <row r="7">
          <cell r="N7" t="str">
            <v>Standard Deviation:</v>
          </cell>
        </row>
        <row r="8">
          <cell r="N8" t="str">
            <v>Beta:</v>
          </cell>
          <cell r="P8">
            <v>0.646589518386258</v>
          </cell>
          <cell r="R8">
            <v>-1.2897511445885029E-2</v>
          </cell>
        </row>
        <row r="9">
          <cell r="N9" t="str">
            <v>Cumulative Return</v>
          </cell>
        </row>
        <row r="10">
          <cell r="N10" t="str">
            <v>Ann. Inception</v>
          </cell>
        </row>
        <row r="11">
          <cell r="N11" t="str">
            <v>Alpha:</v>
          </cell>
          <cell r="P11">
            <v>-5.7310850083947006E-2</v>
          </cell>
          <cell r="R11">
            <v>1.4203546578522202E-4</v>
          </cell>
        </row>
        <row r="12">
          <cell r="N12" t="str">
            <v>R-squared:</v>
          </cell>
          <cell r="P12">
            <v>0.29357144401037899</v>
          </cell>
          <cell r="R12">
            <v>4.8159304532640885E-4</v>
          </cell>
        </row>
        <row r="13">
          <cell r="N13" t="str">
            <v>Sharpe Ratio:</v>
          </cell>
        </row>
        <row r="14">
          <cell r="N14" t="str">
            <v># positive months</v>
          </cell>
        </row>
        <row r="15">
          <cell r="N15" t="str">
            <v>% positive months</v>
          </cell>
        </row>
        <row r="16">
          <cell r="N16" t="str">
            <v>max DD</v>
          </cell>
        </row>
        <row r="19">
          <cell r="S19" t="str">
            <v>NUXIX</v>
          </cell>
          <cell r="T19" t="str">
            <v>SP500TR</v>
          </cell>
          <cell r="U19" t="str">
            <v>SG CTA MF Index</v>
          </cell>
        </row>
        <row r="20">
          <cell r="N20" t="str">
            <v>YTD</v>
          </cell>
          <cell r="S20">
            <v>-0.36658659988756581</v>
          </cell>
          <cell r="T20">
            <v>5.5734508062018046E-2</v>
          </cell>
          <cell r="U20">
            <v>-2.5566742144630211E-2</v>
          </cell>
        </row>
        <row r="21">
          <cell r="N21" t="str">
            <v>QTD</v>
          </cell>
          <cell r="S21">
            <v>-2.6929418230352515E-2</v>
          </cell>
          <cell r="T21">
            <v>8.9293052063472961E-2</v>
          </cell>
          <cell r="U21">
            <v>-8.7429026854424843E-3</v>
          </cell>
        </row>
        <row r="22">
          <cell r="N22" t="str">
            <v>1 Year</v>
          </cell>
          <cell r="S22">
            <v>-0.35404752238084092</v>
          </cell>
          <cell r="T22">
            <v>0.15148978379286948</v>
          </cell>
          <cell r="U22">
            <v>-6.0227417618964774E-2</v>
          </cell>
        </row>
        <row r="23">
          <cell r="N23" t="str">
            <v>3 Years</v>
          </cell>
          <cell r="S23">
            <v>-4.272902190780048E-2</v>
          </cell>
          <cell r="T23">
            <v>0.12279734244878582</v>
          </cell>
          <cell r="U23">
            <v>-1.1710258608077506E-3</v>
          </cell>
        </row>
        <row r="24">
          <cell r="N24" t="str">
            <v>5 Years</v>
          </cell>
          <cell r="S24">
            <v>2.3312894411255503E-2</v>
          </cell>
          <cell r="T24">
            <v>0.14148117260728155</v>
          </cell>
          <cell r="U24">
            <v>-2.013043808870596E-2</v>
          </cell>
        </row>
        <row r="25">
          <cell r="N25" t="str">
            <v>Inception*</v>
          </cell>
          <cell r="S25">
            <v>3.0046326221568886E-2</v>
          </cell>
          <cell r="T25">
            <v>0.13457654246769857</v>
          </cell>
          <cell r="U25">
            <v>-6.1520803498282817E-4</v>
          </cell>
        </row>
        <row r="26">
          <cell r="N26" t="str">
            <v>Current</v>
          </cell>
          <cell r="P26">
            <v>12394</v>
          </cell>
          <cell r="Q26">
            <v>24977.274778433635</v>
          </cell>
          <cell r="R26">
            <v>9955.4830747897213</v>
          </cell>
        </row>
        <row r="28">
          <cell r="S28" t="str">
            <v>NUXIX</v>
          </cell>
          <cell r="T28" t="str">
            <v>SP500TR</v>
          </cell>
          <cell r="U28" t="str">
            <v>SG CTA MF Index</v>
          </cell>
        </row>
        <row r="30">
          <cell r="N30">
            <v>2013</v>
          </cell>
          <cell r="S30">
            <v>6.4826999999999968E-2</v>
          </cell>
          <cell r="T30">
            <v>0.19694229346040726</v>
          </cell>
          <cell r="U30">
            <v>2.2461654914633922E-3</v>
          </cell>
        </row>
        <row r="31">
          <cell r="N31">
            <v>2014</v>
          </cell>
          <cell r="S31">
            <v>7.5947548287186528E-2</v>
          </cell>
          <cell r="T31">
            <v>0.1368836315708517</v>
          </cell>
          <cell r="U31">
            <v>0.10276335709748952</v>
          </cell>
        </row>
        <row r="32">
          <cell r="N32">
            <v>2015</v>
          </cell>
          <cell r="S32">
            <v>3.300433447557749E-2</v>
          </cell>
          <cell r="T32">
            <v>1.3837599218981866E-2</v>
          </cell>
          <cell r="U32">
            <v>-3.3459215187663593E-2</v>
          </cell>
        </row>
        <row r="33">
          <cell r="N33">
            <v>2016</v>
          </cell>
          <cell r="S33">
            <v>0.13980689659834167</v>
          </cell>
          <cell r="T33">
            <v>0.11959912078710522</v>
          </cell>
          <cell r="U33">
            <v>-5.4249325732154352E-2</v>
          </cell>
        </row>
        <row r="34">
          <cell r="N34">
            <v>2017</v>
          </cell>
          <cell r="S34">
            <v>0.13226125929780719</v>
          </cell>
          <cell r="T34">
            <v>0.21831601482707264</v>
          </cell>
          <cell r="U34">
            <v>3.3188952321940857E-2</v>
          </cell>
        </row>
        <row r="35">
          <cell r="N35">
            <v>2018</v>
          </cell>
          <cell r="S35">
            <v>2.9989046681563547E-2</v>
          </cell>
          <cell r="T35">
            <v>-4.3842417452558236E-2</v>
          </cell>
          <cell r="U35">
            <v>-5.3109813154788466E-2</v>
          </cell>
        </row>
        <row r="36">
          <cell r="N36">
            <v>2019</v>
          </cell>
          <cell r="S36">
            <v>0.24377382093521738</v>
          </cell>
          <cell r="T36">
            <v>0.31486370986834444</v>
          </cell>
          <cell r="U36">
            <v>3.3659014371282936E-2</v>
          </cell>
        </row>
        <row r="37">
          <cell r="N37">
            <v>2020</v>
          </cell>
          <cell r="S37">
            <v>-0.36658659988756581</v>
          </cell>
          <cell r="T37">
            <v>5.5734508062017962E-2</v>
          </cell>
          <cell r="U37">
            <v>-2.5566742144630172E-2</v>
          </cell>
        </row>
        <row r="40">
          <cell r="N40" t="str">
            <v>2013 YTD</v>
          </cell>
          <cell r="O40">
            <v>6.4826999999999968E-2</v>
          </cell>
          <cell r="P40">
            <v>2.2461654914633922E-3</v>
          </cell>
        </row>
        <row r="41">
          <cell r="N41">
            <v>2014</v>
          </cell>
          <cell r="O41">
            <v>7.5947548287186528E-2</v>
          </cell>
          <cell r="P41">
            <v>0.10276335709748952</v>
          </cell>
        </row>
        <row r="42">
          <cell r="N42">
            <v>2015</v>
          </cell>
          <cell r="O42">
            <v>3.300433447557749E-2</v>
          </cell>
          <cell r="P42">
            <v>-3.3459215187663593E-2</v>
          </cell>
        </row>
        <row r="43">
          <cell r="N43">
            <v>2016</v>
          </cell>
          <cell r="O43">
            <v>0.13980689659834167</v>
          </cell>
          <cell r="P43">
            <v>-5.4249325732154352E-2</v>
          </cell>
        </row>
        <row r="44">
          <cell r="N44">
            <v>2017</v>
          </cell>
          <cell r="O44">
            <v>0.13226125929780719</v>
          </cell>
          <cell r="P44">
            <v>3.3188952321940857E-2</v>
          </cell>
        </row>
        <row r="45">
          <cell r="N45">
            <v>2018</v>
          </cell>
          <cell r="O45">
            <v>2.9989046681563547E-2</v>
          </cell>
          <cell r="P45">
            <v>-5.3109813154788466E-2</v>
          </cell>
        </row>
        <row r="46">
          <cell r="N46">
            <v>2019</v>
          </cell>
          <cell r="O46">
            <v>0.24377382093521738</v>
          </cell>
          <cell r="P46">
            <v>3.3659014371282936E-2</v>
          </cell>
        </row>
        <row r="47">
          <cell r="N47">
            <v>2020</v>
          </cell>
          <cell r="P47">
            <v>-2.5566742144630172E-2</v>
          </cell>
        </row>
        <row r="50">
          <cell r="N50" t="str">
            <v>% Positive Years</v>
          </cell>
          <cell r="O50">
            <v>0.875</v>
          </cell>
          <cell r="P50">
            <v>0.875</v>
          </cell>
        </row>
      </sheetData>
      <sheetData sheetId="1">
        <row r="25">
          <cell r="D25" t="str">
            <v>YTD</v>
          </cell>
          <cell r="E25" t="str">
            <v>1 Year</v>
          </cell>
          <cell r="F25" t="str">
            <v>3 Years</v>
          </cell>
          <cell r="G25" t="str">
            <v>5 Years</v>
          </cell>
          <cell r="H25" t="str">
            <v>Inception*</v>
          </cell>
        </row>
        <row r="35">
          <cell r="D35">
            <v>2013</v>
          </cell>
          <cell r="E35">
            <v>2014</v>
          </cell>
          <cell r="F35">
            <v>2015</v>
          </cell>
          <cell r="G35">
            <v>2016</v>
          </cell>
          <cell r="H35">
            <v>2017</v>
          </cell>
          <cell r="I35">
            <v>2018</v>
          </cell>
          <cell r="J35">
            <v>2019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ortal.barclayhedge.com/cgi-bin/indices/displayHfIndex.cgi?indexCat=SG-Prime-Services-Indices&amp;indexName=SG-CTA-Mutual-Fund-Inde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4580E-67B2-46CE-8983-49B5B5271DAA}">
  <dimension ref="A1:Y94"/>
  <sheetViews>
    <sheetView tabSelected="1" zoomScaleNormal="100" workbookViewId="0">
      <pane ySplit="2" topLeftCell="A21" activePane="bottomLeft" state="frozen"/>
      <selection pane="bottomLeft"/>
    </sheetView>
  </sheetViews>
  <sheetFormatPr defaultColWidth="8.6640625" defaultRowHeight="14.4"/>
  <cols>
    <col min="1" max="1" width="11.33203125" style="49" bestFit="1" customWidth="1"/>
    <col min="2" max="2" width="13.109375" style="49" bestFit="1" customWidth="1"/>
    <col min="3" max="3" width="15.6640625" style="49" bestFit="1" customWidth="1"/>
    <col min="4" max="9" width="10.5546875" style="80" customWidth="1"/>
    <col min="10" max="12" width="8.6640625" style="51"/>
    <col min="13" max="13" width="8" style="51" customWidth="1"/>
    <col min="14" max="14" width="22.109375" style="51" bestFit="1" customWidth="1"/>
    <col min="15" max="15" width="11.33203125" style="51" bestFit="1" customWidth="1"/>
    <col min="16" max="16" width="20" style="47" bestFit="1" customWidth="1"/>
    <col min="17" max="17" width="16.5546875" style="47" bestFit="1" customWidth="1"/>
    <col min="18" max="18" width="13" style="47" bestFit="1" customWidth="1"/>
    <col min="19" max="20" width="14.6640625" style="48" customWidth="1"/>
    <col min="21" max="21" width="14.88671875" style="51" bestFit="1" customWidth="1"/>
    <col min="22" max="22" width="16.44140625" style="51" bestFit="1" customWidth="1"/>
    <col min="23" max="23" width="6.5546875" style="51" bestFit="1" customWidth="1"/>
    <col min="24" max="24" width="9.109375" style="51" bestFit="1" customWidth="1"/>
    <col min="25" max="25" width="9.109375" style="51" customWidth="1"/>
    <col min="26" max="26" width="16" style="51" customWidth="1"/>
    <col min="27" max="27" width="9.109375" style="51" customWidth="1"/>
    <col min="28" max="28" width="11.44140625" style="51" bestFit="1" customWidth="1"/>
    <col min="29" max="16384" width="8.6640625" style="51"/>
  </cols>
  <sheetData>
    <row r="1" spans="1:25">
      <c r="C1" s="121" t="s">
        <v>43</v>
      </c>
      <c r="D1" s="81"/>
      <c r="E1" s="81"/>
      <c r="F1" s="81"/>
      <c r="G1" s="81" t="s">
        <v>32</v>
      </c>
      <c r="H1" s="81"/>
      <c r="I1" s="81"/>
      <c r="J1" t="s">
        <v>33</v>
      </c>
    </row>
    <row r="2" spans="1:25" s="47" customFormat="1">
      <c r="A2" s="45" t="s">
        <v>15</v>
      </c>
      <c r="B2" s="45" t="s">
        <v>14</v>
      </c>
      <c r="C2" s="45" t="s">
        <v>41</v>
      </c>
      <c r="D2" s="45" t="s">
        <v>14</v>
      </c>
      <c r="E2" s="45" t="s">
        <v>41</v>
      </c>
      <c r="F2" s="45" t="s">
        <v>31</v>
      </c>
      <c r="G2" s="45" t="s">
        <v>31</v>
      </c>
      <c r="H2" s="45" t="s">
        <v>14</v>
      </c>
      <c r="I2" s="45" t="s">
        <v>40</v>
      </c>
      <c r="J2" s="46" t="s">
        <v>31</v>
      </c>
      <c r="K2" s="46" t="s">
        <v>14</v>
      </c>
      <c r="L2" s="108" t="s">
        <v>41</v>
      </c>
      <c r="M2" s="46"/>
      <c r="N2" s="88" t="s">
        <v>16</v>
      </c>
      <c r="O2" s="66">
        <v>44104</v>
      </c>
      <c r="S2" s="48"/>
      <c r="T2" s="48"/>
    </row>
    <row r="3" spans="1:25" s="47" customFormat="1">
      <c r="A3" s="49">
        <v>41364</v>
      </c>
      <c r="B3" s="82">
        <v>2770.05</v>
      </c>
      <c r="C3" s="82">
        <v>1006.129</v>
      </c>
      <c r="D3" s="50"/>
      <c r="E3" s="50"/>
      <c r="F3" s="50"/>
      <c r="G3" s="114">
        <v>10000</v>
      </c>
      <c r="H3" s="50">
        <v>10000</v>
      </c>
      <c r="I3" s="50">
        <v>10000</v>
      </c>
      <c r="J3" s="51"/>
      <c r="K3" s="51"/>
      <c r="L3" s="51"/>
      <c r="M3" s="51"/>
      <c r="N3" s="51" t="s">
        <v>17</v>
      </c>
      <c r="O3" s="51"/>
      <c r="P3" s="181">
        <v>9.6599999999999995E-4</v>
      </c>
      <c r="Q3" s="163"/>
      <c r="R3" s="163"/>
      <c r="S3" s="163"/>
      <c r="T3" s="160"/>
    </row>
    <row r="4" spans="1:25" s="47" customFormat="1">
      <c r="A4" s="49">
        <f>WORKDAY(EOMONTH(A3,1)+1,-1)</f>
        <v>41394</v>
      </c>
      <c r="B4" s="82">
        <v>2823.42</v>
      </c>
      <c r="C4" s="82">
        <v>1008.28446003917</v>
      </c>
      <c r="D4" s="52">
        <f t="shared" ref="D4:E35" si="0">B4/B3-1</f>
        <v>1.9266800238262771E-2</v>
      </c>
      <c r="E4" s="52">
        <f t="shared" si="0"/>
        <v>2.1423297004359299E-3</v>
      </c>
      <c r="F4" s="52">
        <f>G4/G3-1</f>
        <v>2.9198999999999975E-2</v>
      </c>
      <c r="G4" s="114">
        <v>10291.99</v>
      </c>
      <c r="H4" s="50">
        <f t="shared" ref="H4:I19" si="1">H3*(1+D4)</f>
        <v>10192.668002382628</v>
      </c>
      <c r="I4" s="50">
        <f t="shared" si="1"/>
        <v>10021.423297004359</v>
      </c>
      <c r="J4" s="52">
        <f>(G4-(MAX($G$3:G4)))/(MAX($G$3:G4))</f>
        <v>0</v>
      </c>
      <c r="K4" s="52">
        <f>(H4-(MAX($H$3:H4)))/(MAX($H$3:H4))</f>
        <v>0</v>
      </c>
      <c r="L4" s="52">
        <f>(I4-(MAX($I$3:I4)))/(MAX($I$3:I4))</f>
        <v>0</v>
      </c>
      <c r="M4" s="53"/>
      <c r="N4" s="51" t="s">
        <v>18</v>
      </c>
      <c r="O4" s="51"/>
      <c r="P4" s="54">
        <f>COUNTA(A:A)-2</f>
        <v>90</v>
      </c>
      <c r="S4" s="48"/>
      <c r="T4" s="48"/>
    </row>
    <row r="5" spans="1:25" s="47" customFormat="1">
      <c r="A5" s="49">
        <f t="shared" ref="A5:A68" si="2">WORKDAY(EOMONTH(A4,1)+1,-1)</f>
        <v>41425</v>
      </c>
      <c r="B5" s="82">
        <v>2889.46</v>
      </c>
      <c r="C5" s="82">
        <v>1012.48622753871</v>
      </c>
      <c r="D5" s="52">
        <f t="shared" si="0"/>
        <v>2.3390073031996694E-2</v>
      </c>
      <c r="E5" s="52">
        <f t="shared" si="0"/>
        <v>4.1672441320546039E-3</v>
      </c>
      <c r="F5" s="52">
        <f t="shared" ref="F5:F68" si="3">G5/G4-1</f>
        <v>-1.4495738919295564E-2</v>
      </c>
      <c r="G5" s="114">
        <v>10142.799999999999</v>
      </c>
      <c r="H5" s="50">
        <f t="shared" si="1"/>
        <v>10431.075251349253</v>
      </c>
      <c r="I5" s="50">
        <f t="shared" si="1"/>
        <v>10063.185014433637</v>
      </c>
      <c r="J5" s="52">
        <f>(G5-(MAX($G$3:G5)))/(MAX($G$3:G5))</f>
        <v>-1.449573891929554E-2</v>
      </c>
      <c r="K5" s="52">
        <f>(H5-(MAX($H$3:H5)))/(MAX($H$3:H5))</f>
        <v>0</v>
      </c>
      <c r="L5" s="52">
        <f>(I5-(MAX($I$3:I5)))/(MAX($I$3:I5))</f>
        <v>0</v>
      </c>
      <c r="M5" s="53"/>
      <c r="N5" s="51"/>
      <c r="O5" s="51"/>
      <c r="S5" s="48"/>
      <c r="T5" s="48"/>
    </row>
    <row r="6" spans="1:25" s="47" customFormat="1">
      <c r="A6" s="49">
        <f t="shared" si="2"/>
        <v>41453</v>
      </c>
      <c r="B6" s="82">
        <v>2850.66</v>
      </c>
      <c r="C6" s="82">
        <v>1012.65958057649</v>
      </c>
      <c r="D6" s="52">
        <f t="shared" si="0"/>
        <v>-1.3428114595806839E-2</v>
      </c>
      <c r="E6" s="52">
        <f t="shared" si="0"/>
        <v>1.7121520576290905E-4</v>
      </c>
      <c r="F6" s="52">
        <f t="shared" si="3"/>
        <v>2.0295184761604412E-2</v>
      </c>
      <c r="G6" s="114">
        <v>10348.65</v>
      </c>
      <c r="H6" s="50">
        <f t="shared" si="1"/>
        <v>10291.005577516651</v>
      </c>
      <c r="I6" s="50">
        <f t="shared" si="1"/>
        <v>10064.907984726513</v>
      </c>
      <c r="J6" s="52">
        <f>(G6-(MAX($G$3:G6)))/(MAX($G$3:G6))</f>
        <v>0</v>
      </c>
      <c r="K6" s="52">
        <f>(H6-(MAX($H$3:H6)))/(MAX($H$3:H6))</f>
        <v>-1.3428114595806834E-2</v>
      </c>
      <c r="L6" s="52">
        <f>(I6-(MAX($I$3:I6)))/(MAX($I$3:I6))</f>
        <v>0</v>
      </c>
      <c r="M6" s="53"/>
      <c r="N6" s="51"/>
      <c r="O6" s="51"/>
      <c r="P6" s="55" t="str">
        <f>J2</f>
        <v>NUXIX</v>
      </c>
      <c r="Q6" s="56" t="str">
        <f>K2</f>
        <v>S&amp;P 500 TR Index</v>
      </c>
      <c r="R6" s="109" t="s">
        <v>41</v>
      </c>
    </row>
    <row r="7" spans="1:25" s="47" customFormat="1">
      <c r="A7" s="49">
        <f t="shared" si="2"/>
        <v>41486</v>
      </c>
      <c r="B7" s="82">
        <v>2995.72</v>
      </c>
      <c r="C7" s="82">
        <v>1004.92271252153</v>
      </c>
      <c r="D7" s="52">
        <f t="shared" si="0"/>
        <v>5.0886461380873271E-2</v>
      </c>
      <c r="E7" s="52">
        <f t="shared" si="0"/>
        <v>-7.6401469984173076E-3</v>
      </c>
      <c r="F7" s="52">
        <f t="shared" si="3"/>
        <v>-8.1025061239872187E-3</v>
      </c>
      <c r="G7" s="114">
        <v>10264.799999999999</v>
      </c>
      <c r="H7" s="50">
        <f t="shared" si="1"/>
        <v>10814.678435407304</v>
      </c>
      <c r="I7" s="50">
        <f t="shared" si="1"/>
        <v>9988.0106081976592</v>
      </c>
      <c r="J7" s="52">
        <f>(G7-(MAX($G$3:G7)))/(MAX($G$3:G7))</f>
        <v>-8.1025061239872222E-3</v>
      </c>
      <c r="K7" s="52">
        <f>(H7-(MAX($H$3:H7)))/(MAX($H$3:H7))</f>
        <v>0</v>
      </c>
      <c r="L7" s="52">
        <f>(I7-(MAX($I$3:I7)))/(MAX($I$3:I7))</f>
        <v>-7.6401469984172209E-3</v>
      </c>
      <c r="M7" s="53"/>
      <c r="N7" s="51" t="s">
        <v>19</v>
      </c>
      <c r="O7" s="51"/>
      <c r="P7" s="57">
        <f>STDEV(F4:F93)*SQRT(12)</f>
        <v>0.16182498568415593</v>
      </c>
      <c r="Q7" s="57">
        <f>STDEV(D4:D1033)*SQRT(12)</f>
        <v>0.13409769685184111</v>
      </c>
      <c r="R7" s="57">
        <f>STDEV(E4:E1033)*SQRT(12)</f>
        <v>7.9696571787082365E-2</v>
      </c>
    </row>
    <row r="8" spans="1:25" s="47" customFormat="1">
      <c r="A8" s="49">
        <f t="shared" si="2"/>
        <v>41516</v>
      </c>
      <c r="B8" s="82">
        <v>2908.96</v>
      </c>
      <c r="C8" s="82">
        <v>998.53101947086304</v>
      </c>
      <c r="D8" s="52">
        <f t="shared" si="0"/>
        <v>-2.8961318147223247E-2</v>
      </c>
      <c r="E8" s="52">
        <f t="shared" si="0"/>
        <v>-6.3603827150339187E-3</v>
      </c>
      <c r="F8" s="52">
        <f t="shared" si="3"/>
        <v>-7.0999922063751386E-3</v>
      </c>
      <c r="G8" s="114">
        <v>10191.92</v>
      </c>
      <c r="H8" s="50">
        <f t="shared" si="1"/>
        <v>10501.471092579559</v>
      </c>
      <c r="I8" s="50">
        <f t="shared" si="1"/>
        <v>9924.4830381677039</v>
      </c>
      <c r="J8" s="52">
        <f>(G8-(MAX($G$3:G8)))/(MAX($G$3:G8))</f>
        <v>-1.5144970600029914E-2</v>
      </c>
      <c r="K8" s="52">
        <f>(H8-(MAX($H$3:H8)))/(MAX($H$3:H8))</f>
        <v>-2.8961318147223237E-2</v>
      </c>
      <c r="L8" s="52">
        <f>(I8-(MAX($I$3:I8)))/(MAX($I$3:I8))</f>
        <v>-1.3951935454542038E-2</v>
      </c>
      <c r="M8" s="53"/>
      <c r="N8" s="51" t="s">
        <v>21</v>
      </c>
      <c r="O8" s="51"/>
      <c r="P8" s="87">
        <f>COVAR(F4:F93,D4:D93)/VAR(D4:D93)</f>
        <v>0.646589518386258</v>
      </c>
      <c r="Q8" s="54"/>
      <c r="R8" s="54">
        <f>COVAR(E4:E93,D4:D93)/VAR(D4:D93)</f>
        <v>-1.2897511445885029E-2</v>
      </c>
    </row>
    <row r="9" spans="1:25" s="47" customFormat="1">
      <c r="A9" s="49">
        <f t="shared" si="2"/>
        <v>41547</v>
      </c>
      <c r="B9" s="82">
        <v>3000.18</v>
      </c>
      <c r="C9" s="82">
        <v>988.64372235685198</v>
      </c>
      <c r="D9" s="52">
        <f t="shared" si="0"/>
        <v>3.135828612287539E-2</v>
      </c>
      <c r="E9" s="52">
        <f t="shared" si="0"/>
        <v>-9.9018427281812871E-3</v>
      </c>
      <c r="F9" s="52">
        <f t="shared" si="3"/>
        <v>-6.2981263589196868E-3</v>
      </c>
      <c r="G9" s="114">
        <v>10127.73</v>
      </c>
      <c r="H9" s="50">
        <f t="shared" si="1"/>
        <v>10830.779227811774</v>
      </c>
      <c r="I9" s="50">
        <f t="shared" si="1"/>
        <v>9826.212367965265</v>
      </c>
      <c r="J9" s="52">
        <f>(G9-(MAX($G$3:G9)))/(MAX($G$3:G9))</f>
        <v>-2.1347712020408468E-2</v>
      </c>
      <c r="K9" s="52">
        <f>(H9-(MAX($H$3:H9)))/(MAX($H$3:H9))</f>
        <v>0</v>
      </c>
      <c r="L9" s="52">
        <f>(I9-(MAX($I$3:I9)))/(MAX($I$3:I9))</f>
        <v>-2.3715628312098658E-2</v>
      </c>
      <c r="M9" s="53"/>
      <c r="N9" s="51" t="s">
        <v>22</v>
      </c>
      <c r="O9" s="51"/>
      <c r="P9" s="57">
        <f>(P26-P25)/P25</f>
        <v>0.2394</v>
      </c>
      <c r="Q9" s="57">
        <f>(Q26-Q25)/Q25</f>
        <v>1.4977274778433636</v>
      </c>
      <c r="R9" s="57">
        <f>(R26-R25)/R25</f>
        <v>-4.4516925210278712E-3</v>
      </c>
    </row>
    <row r="10" spans="1:25" s="47" customFormat="1">
      <c r="A10" s="49">
        <f t="shared" si="2"/>
        <v>41578</v>
      </c>
      <c r="B10" s="82">
        <v>3138.09</v>
      </c>
      <c r="C10" s="82">
        <v>994.25169819569999</v>
      </c>
      <c r="D10" s="52">
        <f t="shared" si="0"/>
        <v>4.5967241965482186E-2</v>
      </c>
      <c r="E10" s="52">
        <f t="shared" si="0"/>
        <v>5.6723931099051939E-3</v>
      </c>
      <c r="F10" s="52">
        <f t="shared" si="3"/>
        <v>-9.9824936091297278E-4</v>
      </c>
      <c r="G10" s="114">
        <v>10117.620000000001</v>
      </c>
      <c r="H10" s="50">
        <f t="shared" si="1"/>
        <v>11328.640277251316</v>
      </c>
      <c r="I10" s="50">
        <f t="shared" si="1"/>
        <v>9881.9505072977772</v>
      </c>
      <c r="J10" s="52">
        <f>(G10-(MAX($G$3:G10)))/(MAX($G$3:G10))</f>
        <v>-2.2324651041440075E-2</v>
      </c>
      <c r="K10" s="52">
        <f>(H10-(MAX($H$3:H10)))/(MAX($H$3:H10))</f>
        <v>0</v>
      </c>
      <c r="L10" s="52">
        <f>(I10-(MAX($I$3:I10)))/(MAX($I$3:I10))</f>
        <v>-1.8177759568828E-2</v>
      </c>
      <c r="M10" s="53"/>
      <c r="N10" s="51" t="s">
        <v>23</v>
      </c>
      <c r="O10" s="51"/>
      <c r="P10" s="57">
        <f>S25</f>
        <v>3.0046326221568886E-2</v>
      </c>
      <c r="Q10" s="57">
        <f>T25</f>
        <v>0.13457654246769857</v>
      </c>
      <c r="R10" s="57">
        <f>U25</f>
        <v>-6.1520803498282817E-4</v>
      </c>
    </row>
    <row r="11" spans="1:25" s="47" customFormat="1">
      <c r="A11" s="49">
        <f t="shared" si="2"/>
        <v>41607</v>
      </c>
      <c r="B11" s="82">
        <v>3233.72</v>
      </c>
      <c r="C11" s="82">
        <v>1007.75953734614</v>
      </c>
      <c r="D11" s="52">
        <f t="shared" si="0"/>
        <v>3.0473950715243836E-2</v>
      </c>
      <c r="E11" s="52">
        <f t="shared" si="0"/>
        <v>1.3585935206299471E-2</v>
      </c>
      <c r="F11" s="52">
        <f t="shared" si="3"/>
        <v>2.1598953113479036E-2</v>
      </c>
      <c r="G11" s="114">
        <v>10336.15</v>
      </c>
      <c r="H11" s="50">
        <f t="shared" si="1"/>
        <v>11673.868702730999</v>
      </c>
      <c r="I11" s="50">
        <f t="shared" si="1"/>
        <v>10016.206046601783</v>
      </c>
      <c r="J11" s="52">
        <f>(G11-(MAX($G$3:G11)))/(MAX($G$3:G11))</f>
        <v>-1.2078870190797835E-3</v>
      </c>
      <c r="K11" s="52">
        <f>(H11-(MAX($H$3:H11)))/(MAX($H$3:H11))</f>
        <v>0</v>
      </c>
      <c r="L11" s="52">
        <f>(I11-(MAX($I$3:I11)))/(MAX($I$3:I11))</f>
        <v>-4.8387862262263314E-3</v>
      </c>
      <c r="M11" s="53"/>
      <c r="N11" s="51" t="s">
        <v>24</v>
      </c>
      <c r="O11" s="51"/>
      <c r="P11" s="94">
        <f>((P10-P3)-P8*(Q10-P3))</f>
        <v>-5.7310850083947006E-2</v>
      </c>
      <c r="R11" s="57">
        <f>((R10-P3)-R8*(Q10-P3))</f>
        <v>1.4203546578522202E-4</v>
      </c>
    </row>
    <row r="12" spans="1:25" s="47" customFormat="1">
      <c r="A12" s="49">
        <f t="shared" si="2"/>
        <v>41639</v>
      </c>
      <c r="B12" s="82">
        <v>3315.59</v>
      </c>
      <c r="C12" s="82">
        <v>1008.38893223976</v>
      </c>
      <c r="D12" s="52">
        <f t="shared" si="0"/>
        <v>2.5317590886038577E-2</v>
      </c>
      <c r="E12" s="52">
        <f t="shared" si="0"/>
        <v>6.2454868477601622E-4</v>
      </c>
      <c r="F12" s="52">
        <f t="shared" si="3"/>
        <v>3.0196930191609184E-2</v>
      </c>
      <c r="G12" s="114">
        <v>10648.27</v>
      </c>
      <c r="H12" s="50">
        <f t="shared" si="1"/>
        <v>11969.422934604072</v>
      </c>
      <c r="I12" s="50">
        <f t="shared" si="1"/>
        <v>10022.461654914634</v>
      </c>
      <c r="J12" s="52">
        <f>(G12-(MAX($G$3:G12)))/(MAX($G$3:G12))</f>
        <v>0</v>
      </c>
      <c r="K12" s="52">
        <f>(H12-(MAX($H$3:H12)))/(MAX($H$3:H12))</f>
        <v>0</v>
      </c>
      <c r="L12" s="52">
        <f>(I12-(MAX($I$3:I12)))/(MAX($I$3:I12))</f>
        <v>-4.2172595990237795E-3</v>
      </c>
      <c r="M12" s="53"/>
      <c r="N12" s="51" t="s">
        <v>25</v>
      </c>
      <c r="O12" s="51"/>
      <c r="P12" s="94">
        <f>RSQ(F4:F93,D4:D93)</f>
        <v>0.29357144401037899</v>
      </c>
      <c r="R12" s="57">
        <f>RSQ(E4:E93,D4:D93)</f>
        <v>4.8159304532640885E-4</v>
      </c>
    </row>
    <row r="13" spans="1:25" s="47" customFormat="1">
      <c r="A13" s="49">
        <f t="shared" si="2"/>
        <v>41670</v>
      </c>
      <c r="B13" s="82">
        <v>3200.95</v>
      </c>
      <c r="C13" s="82">
        <v>1000.08554742414</v>
      </c>
      <c r="D13" s="52">
        <f t="shared" si="0"/>
        <v>-3.4576048305128282E-2</v>
      </c>
      <c r="E13" s="52">
        <f t="shared" si="0"/>
        <v>-8.2343077657319741E-3</v>
      </c>
      <c r="F13" s="52">
        <f t="shared" si="3"/>
        <v>-2.7000630149310645E-2</v>
      </c>
      <c r="G13" s="114">
        <v>10360.76</v>
      </c>
      <c r="H13" s="50">
        <f t="shared" si="1"/>
        <v>11555.567589032691</v>
      </c>
      <c r="I13" s="50">
        <f t="shared" si="1"/>
        <v>9939.9336210778201</v>
      </c>
      <c r="J13" s="52">
        <f>(G13-(MAX($G$3:G13)))/(MAX($G$3:G13))</f>
        <v>-2.7000630149310659E-2</v>
      </c>
      <c r="K13" s="52">
        <f>(H13-(MAX($H$3:H13)))/(MAX($H$3:H13))</f>
        <v>-3.4576048305128296E-2</v>
      </c>
      <c r="L13" s="52">
        <f>(I13-(MAX($I$3:I13)))/(MAX($I$3:I13))</f>
        <v>-1.2416841151289338E-2</v>
      </c>
      <c r="M13" s="53"/>
      <c r="N13" s="51" t="s">
        <v>26</v>
      </c>
      <c r="O13" s="51"/>
      <c r="P13" s="54">
        <f>(P10-P3)/P7</f>
        <v>0.17970232531536753</v>
      </c>
      <c r="Q13" s="54">
        <f>(Q10-P3)/Q7</f>
        <v>0.99636716814994386</v>
      </c>
      <c r="R13" s="54">
        <f>(R10-P3)/R7</f>
        <v>-1.9840351969055692E-2</v>
      </c>
    </row>
    <row r="14" spans="1:25" s="47" customFormat="1">
      <c r="A14" s="49">
        <f t="shared" si="2"/>
        <v>41698</v>
      </c>
      <c r="B14" s="82">
        <v>3347.38</v>
      </c>
      <c r="C14" s="82">
        <v>984.92478110090701</v>
      </c>
      <c r="D14" s="52">
        <f t="shared" si="0"/>
        <v>4.5745794217341818E-2</v>
      </c>
      <c r="E14" s="52">
        <f t="shared" si="0"/>
        <v>-1.5159469469668507E-2</v>
      </c>
      <c r="F14" s="52">
        <f t="shared" si="3"/>
        <v>1.8800744346939791E-2</v>
      </c>
      <c r="G14" s="114">
        <v>10555.55</v>
      </c>
      <c r="H14" s="50">
        <f t="shared" si="1"/>
        <v>12084.186206025166</v>
      </c>
      <c r="I14" s="50">
        <f t="shared" si="1"/>
        <v>9789.2495008185597</v>
      </c>
      <c r="J14" s="52">
        <f>(G14-(MAX($G$3:G14)))/(MAX($G$3:G14))</f>
        <v>-8.7075177470144136E-3</v>
      </c>
      <c r="K14" s="52">
        <f>(H14-(MAX($H$3:H14)))/(MAX($H$3:H14))</f>
        <v>0</v>
      </c>
      <c r="L14" s="52">
        <f>(I14-(MAX($I$3:I14)))/(MAX($I$3:I14))</f>
        <v>-2.7388077896615123E-2</v>
      </c>
      <c r="M14" s="53"/>
      <c r="N14" s="51" t="s">
        <v>27</v>
      </c>
      <c r="O14" s="51"/>
      <c r="P14" s="47">
        <f>COUNTIF(F:F,"&gt;0")</f>
        <v>54</v>
      </c>
      <c r="Q14" s="47">
        <f>COUNTIF(D:D,"&gt;0")</f>
        <v>65</v>
      </c>
      <c r="R14" s="47">
        <f>COUNTIF(E:E,"&gt;0")</f>
        <v>47</v>
      </c>
    </row>
    <row r="15" spans="1:25" s="47" customFormat="1">
      <c r="A15" s="49">
        <f t="shared" si="2"/>
        <v>41729</v>
      </c>
      <c r="B15" s="82">
        <v>3375.51</v>
      </c>
      <c r="C15" s="82">
        <v>977.96863749009003</v>
      </c>
      <c r="D15" s="52">
        <f t="shared" si="0"/>
        <v>8.4035872831886849E-3</v>
      </c>
      <c r="E15" s="52">
        <f t="shared" si="0"/>
        <v>-7.0626140638290202E-3</v>
      </c>
      <c r="F15" s="52">
        <f t="shared" si="3"/>
        <v>-6.2990559468715235E-3</v>
      </c>
      <c r="G15" s="114">
        <v>10489.06</v>
      </c>
      <c r="H15" s="50">
        <f t="shared" si="1"/>
        <v>12185.736719553803</v>
      </c>
      <c r="I15" s="50">
        <f t="shared" si="1"/>
        <v>9720.1118096197479</v>
      </c>
      <c r="J15" s="52">
        <f>(G15-(MAX($G$3:G15)))/(MAX($G$3:G15))</f>
        <v>-1.4951724552439124E-2</v>
      </c>
      <c r="K15" s="52">
        <f>(H15-(MAX($H$3:H15)))/(MAX($H$3:H15))</f>
        <v>0</v>
      </c>
      <c r="L15" s="52">
        <f>(I15-(MAX($I$3:I15)))/(MAX($I$3:I15))</f>
        <v>-3.4257260536310209E-2</v>
      </c>
      <c r="M15" s="53"/>
      <c r="N15" s="51" t="s">
        <v>28</v>
      </c>
      <c r="O15" s="51"/>
      <c r="P15" s="58">
        <f>P14/$P$4</f>
        <v>0.6</v>
      </c>
      <c r="Q15" s="58">
        <f>Q14/$P$4</f>
        <v>0.72222222222222221</v>
      </c>
      <c r="R15" s="58">
        <f>R14/$P$4</f>
        <v>0.52222222222222225</v>
      </c>
    </row>
    <row r="16" spans="1:25" s="47" customFormat="1">
      <c r="A16" s="49">
        <f t="shared" si="2"/>
        <v>41759</v>
      </c>
      <c r="B16" s="82">
        <v>3400.46</v>
      </c>
      <c r="C16" s="82">
        <v>981.63408949307802</v>
      </c>
      <c r="D16" s="52">
        <f t="shared" si="0"/>
        <v>7.3914756584929631E-3</v>
      </c>
      <c r="E16" s="52">
        <f t="shared" si="0"/>
        <v>3.748026125250048E-3</v>
      </c>
      <c r="F16" s="52">
        <f t="shared" si="3"/>
        <v>1.4796368788051684E-2</v>
      </c>
      <c r="G16" s="114">
        <v>10644.26</v>
      </c>
      <c r="H16" s="50">
        <f t="shared" si="1"/>
        <v>12275.807295897188</v>
      </c>
      <c r="I16" s="50">
        <f t="shared" si="1"/>
        <v>9756.5430426225539</v>
      </c>
      <c r="J16" s="52">
        <f>(G16-(MAX($G$3:G16)))/(MAX($G$3:G16))</f>
        <v>-3.7658699488275733E-4</v>
      </c>
      <c r="K16" s="52">
        <f>(H16-(MAX($H$3:H16)))/(MAX($H$3:H16))</f>
        <v>0</v>
      </c>
      <c r="L16" s="52">
        <f>(I16-(MAX($I$3:I16)))/(MAX($I$3:I16))</f>
        <v>-3.0637631518529777E-2</v>
      </c>
      <c r="M16" s="53"/>
      <c r="N16" s="51" t="s">
        <v>29</v>
      </c>
      <c r="O16" s="51"/>
      <c r="P16" s="59">
        <f>MIN(J4:J93)</f>
        <v>-0.39312763686270524</v>
      </c>
      <c r="Q16" s="59">
        <f>MIN(K4:K93)</f>
        <v>-0.19598020620821938</v>
      </c>
      <c r="R16" s="59">
        <f>MIN(L4:L93)</f>
        <v>-0.1926797471763356</v>
      </c>
      <c r="X16" s="60"/>
      <c r="Y16" s="60"/>
    </row>
    <row r="17" spans="1:21" s="47" customFormat="1">
      <c r="A17" s="49">
        <f t="shared" si="2"/>
        <v>41789</v>
      </c>
      <c r="B17" s="82">
        <v>3480.29</v>
      </c>
      <c r="C17" s="82">
        <v>995.05401859525705</v>
      </c>
      <c r="D17" s="52">
        <f t="shared" si="0"/>
        <v>2.3476235568129056E-2</v>
      </c>
      <c r="E17" s="52">
        <f t="shared" si="0"/>
        <v>1.367100964179957E-2</v>
      </c>
      <c r="F17" s="52">
        <f t="shared" si="3"/>
        <v>-2.9593414666684303E-4</v>
      </c>
      <c r="G17" s="114">
        <v>10641.11</v>
      </c>
      <c r="H17" s="50">
        <f t="shared" si="1"/>
        <v>12563.997039764628</v>
      </c>
      <c r="I17" s="50">
        <f t="shared" si="1"/>
        <v>9889.9248366288793</v>
      </c>
      <c r="J17" s="52">
        <f>(G17-(MAX($G$3:G17)))/(MAX($G$3:G17))</f>
        <v>-6.7240969659858871E-4</v>
      </c>
      <c r="K17" s="52">
        <f>(H17-(MAX($H$3:H17)))/(MAX($H$3:H17))</f>
        <v>0</v>
      </c>
      <c r="L17" s="52">
        <f>(I17-(MAX($I$3:I17)))/(MAX($I$3:I17))</f>
        <v>-1.7385469232621933E-2</v>
      </c>
      <c r="M17" s="53"/>
      <c r="N17" s="51"/>
      <c r="O17" s="51"/>
    </row>
    <row r="18" spans="1:21" ht="15" thickBot="1">
      <c r="A18" s="49">
        <f t="shared" si="2"/>
        <v>41820</v>
      </c>
      <c r="B18" s="82">
        <v>3552.18</v>
      </c>
      <c r="C18" s="82">
        <v>996.82656331943394</v>
      </c>
      <c r="D18" s="52">
        <f t="shared" si="0"/>
        <v>2.0656324616626698E-2</v>
      </c>
      <c r="E18" s="52">
        <f t="shared" si="0"/>
        <v>1.7813552742385053E-3</v>
      </c>
      <c r="F18" s="52">
        <f t="shared" si="3"/>
        <v>1.0103269301792839E-2</v>
      </c>
      <c r="G18" s="114">
        <v>10748.62</v>
      </c>
      <c r="H18" s="50">
        <f t="shared" si="1"/>
        <v>12823.523041100343</v>
      </c>
      <c r="I18" s="50">
        <f t="shared" si="1"/>
        <v>9907.5423063984308</v>
      </c>
      <c r="J18" s="52">
        <f>(G18-(MAX($G$3:G18)))/(MAX($G$3:G18))</f>
        <v>0</v>
      </c>
      <c r="K18" s="52">
        <f>(H18-(MAX($H$3:H18)))/(MAX($H$3:H18))</f>
        <v>0</v>
      </c>
      <c r="L18" s="52">
        <f>(I18-(MAX($I$3:I18)))/(MAX($I$3:I18))</f>
        <v>-1.5635083655696047E-2</v>
      </c>
      <c r="M18" s="53"/>
    </row>
    <row r="19" spans="1:21" ht="15" thickBot="1">
      <c r="A19" s="49">
        <f t="shared" si="2"/>
        <v>41851</v>
      </c>
      <c r="B19" s="82">
        <v>3503.19</v>
      </c>
      <c r="C19" s="82">
        <v>998.29080173974</v>
      </c>
      <c r="D19" s="52">
        <f t="shared" si="0"/>
        <v>-1.3791530834586063E-2</v>
      </c>
      <c r="E19" s="52">
        <f t="shared" si="0"/>
        <v>1.468899881068797E-3</v>
      </c>
      <c r="F19" s="52">
        <f t="shared" si="3"/>
        <v>-1.8104649713172494E-2</v>
      </c>
      <c r="G19" s="114">
        <v>10554.02</v>
      </c>
      <c r="H19" s="50">
        <f t="shared" si="1"/>
        <v>12646.667027670983</v>
      </c>
      <c r="I19" s="50">
        <f t="shared" si="1"/>
        <v>9922.0954941139844</v>
      </c>
      <c r="J19" s="52">
        <f>(G19-(MAX($G$3:G19)))/(MAX($G$3:G19))</f>
        <v>-1.8104649713172515E-2</v>
      </c>
      <c r="K19" s="52">
        <f>(H19-(MAX($H$3:H19)))/(MAX($H$3:H19))</f>
        <v>-1.3791530834586065E-2</v>
      </c>
      <c r="L19" s="52">
        <f>(I19-(MAX($I$3:I19)))/(MAX($I$3:I19))</f>
        <v>-1.4189150147149518E-2</v>
      </c>
      <c r="M19" s="53"/>
      <c r="N19" s="61"/>
      <c r="O19" s="62"/>
      <c r="P19" s="116" t="str">
        <f>G2</f>
        <v>NUXIX</v>
      </c>
      <c r="Q19" s="64" t="s">
        <v>30</v>
      </c>
      <c r="R19" s="110" t="s">
        <v>41</v>
      </c>
      <c r="S19" s="83" t="str">
        <f>P19</f>
        <v>NUXIX</v>
      </c>
      <c r="T19" s="96" t="s">
        <v>30</v>
      </c>
      <c r="U19" s="112" t="s">
        <v>41</v>
      </c>
    </row>
    <row r="20" spans="1:21">
      <c r="A20" s="49">
        <f t="shared" si="2"/>
        <v>41880</v>
      </c>
      <c r="B20" s="82">
        <v>3643.34</v>
      </c>
      <c r="C20" s="82">
        <v>1025.24921569001</v>
      </c>
      <c r="D20" s="52">
        <f t="shared" si="0"/>
        <v>4.0006394172168891E-2</v>
      </c>
      <c r="E20" s="52">
        <f t="shared" si="0"/>
        <v>2.7004570114528947E-2</v>
      </c>
      <c r="F20" s="52">
        <f t="shared" si="3"/>
        <v>4.1603104788507039E-2</v>
      </c>
      <c r="G20" s="114">
        <v>10993.1</v>
      </c>
      <c r="H20" s="50">
        <f t="shared" ref="H20:I35" si="4">H19*(1+D20)</f>
        <v>13152.61457374416</v>
      </c>
      <c r="I20" s="50">
        <f t="shared" si="4"/>
        <v>10190.037417567837</v>
      </c>
      <c r="J20" s="52">
        <f>(G20-(MAX($G$3:G20)))/(MAX($G$3:G20))</f>
        <v>0</v>
      </c>
      <c r="K20" s="52">
        <f>(H20-(MAX($H$3:H20)))/(MAX($H$3:H20))</f>
        <v>0</v>
      </c>
      <c r="L20" s="52">
        <f>(I20-(MAX($I$3:I20)))/(MAX($I$3:I20))</f>
        <v>0</v>
      </c>
      <c r="M20" s="53"/>
      <c r="N20" s="65" t="s">
        <v>6</v>
      </c>
      <c r="O20" s="66">
        <v>43830</v>
      </c>
      <c r="P20" s="67">
        <f t="shared" ref="P20:P26" si="5">SUMIF(A:A,$O20,G:G)</f>
        <v>19567</v>
      </c>
      <c r="Q20" s="67">
        <f t="shared" ref="Q20:Q26" si="6">SUMIF(A:A,$O20,H:H)</f>
        <v>23658.670421111565</v>
      </c>
      <c r="R20" s="67">
        <f t="shared" ref="R20:R26" si="7">SUMIF(A:A,$O20,I:I)</f>
        <v>10216.690568116224</v>
      </c>
      <c r="S20" s="68">
        <f t="shared" ref="S20:U21" si="8">(P$26-P20)/P20</f>
        <v>-0.36658659988756581</v>
      </c>
      <c r="T20" s="150">
        <f t="shared" si="8"/>
        <v>5.5734508062018046E-2</v>
      </c>
      <c r="U20" s="117">
        <f t="shared" si="8"/>
        <v>-2.5566742144630211E-2</v>
      </c>
    </row>
    <row r="21" spans="1:21">
      <c r="A21" s="49">
        <f t="shared" si="2"/>
        <v>41912</v>
      </c>
      <c r="B21" s="82">
        <v>3592.25</v>
      </c>
      <c r="C21" s="82">
        <v>1054.57162804628</v>
      </c>
      <c r="D21" s="52">
        <f t="shared" si="0"/>
        <v>-1.4022847167708741E-2</v>
      </c>
      <c r="E21" s="52">
        <f t="shared" si="0"/>
        <v>2.8600277773961125E-2</v>
      </c>
      <c r="F21" s="52">
        <f t="shared" si="3"/>
        <v>1.2400505771802184E-2</v>
      </c>
      <c r="G21" s="114">
        <v>11129.42</v>
      </c>
      <c r="H21" s="50">
        <f t="shared" si="4"/>
        <v>12968.177469720767</v>
      </c>
      <c r="I21" s="50">
        <f t="shared" si="4"/>
        <v>10481.475318237335</v>
      </c>
      <c r="J21" s="52">
        <f>(G21-(MAX($G$3:G21)))/(MAX($G$3:G21))</f>
        <v>0</v>
      </c>
      <c r="K21" s="52">
        <f>(H21-(MAX($H$3:H21)))/(MAX($H$3:H21))</f>
        <v>-1.4022847167708722E-2</v>
      </c>
      <c r="L21" s="52">
        <f>(I21-(MAX($I$3:I21)))/(MAX($I$3:I21))</f>
        <v>0</v>
      </c>
      <c r="M21" s="53"/>
      <c r="N21" s="65" t="s">
        <v>34</v>
      </c>
      <c r="O21" s="49">
        <f>WORKDAY(EOMONTH(O2,-3)+1,-1)</f>
        <v>44012</v>
      </c>
      <c r="P21" s="67">
        <f t="shared" si="5"/>
        <v>12737</v>
      </c>
      <c r="Q21" s="67">
        <f t="shared" si="6"/>
        <v>22929.802711142431</v>
      </c>
      <c r="R21" s="67">
        <f t="shared" si="7"/>
        <v>10043.290587033778</v>
      </c>
      <c r="S21" s="68">
        <f t="shared" si="8"/>
        <v>-2.6929418230352515E-2</v>
      </c>
      <c r="T21" s="150">
        <f t="shared" si="8"/>
        <v>8.9293052063472961E-2</v>
      </c>
      <c r="U21" s="117">
        <f t="shared" si="8"/>
        <v>-8.7429026854424843E-3</v>
      </c>
    </row>
    <row r="22" spans="1:21">
      <c r="A22" s="49">
        <f t="shared" si="2"/>
        <v>41943</v>
      </c>
      <c r="B22" s="82">
        <v>3679.99</v>
      </c>
      <c r="C22" s="82">
        <v>1051.0910861531199</v>
      </c>
      <c r="D22" s="52">
        <f t="shared" si="0"/>
        <v>2.4424803396200012E-2</v>
      </c>
      <c r="E22" s="52">
        <f t="shared" si="0"/>
        <v>-3.300431948475846E-3</v>
      </c>
      <c r="F22" s="52">
        <f t="shared" si="3"/>
        <v>7.0965063767922665E-3</v>
      </c>
      <c r="G22" s="114">
        <v>11208.4</v>
      </c>
      <c r="H22" s="50">
        <f t="shared" si="4"/>
        <v>13284.922654825728</v>
      </c>
      <c r="I22" s="50">
        <f t="shared" si="4"/>
        <v>10446.881922229864</v>
      </c>
      <c r="J22" s="52">
        <f>(G22-(MAX($G$3:G22)))/(MAX($G$3:G22))</f>
        <v>0</v>
      </c>
      <c r="K22" s="52">
        <f>(H22-(MAX($H$3:H22)))/(MAX($H$3:H22))</f>
        <v>0</v>
      </c>
      <c r="L22" s="52">
        <f>(I22-(MAX($I$3:I22)))/(MAX($I$3:I22))</f>
        <v>-3.3004319484757757E-3</v>
      </c>
      <c r="M22" s="53"/>
      <c r="N22" s="65" t="s">
        <v>3</v>
      </c>
      <c r="O22" s="49">
        <f>WORKDAY(EOMONTH(O2,-12)+1,-1)</f>
        <v>43738</v>
      </c>
      <c r="P22" s="67">
        <f t="shared" si="5"/>
        <v>19187.169999999998</v>
      </c>
      <c r="Q22" s="67">
        <f t="shared" si="6"/>
        <v>21691.269110665908</v>
      </c>
      <c r="R22" s="67">
        <f t="shared" si="7"/>
        <v>10593.502365823675</v>
      </c>
      <c r="S22" s="68">
        <f>P26/P22-1</f>
        <v>-0.35404752238084092</v>
      </c>
      <c r="T22" s="150">
        <f>Q26/Q22-1</f>
        <v>0.15148978379286948</v>
      </c>
      <c r="U22" s="117">
        <f>R26/R22-1</f>
        <v>-6.0227417618964774E-2</v>
      </c>
    </row>
    <row r="23" spans="1:21">
      <c r="A23" s="49">
        <f t="shared" si="2"/>
        <v>41971</v>
      </c>
      <c r="B23" s="82">
        <v>3778.96</v>
      </c>
      <c r="C23" s="82">
        <v>1082.5661359298799</v>
      </c>
      <c r="D23" s="52">
        <f t="shared" si="0"/>
        <v>2.6894094820909986E-2</v>
      </c>
      <c r="E23" s="52">
        <f t="shared" si="0"/>
        <v>2.9945121018916998E-2</v>
      </c>
      <c r="F23" s="52">
        <f t="shared" si="3"/>
        <v>2.6902144819956453E-2</v>
      </c>
      <c r="G23" s="114">
        <v>11509.93</v>
      </c>
      <c r="H23" s="50">
        <f t="shared" si="4"/>
        <v>13642.208624393066</v>
      </c>
      <c r="I23" s="50">
        <f t="shared" si="4"/>
        <v>10759.715065661374</v>
      </c>
      <c r="J23" s="52">
        <f>(G23-(MAX($G$3:G23)))/(MAX($G$3:G23))</f>
        <v>0</v>
      </c>
      <c r="K23" s="52">
        <f>(H23-(MAX($H$3:H23)))/(MAX($H$3:H23))</f>
        <v>0</v>
      </c>
      <c r="L23" s="52">
        <f>(I23-(MAX($I$3:I23)))/(MAX($I$3:I23))</f>
        <v>0</v>
      </c>
      <c r="M23" s="53"/>
      <c r="N23" s="65" t="s">
        <v>2</v>
      </c>
      <c r="O23" s="49">
        <f>WORKDAY(EOMONTH(O2,-36)+1,-1)</f>
        <v>43007</v>
      </c>
      <c r="P23" s="67">
        <f t="shared" si="5"/>
        <v>14128.85</v>
      </c>
      <c r="Q23" s="67">
        <f t="shared" si="6"/>
        <v>17645.782567101694</v>
      </c>
      <c r="R23" s="67">
        <f t="shared" si="7"/>
        <v>9990.5395311685552</v>
      </c>
      <c r="S23" s="68">
        <f>(P26/P23)^(1/3)-1</f>
        <v>-4.272902190780048E-2</v>
      </c>
      <c r="T23" s="150">
        <f>(Q26/Q23)^(1/3)-1</f>
        <v>0.12279734244878582</v>
      </c>
      <c r="U23" s="117">
        <f>(R26/R23)^(1/3)-1</f>
        <v>-1.1710258608077506E-3</v>
      </c>
    </row>
    <row r="24" spans="1:21">
      <c r="A24" s="49">
        <f t="shared" si="2"/>
        <v>42004</v>
      </c>
      <c r="B24" s="82">
        <v>3769.44</v>
      </c>
      <c r="C24" s="82">
        <v>1112.0143641766699</v>
      </c>
      <c r="D24" s="52">
        <f t="shared" si="0"/>
        <v>-2.5192116349471716E-3</v>
      </c>
      <c r="E24" s="52">
        <f t="shared" si="0"/>
        <v>2.7202244065666514E-2</v>
      </c>
      <c r="F24" s="52">
        <f t="shared" si="3"/>
        <v>-4.6003755018493298E-3</v>
      </c>
      <c r="G24" s="114">
        <v>11456.98</v>
      </c>
      <c r="H24" s="50">
        <f t="shared" si="4"/>
        <v>13607.841013700119</v>
      </c>
      <c r="I24" s="50">
        <f t="shared" si="4"/>
        <v>11052.403460954523</v>
      </c>
      <c r="J24" s="52">
        <f>(G24-(MAX($G$3:G24)))/(MAX($G$3:G24))</f>
        <v>-4.6003755018493358E-3</v>
      </c>
      <c r="K24" s="52">
        <f>(H24-(MAX($H$3:H24)))/(MAX($H$3:H24))</f>
        <v>-2.5192116349471217E-3</v>
      </c>
      <c r="L24" s="52">
        <f>(I24-(MAX($I$3:I24)))/(MAX($I$3:I24))</f>
        <v>0</v>
      </c>
      <c r="M24" s="53"/>
      <c r="N24" s="65" t="s">
        <v>42</v>
      </c>
      <c r="O24" s="49">
        <f>WORKDAY(EOMONTH(O2,-60)+1,-1)</f>
        <v>42277</v>
      </c>
      <c r="P24" s="67">
        <f t="shared" si="5"/>
        <v>11045.09</v>
      </c>
      <c r="Q24" s="67">
        <f t="shared" si="6"/>
        <v>12888.467717189225</v>
      </c>
      <c r="R24" s="67">
        <f t="shared" si="7"/>
        <v>11020.999997882691</v>
      </c>
      <c r="S24" s="68">
        <f>(P26/P24)^(1/5)-1</f>
        <v>2.3312894411255503E-2</v>
      </c>
      <c r="T24" s="150">
        <f>(Q26/Q24)^(1/5)-1</f>
        <v>0.14148117260728155</v>
      </c>
      <c r="U24" s="117">
        <f>(R26/R24)^(1/5)-1</f>
        <v>-2.013043808870596E-2</v>
      </c>
    </row>
    <row r="25" spans="1:21">
      <c r="A25" s="49">
        <f t="shared" si="2"/>
        <v>42034</v>
      </c>
      <c r="B25" s="82">
        <v>3656.28</v>
      </c>
      <c r="C25" s="82">
        <v>1157.2504591843599</v>
      </c>
      <c r="D25" s="52">
        <f t="shared" si="0"/>
        <v>-3.0020374379218118E-2</v>
      </c>
      <c r="E25" s="52">
        <f t="shared" si="0"/>
        <v>4.067941608036918E-2</v>
      </c>
      <c r="F25" s="52">
        <f t="shared" si="3"/>
        <v>-1.2996444089105497E-2</v>
      </c>
      <c r="G25" s="114">
        <v>11308.08</v>
      </c>
      <c r="H25" s="50">
        <f t="shared" si="4"/>
        <v>13199.328531975963</v>
      </c>
      <c r="I25" s="50">
        <f t="shared" si="4"/>
        <v>11502.008780030805</v>
      </c>
      <c r="J25" s="52">
        <f>(G25-(MAX($G$3:G25)))/(MAX($G$3:G25))</f>
        <v>-1.7537031067956135E-2</v>
      </c>
      <c r="K25" s="52">
        <f>(H25-(MAX($H$3:H25)))/(MAX($H$3:H25))</f>
        <v>-3.2463958337743591E-2</v>
      </c>
      <c r="L25" s="52">
        <f>(I25-(MAX($I$3:I25)))/(MAX($I$3:I25))</f>
        <v>0</v>
      </c>
      <c r="M25" s="53"/>
      <c r="N25" s="65" t="s">
        <v>1</v>
      </c>
      <c r="O25" s="69">
        <f>A3</f>
        <v>41364</v>
      </c>
      <c r="P25" s="67">
        <f t="shared" si="5"/>
        <v>10000</v>
      </c>
      <c r="Q25" s="67">
        <f t="shared" si="6"/>
        <v>10000</v>
      </c>
      <c r="R25" s="67">
        <f t="shared" si="7"/>
        <v>10000</v>
      </c>
      <c r="S25" s="84">
        <f>EXP(LN(P26/P25)/7.25)-1</f>
        <v>3.0046326221568886E-2</v>
      </c>
      <c r="T25" s="151">
        <f>EXP(LN(Q26/Q25)/7.25)-1</f>
        <v>0.13457654246769857</v>
      </c>
      <c r="U25" s="122">
        <f>EXP(LN(R26/R25)/7.25)-1</f>
        <v>-6.1520803498282817E-4</v>
      </c>
    </row>
    <row r="26" spans="1:21" ht="15" thickBot="1">
      <c r="A26" s="49">
        <f t="shared" si="2"/>
        <v>42062</v>
      </c>
      <c r="B26" s="82">
        <v>3866.42</v>
      </c>
      <c r="C26" s="82">
        <v>1152.4665313048699</v>
      </c>
      <c r="D26" s="52">
        <f t="shared" si="0"/>
        <v>5.747371645497612E-2</v>
      </c>
      <c r="E26" s="52">
        <f t="shared" si="0"/>
        <v>-4.1338742547242235E-3</v>
      </c>
      <c r="F26" s="52">
        <f t="shared" si="3"/>
        <v>2.2801395108630329E-2</v>
      </c>
      <c r="G26" s="114">
        <v>11565.92</v>
      </c>
      <c r="H26" s="50">
        <f t="shared" si="4"/>
        <v>13957.942997418826</v>
      </c>
      <c r="I26" s="50">
        <f t="shared" si="4"/>
        <v>11454.460922057424</v>
      </c>
      <c r="J26" s="52">
        <f>(G26-(MAX($G$3:G26)))/(MAX($G$3:G26))</f>
        <v>0</v>
      </c>
      <c r="K26" s="52">
        <f>(H26-(MAX($H$3:H26)))/(MAX($H$3:H26))</f>
        <v>0</v>
      </c>
      <c r="L26" s="52">
        <f>(I26-(MAX($I$3:I26)))/(MAX($I$3:I26))</f>
        <v>-4.1338742547241802E-3</v>
      </c>
      <c r="M26" s="53"/>
      <c r="N26" s="70" t="s">
        <v>4</v>
      </c>
      <c r="O26" s="71">
        <f>O2</f>
        <v>44104</v>
      </c>
      <c r="P26" s="72">
        <f t="shared" si="5"/>
        <v>12394</v>
      </c>
      <c r="Q26" s="72">
        <f t="shared" si="6"/>
        <v>24977.274778433635</v>
      </c>
      <c r="R26" s="72">
        <f t="shared" si="7"/>
        <v>9955.4830747897213</v>
      </c>
      <c r="S26" s="73"/>
      <c r="T26" s="99"/>
      <c r="U26" s="118"/>
    </row>
    <row r="27" spans="1:21" ht="15" thickBot="1">
      <c r="A27" s="49">
        <f t="shared" si="2"/>
        <v>42094</v>
      </c>
      <c r="B27" s="82">
        <v>3805.27</v>
      </c>
      <c r="C27" s="82">
        <v>1177.5330943525801</v>
      </c>
      <c r="D27" s="52">
        <f t="shared" si="0"/>
        <v>-1.581566410271007E-2</v>
      </c>
      <c r="E27" s="52">
        <f t="shared" si="0"/>
        <v>2.1750360957839554E-2</v>
      </c>
      <c r="F27" s="52">
        <f t="shared" si="3"/>
        <v>9.4017596524962332E-3</v>
      </c>
      <c r="G27" s="114">
        <v>11674.66</v>
      </c>
      <c r="H27" s="50">
        <f t="shared" si="4"/>
        <v>13737.188859406875</v>
      </c>
      <c r="I27" s="50">
        <f t="shared" si="4"/>
        <v>11703.599581689641</v>
      </c>
      <c r="J27" s="52">
        <f>(G27-(MAX($G$3:G27)))/(MAX($G$3:G27))</f>
        <v>0</v>
      </c>
      <c r="K27" s="52">
        <f>(H27-(MAX($H$3:H27)))/(MAX($H$3:H27))</f>
        <v>-1.5815664102710118E-2</v>
      </c>
      <c r="L27" s="52">
        <f>(I27-(MAX($I$3:I27)))/(MAX($I$3:I27))</f>
        <v>0</v>
      </c>
      <c r="M27" s="53"/>
      <c r="N27" s="48"/>
      <c r="O27" s="47"/>
      <c r="S27" s="47"/>
      <c r="T27" s="47"/>
    </row>
    <row r="28" spans="1:21" ht="15" thickBot="1">
      <c r="A28" s="49">
        <f t="shared" si="2"/>
        <v>42124</v>
      </c>
      <c r="B28" s="82">
        <v>3841.78</v>
      </c>
      <c r="C28" s="82">
        <v>1132.07712452379</v>
      </c>
      <c r="D28" s="52">
        <f t="shared" si="0"/>
        <v>9.5945885574479917E-3</v>
      </c>
      <c r="E28" s="52">
        <f t="shared" si="0"/>
        <v>-3.8602711080304886E-2</v>
      </c>
      <c r="F28" s="52">
        <f t="shared" si="3"/>
        <v>-3.6301699578403124E-2</v>
      </c>
      <c r="G28" s="114">
        <v>11250.85</v>
      </c>
      <c r="H28" s="50">
        <f t="shared" si="4"/>
        <v>13868.991534448842</v>
      </c>
      <c r="I28" s="50">
        <f t="shared" si="4"/>
        <v>11251.808908438099</v>
      </c>
      <c r="J28" s="52">
        <f>(G28-(MAX($G$3:G28)))/(MAX($G$3:G28))</f>
        <v>-3.6301699578403096E-2</v>
      </c>
      <c r="K28" s="52">
        <f>(H28-(MAX($H$3:H28)))/(MAX($H$3:H28))</f>
        <v>-6.3728203350904671E-3</v>
      </c>
      <c r="L28" s="52">
        <f>(I28-(MAX($I$3:I28)))/(MAX($I$3:I28))</f>
        <v>-3.8602711080304865E-2</v>
      </c>
      <c r="M28" s="53"/>
      <c r="N28" s="48"/>
      <c r="O28" s="47"/>
      <c r="P28" s="63" t="str">
        <f>P19</f>
        <v>NUXIX</v>
      </c>
      <c r="Q28" s="64" t="s">
        <v>30</v>
      </c>
      <c r="R28" s="111" t="s">
        <v>41</v>
      </c>
      <c r="S28" s="116" t="str">
        <f>P19</f>
        <v>NUXIX</v>
      </c>
      <c r="T28" s="64" t="s">
        <v>30</v>
      </c>
      <c r="U28" s="111" t="s">
        <v>41</v>
      </c>
    </row>
    <row r="29" spans="1:21">
      <c r="A29" s="49">
        <f t="shared" si="2"/>
        <v>42153</v>
      </c>
      <c r="B29" s="82">
        <v>3891.18</v>
      </c>
      <c r="C29" s="82">
        <v>1132.74480898349</v>
      </c>
      <c r="D29" s="52">
        <f t="shared" si="0"/>
        <v>1.2858622825877575E-2</v>
      </c>
      <c r="E29" s="52">
        <f t="shared" si="0"/>
        <v>5.8978707831491839E-4</v>
      </c>
      <c r="F29" s="52">
        <f t="shared" si="3"/>
        <v>1.3302106063097341E-2</v>
      </c>
      <c r="G29" s="114">
        <v>11400.51</v>
      </c>
      <c r="H29" s="50">
        <f t="shared" si="4"/>
        <v>14047.327665565608</v>
      </c>
      <c r="I29" s="50">
        <f t="shared" si="4"/>
        <v>11258.445079939964</v>
      </c>
      <c r="J29" s="52">
        <f>(G29-(MAX($G$3:G29)))/(MAX($G$3:G29))</f>
        <v>-2.3482482573368272E-2</v>
      </c>
      <c r="K29" s="52">
        <f>(H29-(MAX($H$3:H29)))/(MAX($H$3:H29))</f>
        <v>0</v>
      </c>
      <c r="L29" s="52">
        <f>(I29-(MAX($I$3:I29)))/(MAX($I$3:I29))</f>
        <v>-3.8035691382173095E-2</v>
      </c>
      <c r="N29" s="61"/>
      <c r="O29" s="74"/>
      <c r="P29" s="75">
        <f>P25</f>
        <v>10000</v>
      </c>
      <c r="Q29" s="75">
        <f>Q25</f>
        <v>10000</v>
      </c>
      <c r="R29" s="76">
        <f>R25</f>
        <v>10000</v>
      </c>
      <c r="S29" s="61"/>
      <c r="T29" s="144"/>
      <c r="U29" s="146"/>
    </row>
    <row r="30" spans="1:21">
      <c r="A30" s="49">
        <f t="shared" si="2"/>
        <v>42185</v>
      </c>
      <c r="B30" s="82">
        <v>3815.85</v>
      </c>
      <c r="C30" s="82">
        <v>1091.7825178165499</v>
      </c>
      <c r="D30" s="52">
        <f t="shared" si="0"/>
        <v>-1.9359166114135018E-2</v>
      </c>
      <c r="E30" s="52">
        <f t="shared" si="0"/>
        <v>-3.6161976503515492E-2</v>
      </c>
      <c r="F30" s="52">
        <f t="shared" si="3"/>
        <v>-4.4103290115968585E-2</v>
      </c>
      <c r="G30" s="114">
        <v>10897.71</v>
      </c>
      <c r="H30" s="50">
        <f t="shared" si="4"/>
        <v>13775.383115828239</v>
      </c>
      <c r="I30" s="50">
        <f t="shared" si="4"/>
        <v>10851.317453493055</v>
      </c>
      <c r="J30" s="52">
        <f>(G30-(MAX($G$3:G30)))/(MAX($G$3:G30))</f>
        <v>-6.6550117947760432E-2</v>
      </c>
      <c r="K30" s="52">
        <f>(H30-(MAX($H$3:H30)))/(MAX($H$3:H30))</f>
        <v>-1.9359166114135015E-2</v>
      </c>
      <c r="L30" s="52">
        <f>(I30-(MAX($I$3:I30)))/(MAX($I$3:I30))</f>
        <v>-7.2822222107631507E-2</v>
      </c>
      <c r="N30" s="65">
        <v>2013</v>
      </c>
      <c r="O30" s="49">
        <v>41639</v>
      </c>
      <c r="P30" s="147">
        <f t="shared" ref="P30:P37" si="9">SUMIF(A:A,$O30,G:G)</f>
        <v>10648.27</v>
      </c>
      <c r="Q30" s="147">
        <f t="shared" ref="Q30:Q37" si="10">SUMIF(A:A,$O30,H:H)</f>
        <v>11969.422934604072</v>
      </c>
      <c r="R30" s="97">
        <f t="shared" ref="R30:R37" si="11">SUMIF(A:A,$O30,I:I)</f>
        <v>10022.461654914634</v>
      </c>
      <c r="S30" s="77">
        <f>P30/P29-1</f>
        <v>6.4826999999999968E-2</v>
      </c>
      <c r="T30" s="145">
        <f t="shared" ref="S30:U37" si="12">Q30/Q29-1</f>
        <v>0.19694229346040726</v>
      </c>
      <c r="U30" s="119">
        <f t="shared" si="12"/>
        <v>2.2461654914633922E-3</v>
      </c>
    </row>
    <row r="31" spans="1:21">
      <c r="A31" s="49">
        <f t="shared" si="2"/>
        <v>42216</v>
      </c>
      <c r="B31" s="82">
        <v>3895.8</v>
      </c>
      <c r="C31" s="82">
        <v>1112.11784635309</v>
      </c>
      <c r="D31" s="52">
        <f t="shared" si="0"/>
        <v>2.0952081449742588E-2</v>
      </c>
      <c r="E31" s="52">
        <f t="shared" si="0"/>
        <v>1.8625805235651383E-2</v>
      </c>
      <c r="F31" s="52">
        <f t="shared" si="3"/>
        <v>3.5897450014727994E-2</v>
      </c>
      <c r="G31" s="114">
        <v>11288.91</v>
      </c>
      <c r="H31" s="50">
        <f t="shared" si="4"/>
        <v>14064.006064872481</v>
      </c>
      <c r="I31" s="50">
        <f t="shared" si="4"/>
        <v>11053.431978932042</v>
      </c>
      <c r="J31" s="52">
        <f>(G31-(MAX($G$3:G31)))/(MAX($G$3:G31))</f>
        <v>-3.3041647465536471E-2</v>
      </c>
      <c r="K31" s="52">
        <f>(H31-(MAX($H$3:H31)))/(MAX($H$3:H31))</f>
        <v>0</v>
      </c>
      <c r="L31" s="52">
        <f>(I31-(MAX($I$3:I31)))/(MAX($I$3:I31))</f>
        <v>-5.5552789397784172E-2</v>
      </c>
      <c r="N31" s="65">
        <v>2014</v>
      </c>
      <c r="O31" s="49">
        <f t="shared" ref="O31:O32" si="13">EOMONTH(O30,12)</f>
        <v>42004</v>
      </c>
      <c r="P31" s="147">
        <f t="shared" si="9"/>
        <v>11456.98</v>
      </c>
      <c r="Q31" s="147">
        <f t="shared" si="10"/>
        <v>13607.841013700119</v>
      </c>
      <c r="R31" s="97">
        <f t="shared" si="11"/>
        <v>11052.403460954523</v>
      </c>
      <c r="S31" s="77">
        <f t="shared" si="12"/>
        <v>7.5947548287186528E-2</v>
      </c>
      <c r="T31" s="145">
        <f t="shared" si="12"/>
        <v>0.1368836315708517</v>
      </c>
      <c r="U31" s="119">
        <f t="shared" si="12"/>
        <v>0.10276335709748952</v>
      </c>
    </row>
    <row r="32" spans="1:21">
      <c r="A32" s="49">
        <f t="shared" si="2"/>
        <v>42247</v>
      </c>
      <c r="B32" s="82">
        <v>3660.75</v>
      </c>
      <c r="C32" s="82">
        <v>1095.0125068776899</v>
      </c>
      <c r="D32" s="52">
        <f t="shared" si="0"/>
        <v>-6.0334206068073382E-2</v>
      </c>
      <c r="E32" s="52">
        <f t="shared" si="0"/>
        <v>-1.5380869510810191E-2</v>
      </c>
      <c r="F32" s="52">
        <f t="shared" si="3"/>
        <v>-5.950441628111125E-2</v>
      </c>
      <c r="G32" s="114">
        <v>10617.17</v>
      </c>
      <c r="H32" s="50">
        <f t="shared" si="4"/>
        <v>13215.465424811831</v>
      </c>
      <c r="I32" s="50">
        <f t="shared" si="4"/>
        <v>10883.420584017471</v>
      </c>
      <c r="J32" s="52">
        <f>(G32-(MAX($G$3:G32)))/(MAX($G$3:G32))</f>
        <v>-9.0579939801244735E-2</v>
      </c>
      <c r="K32" s="52">
        <f>(H32-(MAX($H$3:H32)))/(MAX($H$3:H32))</f>
        <v>-6.0334206068073361E-2</v>
      </c>
      <c r="L32" s="52">
        <f>(I32-(MAX($I$3:I32)))/(MAX($I$3:I32))</f>
        <v>-7.0079208703905563E-2</v>
      </c>
      <c r="N32" s="65">
        <v>2015</v>
      </c>
      <c r="O32" s="49">
        <f t="shared" si="13"/>
        <v>42369</v>
      </c>
      <c r="P32" s="147">
        <f t="shared" si="9"/>
        <v>11835.11</v>
      </c>
      <c r="Q32" s="147">
        <f t="shared" si="10"/>
        <v>13796.140863883325</v>
      </c>
      <c r="R32" s="97">
        <f t="shared" si="11"/>
        <v>10682.598715213568</v>
      </c>
      <c r="S32" s="77">
        <f t="shared" si="12"/>
        <v>3.300433447557749E-2</v>
      </c>
      <c r="T32" s="145">
        <f t="shared" si="12"/>
        <v>1.3837599218981866E-2</v>
      </c>
      <c r="U32" s="119">
        <f t="shared" si="12"/>
        <v>-3.3459215187663593E-2</v>
      </c>
    </row>
    <row r="33" spans="1:21">
      <c r="A33" s="49">
        <f t="shared" si="2"/>
        <v>42277</v>
      </c>
      <c r="B33" s="82">
        <v>3570.17</v>
      </c>
      <c r="C33" s="82">
        <v>1108.8547706869699</v>
      </c>
      <c r="D33" s="52">
        <f t="shared" si="0"/>
        <v>-2.4743563477429453E-2</v>
      </c>
      <c r="E33" s="52">
        <f t="shared" si="0"/>
        <v>1.2641192426879E-2</v>
      </c>
      <c r="F33" s="52">
        <f t="shared" si="3"/>
        <v>4.030452559392006E-2</v>
      </c>
      <c r="G33" s="114">
        <v>11045.09</v>
      </c>
      <c r="H33" s="50">
        <f t="shared" si="4"/>
        <v>12888.467717189225</v>
      </c>
      <c r="I33" s="50">
        <f t="shared" si="4"/>
        <v>11020.999997882691</v>
      </c>
      <c r="J33" s="52">
        <f>(G33-(MAX($G$3:G33)))/(MAX($G$3:G33))</f>
        <v>-5.3926195709339694E-2</v>
      </c>
      <c r="K33" s="52">
        <f>(H33-(MAX($H$3:H33)))/(MAX($H$3:H33))</f>
        <v>-8.3584886287797144E-2</v>
      </c>
      <c r="L33" s="52">
        <f>(I33-(MAX($I$3:I33)))/(MAX($I$3:I33))</f>
        <v>-5.8323901039376111E-2</v>
      </c>
      <c r="N33" s="65">
        <v>2016</v>
      </c>
      <c r="O33" s="49">
        <f>WORKDAY(EOMONTH(O32,12)+1,-1)</f>
        <v>42734</v>
      </c>
      <c r="P33" s="147">
        <f t="shared" si="9"/>
        <v>13489.74</v>
      </c>
      <c r="Q33" s="147">
        <f t="shared" si="10"/>
        <v>15446.147181458826</v>
      </c>
      <c r="R33" s="97">
        <f t="shared" si="11"/>
        <v>10103.074937846053</v>
      </c>
      <c r="S33" s="77">
        <f t="shared" si="12"/>
        <v>0.13980689659834167</v>
      </c>
      <c r="T33" s="145">
        <f t="shared" si="12"/>
        <v>0.11959912078710522</v>
      </c>
      <c r="U33" s="119">
        <f t="shared" si="12"/>
        <v>-5.4249325732154352E-2</v>
      </c>
    </row>
    <row r="34" spans="1:21">
      <c r="A34" s="49">
        <f t="shared" si="2"/>
        <v>42307</v>
      </c>
      <c r="B34" s="82">
        <v>3871.33</v>
      </c>
      <c r="C34" s="82">
        <v>1082.80347222264</v>
      </c>
      <c r="D34" s="52">
        <f t="shared" si="0"/>
        <v>8.4354526535150853E-2</v>
      </c>
      <c r="E34" s="52">
        <f t="shared" si="0"/>
        <v>-2.3493877785447315E-2</v>
      </c>
      <c r="F34" s="52">
        <f t="shared" si="3"/>
        <v>2.4103923100671887E-2</v>
      </c>
      <c r="G34" s="114">
        <v>11311.32</v>
      </c>
      <c r="H34" s="50">
        <f t="shared" si="4"/>
        <v>13975.668309236298</v>
      </c>
      <c r="I34" s="50">
        <f t="shared" si="4"/>
        <v>10762.073970859019</v>
      </c>
      <c r="J34" s="52">
        <f>(G34-(MAX($G$3:G34)))/(MAX($G$3:G34))</f>
        <v>-3.1122105483157553E-2</v>
      </c>
      <c r="K34" s="52">
        <f>(H34-(MAX($H$3:H34)))/(MAX($H$3:H34))</f>
        <v>-6.2811232609479026E-3</v>
      </c>
      <c r="L34" s="52">
        <f>(I34-(MAX($I$3:I34)))/(MAX($I$3:I34))</f>
        <v>-8.0447524221833863E-2</v>
      </c>
      <c r="N34" s="65">
        <v>2017</v>
      </c>
      <c r="O34" s="49">
        <f>WORKDAY(EOMONTH(O33,12)+1,-1)</f>
        <v>43098</v>
      </c>
      <c r="P34" s="147">
        <f t="shared" si="9"/>
        <v>15273.91</v>
      </c>
      <c r="Q34" s="147">
        <f t="shared" si="10"/>
        <v>18818.288478547336</v>
      </c>
      <c r="R34" s="97">
        <f t="shared" si="11"/>
        <v>10438.385410263221</v>
      </c>
      <c r="S34" s="77">
        <f t="shared" si="12"/>
        <v>0.13226125929780719</v>
      </c>
      <c r="T34" s="145">
        <f t="shared" si="12"/>
        <v>0.21831601482707264</v>
      </c>
      <c r="U34" s="119">
        <f t="shared" si="12"/>
        <v>3.3188952321940857E-2</v>
      </c>
    </row>
    <row r="35" spans="1:21">
      <c r="A35" s="49">
        <f t="shared" si="2"/>
        <v>42338</v>
      </c>
      <c r="B35" s="82">
        <v>3882.84</v>
      </c>
      <c r="C35" s="82">
        <v>1109.74489966492</v>
      </c>
      <c r="D35" s="52">
        <f t="shared" si="0"/>
        <v>2.9731384304618746E-3</v>
      </c>
      <c r="E35" s="52">
        <f t="shared" si="0"/>
        <v>2.4881179395350506E-2</v>
      </c>
      <c r="F35" s="52">
        <f t="shared" si="3"/>
        <v>5.7303656867633501E-2</v>
      </c>
      <c r="G35" s="114">
        <v>11959.5</v>
      </c>
      <c r="H35" s="50">
        <f t="shared" si="4"/>
        <v>14017.219905777876</v>
      </c>
      <c r="I35" s="50">
        <f t="shared" si="4"/>
        <v>11029.847063993995</v>
      </c>
      <c r="J35" s="52">
        <f>(G35-(MAX($G$3:G35)))/(MAX($G$3:G35))</f>
        <v>0</v>
      </c>
      <c r="K35" s="52">
        <f>(H35-(MAX($H$3:H35)))/(MAX($H$3:H35))</f>
        <v>-3.3266594794396634E-3</v>
      </c>
      <c r="L35" s="52">
        <f>(I35-(MAX($I$3:I35)))/(MAX($I$3:I35))</f>
        <v>-5.7567974108558559E-2</v>
      </c>
      <c r="N35" s="65">
        <v>2018</v>
      </c>
      <c r="O35" s="49">
        <v>43465</v>
      </c>
      <c r="P35" s="147">
        <f t="shared" si="9"/>
        <v>15731.96</v>
      </c>
      <c r="Q35" s="147">
        <f t="shared" si="10"/>
        <v>17993.249219328198</v>
      </c>
      <c r="R35" s="97">
        <f t="shared" si="11"/>
        <v>9884.0047114864719</v>
      </c>
      <c r="S35" s="77">
        <f t="shared" si="12"/>
        <v>2.9989046681563547E-2</v>
      </c>
      <c r="T35" s="145">
        <f t="shared" si="12"/>
        <v>-4.3842417452558236E-2</v>
      </c>
      <c r="U35" s="119">
        <f t="shared" si="12"/>
        <v>-5.3109813154788466E-2</v>
      </c>
    </row>
    <row r="36" spans="1:21">
      <c r="A36" s="49">
        <f t="shared" si="2"/>
        <v>42369</v>
      </c>
      <c r="B36" s="82">
        <v>3821.6</v>
      </c>
      <c r="C36" s="82">
        <v>1074.8072362739099</v>
      </c>
      <c r="D36" s="52">
        <f t="shared" ref="D36:E60" si="14">B36/B35-1</f>
        <v>-1.5771960729775159E-2</v>
      </c>
      <c r="E36" s="52">
        <f t="shared" si="14"/>
        <v>-3.1482607761080361E-2</v>
      </c>
      <c r="F36" s="52">
        <f t="shared" si="3"/>
        <v>-1.0400936494000534E-2</v>
      </c>
      <c r="G36" s="114">
        <v>11835.11</v>
      </c>
      <c r="H36" s="50">
        <f t="shared" ref="H36:I51" si="15">H35*(1+D36)</f>
        <v>13796.140863883325</v>
      </c>
      <c r="I36" s="50">
        <f t="shared" si="15"/>
        <v>10682.598715213568</v>
      </c>
      <c r="J36" s="52">
        <f>(G36-(MAX($G$3:G36)))/(MAX($G$3:G36))</f>
        <v>-1.0400936494000536E-2</v>
      </c>
      <c r="K36" s="52">
        <f>(H36-(MAX($H$3:H36)))/(MAX($H$3:H36))</f>
        <v>-1.9046152266543725E-2</v>
      </c>
      <c r="L36" s="52">
        <f>(I36-(MAX($I$3:I36)))/(MAX($I$3:I36))</f>
        <v>-8.7238191921179195E-2</v>
      </c>
      <c r="N36" s="65">
        <v>2019</v>
      </c>
      <c r="O36" s="49">
        <v>43830</v>
      </c>
      <c r="P36" s="147">
        <f t="shared" si="9"/>
        <v>19567</v>
      </c>
      <c r="Q36" s="147">
        <f t="shared" si="10"/>
        <v>23658.670421111565</v>
      </c>
      <c r="R36" s="97">
        <f t="shared" si="11"/>
        <v>10216.690568116224</v>
      </c>
      <c r="S36" s="77">
        <f t="shared" si="12"/>
        <v>0.24377382093521738</v>
      </c>
      <c r="T36" s="145">
        <f t="shared" si="12"/>
        <v>0.31486370986834444</v>
      </c>
      <c r="U36" s="119">
        <f t="shared" si="12"/>
        <v>3.3659014371282936E-2</v>
      </c>
    </row>
    <row r="37" spans="1:21" ht="15" thickBot="1">
      <c r="A37" s="49">
        <f t="shared" si="2"/>
        <v>42398</v>
      </c>
      <c r="B37" s="82">
        <v>3631.96</v>
      </c>
      <c r="C37" s="82">
        <v>1103.15876520231</v>
      </c>
      <c r="D37" s="52">
        <f t="shared" si="14"/>
        <v>-4.9623194473518928E-2</v>
      </c>
      <c r="E37" s="52">
        <f t="shared" si="14"/>
        <v>2.6378245299769176E-2</v>
      </c>
      <c r="F37" s="52">
        <f t="shared" si="3"/>
        <v>1.1598540275502112E-2</v>
      </c>
      <c r="G37" s="114">
        <v>11972.38</v>
      </c>
      <c r="H37" s="50">
        <f t="shared" si="15"/>
        <v>13111.532282810782</v>
      </c>
      <c r="I37" s="50">
        <f t="shared" si="15"/>
        <v>10964.38692456247</v>
      </c>
      <c r="J37" s="52">
        <f>(G37-(MAX($G$3:G37)))/(MAX($G$3:G37))</f>
        <v>0</v>
      </c>
      <c r="K37" s="52">
        <f>(H37-(MAX($H$3:H37)))/(MAX($H$3:H37))</f>
        <v>-6.7724215822167685E-2</v>
      </c>
      <c r="L37" s="52">
        <f>(I37-(MAX($I$3:I37)))/(MAX($I$3:I37))</f>
        <v>-6.3161137047415231E-2</v>
      </c>
      <c r="N37" s="70">
        <v>2020</v>
      </c>
      <c r="O37" s="78">
        <f>O26</f>
        <v>44104</v>
      </c>
      <c r="P37" s="72">
        <f t="shared" si="9"/>
        <v>12394</v>
      </c>
      <c r="Q37" s="72">
        <f t="shared" si="10"/>
        <v>24977.274778433635</v>
      </c>
      <c r="R37" s="98">
        <f t="shared" si="11"/>
        <v>9955.4830747897213</v>
      </c>
      <c r="S37" s="79">
        <f t="shared" si="12"/>
        <v>-0.36658659988756581</v>
      </c>
      <c r="T37" s="100">
        <f t="shared" si="12"/>
        <v>5.5734508062017962E-2</v>
      </c>
      <c r="U37" s="120">
        <f t="shared" si="12"/>
        <v>-2.5566742144630172E-2</v>
      </c>
    </row>
    <row r="38" spans="1:21" ht="15" thickBot="1">
      <c r="A38" s="49">
        <f t="shared" si="2"/>
        <v>42429</v>
      </c>
      <c r="B38" s="82">
        <v>3627.06</v>
      </c>
      <c r="C38" s="82">
        <v>1123.66089858899</v>
      </c>
      <c r="D38" s="52">
        <f t="shared" si="14"/>
        <v>-1.3491338010330756E-3</v>
      </c>
      <c r="E38" s="52">
        <f t="shared" si="14"/>
        <v>1.8584934493014904E-2</v>
      </c>
      <c r="F38" s="52">
        <f t="shared" si="3"/>
        <v>7.2901962684111421E-2</v>
      </c>
      <c r="G38" s="114">
        <v>12845.19</v>
      </c>
      <c r="H38" s="50">
        <f t="shared" si="15"/>
        <v>13093.843071424706</v>
      </c>
      <c r="I38" s="50">
        <f t="shared" si="15"/>
        <v>11168.159337311532</v>
      </c>
      <c r="J38" s="52">
        <f>(G38-(MAX($G$3:G38)))/(MAX($G$3:G38))</f>
        <v>0</v>
      </c>
      <c r="K38" s="52">
        <f>(H38-(MAX($H$3:H38)))/(MAX($H$3:H38))</f>
        <v>-6.8981980594486583E-2</v>
      </c>
      <c r="L38" s="52">
        <f>(I38-(MAX($I$3:I38)))/(MAX($I$3:I38))</f>
        <v>-4.5750048148930945E-2</v>
      </c>
    </row>
    <row r="39" spans="1:21" ht="15" thickBot="1">
      <c r="A39" s="49">
        <f t="shared" si="2"/>
        <v>42460</v>
      </c>
      <c r="B39" s="82">
        <v>3873.11</v>
      </c>
      <c r="C39" s="82">
        <v>1084.08603398488</v>
      </c>
      <c r="D39" s="52">
        <f t="shared" si="14"/>
        <v>6.7837311762143582E-2</v>
      </c>
      <c r="E39" s="52">
        <f t="shared" si="14"/>
        <v>-3.521957972712686E-2</v>
      </c>
      <c r="F39" s="52">
        <f t="shared" si="3"/>
        <v>-1.3998235915545165E-2</v>
      </c>
      <c r="G39" s="114">
        <v>12665.38</v>
      </c>
      <c r="H39" s="50">
        <f t="shared" si="15"/>
        <v>13982.094186025528</v>
      </c>
      <c r="I39" s="50">
        <f t="shared" si="15"/>
        <v>10774.821459125833</v>
      </c>
      <c r="J39" s="52">
        <f>(G39-(MAX($G$3:G39)))/(MAX($G$3:G39))</f>
        <v>-1.3998235915545143E-2</v>
      </c>
      <c r="K39" s="52">
        <f>(H39-(MAX($H$3:H39)))/(MAX($H$3:H39))</f>
        <v>-5.8242209559012928E-3</v>
      </c>
      <c r="L39" s="52">
        <f>(I39-(MAX($I$3:I39)))/(MAX($I$3:I39))</f>
        <v>-7.9358330407756583E-2</v>
      </c>
      <c r="O39" s="83" t="str">
        <f>S28</f>
        <v>NUXIX</v>
      </c>
      <c r="P39" s="112" t="s">
        <v>41</v>
      </c>
    </row>
    <row r="40" spans="1:21">
      <c r="A40" s="49">
        <f t="shared" si="2"/>
        <v>42489</v>
      </c>
      <c r="B40" s="82">
        <v>3888.13</v>
      </c>
      <c r="C40" s="82">
        <v>1059.9292256654601</v>
      </c>
      <c r="D40" s="52">
        <f t="shared" si="14"/>
        <v>3.8780205054853578E-3</v>
      </c>
      <c r="E40" s="52">
        <f t="shared" si="14"/>
        <v>-2.228310997663574E-2</v>
      </c>
      <c r="F40" s="52">
        <f t="shared" si="3"/>
        <v>-8.0960855497426154E-3</v>
      </c>
      <c r="G40" s="114">
        <v>12562.84</v>
      </c>
      <c r="H40" s="50">
        <f t="shared" si="15"/>
        <v>14036.317033988562</v>
      </c>
      <c r="I40" s="50">
        <f t="shared" si="15"/>
        <v>10534.724927573518</v>
      </c>
      <c r="J40" s="52">
        <f>(G40-(MAX($G$3:G40)))/(MAX($G$3:G40))</f>
        <v>-2.198099054977002E-2</v>
      </c>
      <c r="K40" s="52">
        <f>(H40-(MAX($H$3:H40)))/(MAX($H$3:H40))</f>
        <v>-1.9687868987114461E-3</v>
      </c>
      <c r="L40" s="52">
        <f>(I40-(MAX($I$3:I40)))/(MAX($I$3:I40))</f>
        <v>-9.9873089980354046E-2</v>
      </c>
      <c r="N40" s="61" t="s">
        <v>46</v>
      </c>
      <c r="O40" s="123">
        <f t="shared" ref="O40:O47" si="16">S30</f>
        <v>6.4826999999999968E-2</v>
      </c>
      <c r="P40" s="124">
        <f t="shared" ref="P40:P47" si="17">U30</f>
        <v>2.2461654914633922E-3</v>
      </c>
    </row>
    <row r="41" spans="1:21">
      <c r="A41" s="49">
        <f t="shared" si="2"/>
        <v>42521</v>
      </c>
      <c r="B41" s="82">
        <v>3957.95</v>
      </c>
      <c r="C41" s="82">
        <v>1039.16360414223</v>
      </c>
      <c r="D41" s="52">
        <f t="shared" si="14"/>
        <v>1.7957218508640294E-2</v>
      </c>
      <c r="E41" s="52">
        <f t="shared" si="14"/>
        <v>-1.9591517075295939E-2</v>
      </c>
      <c r="F41" s="52">
        <f t="shared" si="3"/>
        <v>-1.6097474774812048E-2</v>
      </c>
      <c r="G41" s="114">
        <v>12360.61</v>
      </c>
      <c r="H41" s="50">
        <f t="shared" si="15"/>
        <v>14288.370246024444</v>
      </c>
      <c r="I41" s="50">
        <f t="shared" si="15"/>
        <v>10328.333684271414</v>
      </c>
      <c r="J41" s="52">
        <f>(G41-(MAX($G$3:G41)))/(MAX($G$3:G41))</f>
        <v>-3.7724626883681743E-2</v>
      </c>
      <c r="K41" s="52">
        <f>(H41-(MAX($H$3:H41)))/(MAX($H$3:H41))</f>
        <v>0</v>
      </c>
      <c r="L41" s="52">
        <f>(I41-(MAX($I$3:I41)))/(MAX($I$3:I41))</f>
        <v>-0.11750794170793739</v>
      </c>
      <c r="N41" s="65">
        <v>2014</v>
      </c>
      <c r="O41" s="154">
        <f t="shared" si="16"/>
        <v>7.5947548287186528E-2</v>
      </c>
      <c r="P41" s="125">
        <f t="shared" si="17"/>
        <v>0.10276335709748952</v>
      </c>
    </row>
    <row r="42" spans="1:21">
      <c r="A42" s="49">
        <f t="shared" si="2"/>
        <v>42551</v>
      </c>
      <c r="B42" s="82">
        <v>3968.21</v>
      </c>
      <c r="C42" s="82">
        <v>1076.8115444525299</v>
      </c>
      <c r="D42" s="52">
        <f t="shared" si="14"/>
        <v>2.5922510390481435E-3</v>
      </c>
      <c r="E42" s="52">
        <f t="shared" si="14"/>
        <v>3.6229079001834474E-2</v>
      </c>
      <c r="F42" s="52">
        <f t="shared" si="3"/>
        <v>9.850322920956156E-2</v>
      </c>
      <c r="G42" s="114">
        <v>13578.17</v>
      </c>
      <c r="H42" s="50">
        <f t="shared" si="15"/>
        <v>14325.409288641005</v>
      </c>
      <c r="I42" s="50">
        <f t="shared" si="15"/>
        <v>10702.519701276191</v>
      </c>
      <c r="J42" s="52">
        <f>(G42-(MAX($G$3:G42)))/(MAX($G$3:G42))</f>
        <v>0</v>
      </c>
      <c r="K42" s="52">
        <f>(H42-(MAX($H$3:H42)))/(MAX($H$3:H42))</f>
        <v>0</v>
      </c>
      <c r="L42" s="52">
        <f>(I42-(MAX($I$3:I42)))/(MAX($I$3:I42))</f>
        <v>-8.5536067209582789E-2</v>
      </c>
      <c r="N42" s="65">
        <v>2015</v>
      </c>
      <c r="O42" s="154">
        <f t="shared" si="16"/>
        <v>3.300433447557749E-2</v>
      </c>
      <c r="P42" s="125">
        <f t="shared" si="17"/>
        <v>-3.3459215187663593E-2</v>
      </c>
    </row>
    <row r="43" spans="1:21">
      <c r="A43" s="49">
        <f t="shared" si="2"/>
        <v>42580</v>
      </c>
      <c r="B43" s="82">
        <v>4114.51</v>
      </c>
      <c r="C43" s="82">
        <v>1087.6737674271301</v>
      </c>
      <c r="D43" s="52">
        <f t="shared" si="14"/>
        <v>3.6868008497534133E-2</v>
      </c>
      <c r="E43" s="52">
        <f t="shared" si="14"/>
        <v>1.0087394614739953E-2</v>
      </c>
      <c r="F43" s="52">
        <f t="shared" si="3"/>
        <v>2.5501227337704657E-2</v>
      </c>
      <c r="G43" s="114">
        <v>13924.43</v>
      </c>
      <c r="H43" s="50">
        <f t="shared" si="15"/>
        <v>14853.558600025277</v>
      </c>
      <c r="I43" s="50">
        <f t="shared" si="15"/>
        <v>10810.480240874993</v>
      </c>
      <c r="J43" s="52">
        <f>(G43-(MAX($G$3:G43)))/(MAX($G$3:G43))</f>
        <v>0</v>
      </c>
      <c r="K43" s="52">
        <f>(H43-(MAX($H$3:H43)))/(MAX($H$3:H43))</f>
        <v>0</v>
      </c>
      <c r="L43" s="52">
        <f>(I43-(MAX($I$3:I43)))/(MAX($I$3:I43))</f>
        <v>-7.6311508658578803E-2</v>
      </c>
      <c r="N43" s="65">
        <v>2016</v>
      </c>
      <c r="O43" s="154">
        <f t="shared" si="16"/>
        <v>0.13980689659834167</v>
      </c>
      <c r="P43" s="125">
        <f t="shared" si="17"/>
        <v>-5.4249325732154352E-2</v>
      </c>
    </row>
    <row r="44" spans="1:21">
      <c r="A44" s="49">
        <f t="shared" si="2"/>
        <v>42613</v>
      </c>
      <c r="B44" s="82">
        <v>4120.29</v>
      </c>
      <c r="C44" s="82">
        <v>1063.11048900998</v>
      </c>
      <c r="D44" s="52">
        <f t="shared" si="14"/>
        <v>1.4047845308431395E-3</v>
      </c>
      <c r="E44" s="52">
        <f t="shared" si="14"/>
        <v>-2.2583314181837788E-2</v>
      </c>
      <c r="F44" s="52">
        <f t="shared" si="3"/>
        <v>-2.3298619763968853E-2</v>
      </c>
      <c r="G44" s="114">
        <v>13600.01</v>
      </c>
      <c r="H44" s="50">
        <f t="shared" si="15"/>
        <v>14874.424649374565</v>
      </c>
      <c r="I44" s="50">
        <f t="shared" si="15"/>
        <v>10566.343769138763</v>
      </c>
      <c r="J44" s="52">
        <f>(G44-(MAX($G$3:G44)))/(MAX($G$3:G44))</f>
        <v>-2.3298619763968798E-2</v>
      </c>
      <c r="K44" s="52">
        <f>(H44-(MAX($H$3:H44)))/(MAX($H$3:H44))</f>
        <v>0</v>
      </c>
      <c r="L44" s="52">
        <f>(I44-(MAX($I$3:I44)))/(MAX($I$3:I44))</f>
        <v>-9.7171456064689937E-2</v>
      </c>
      <c r="N44" s="65">
        <v>2017</v>
      </c>
      <c r="O44" s="154">
        <f t="shared" si="16"/>
        <v>0.13226125929780719</v>
      </c>
      <c r="P44" s="125">
        <f t="shared" si="17"/>
        <v>3.3188952321940857E-2</v>
      </c>
    </row>
    <row r="45" spans="1:21">
      <c r="A45" s="49">
        <f t="shared" si="2"/>
        <v>42643</v>
      </c>
      <c r="B45" s="82">
        <v>4121.0600000000004</v>
      </c>
      <c r="C45" s="82">
        <v>1049.8986641003501</v>
      </c>
      <c r="D45" s="52">
        <f t="shared" si="14"/>
        <v>1.8688004970535133E-4</v>
      </c>
      <c r="E45" s="52">
        <f t="shared" si="14"/>
        <v>-1.2427518161290507E-2</v>
      </c>
      <c r="F45" s="52">
        <f t="shared" si="3"/>
        <v>1.2197049855110276E-2</v>
      </c>
      <c r="G45" s="114">
        <v>13765.89</v>
      </c>
      <c r="H45" s="50">
        <f t="shared" si="15"/>
        <v>14877.204382592379</v>
      </c>
      <c r="I45" s="50">
        <f t="shared" si="15"/>
        <v>10435.030340049352</v>
      </c>
      <c r="J45" s="52">
        <f>(G45-(MAX($G$3:G45)))/(MAX($G$3:G45))</f>
        <v>-1.1385744335674844E-2</v>
      </c>
      <c r="K45" s="52">
        <f>(H45-(MAX($H$3:H45)))/(MAX($H$3:H45))</f>
        <v>0</v>
      </c>
      <c r="L45" s="52">
        <f>(I45-(MAX($I$3:I45)))/(MAX($I$3:I45))</f>
        <v>-0.10839137419097744</v>
      </c>
      <c r="N45" s="65">
        <v>2018</v>
      </c>
      <c r="O45" s="154">
        <f t="shared" si="16"/>
        <v>2.9989046681563547E-2</v>
      </c>
      <c r="P45" s="125">
        <f t="shared" si="17"/>
        <v>-5.3109813154788466E-2</v>
      </c>
    </row>
    <row r="46" spans="1:21">
      <c r="A46" s="49">
        <f t="shared" si="2"/>
        <v>42674</v>
      </c>
      <c r="B46" s="82">
        <v>4045.89</v>
      </c>
      <c r="C46" s="82">
        <v>1019.50834113326</v>
      </c>
      <c r="D46" s="52">
        <f t="shared" si="14"/>
        <v>-1.8240452699062937E-2</v>
      </c>
      <c r="E46" s="52">
        <f t="shared" si="14"/>
        <v>-2.8945958316016429E-2</v>
      </c>
      <c r="F46" s="52">
        <f t="shared" si="3"/>
        <v>-4.8700084048325265E-2</v>
      </c>
      <c r="G46" s="114">
        <v>13095.49</v>
      </c>
      <c r="H46" s="50">
        <f t="shared" si="15"/>
        <v>14605.837439757412</v>
      </c>
      <c r="I46" s="50">
        <f t="shared" si="15"/>
        <v>10132.978386799918</v>
      </c>
      <c r="J46" s="52">
        <f>(G46-(MAX($G$3:G46)))/(MAX($G$3:G46))</f>
        <v>-5.953134167789996E-2</v>
      </c>
      <c r="K46" s="52">
        <f>(H46-(MAX($H$3:H46)))/(MAX($H$3:H46))</f>
        <v>-1.8240452699062906E-2</v>
      </c>
      <c r="L46" s="52">
        <f>(I46-(MAX($I$3:I46)))/(MAX($I$3:I46))</f>
        <v>-0.13419984030784604</v>
      </c>
      <c r="N46" s="65">
        <v>2019</v>
      </c>
      <c r="O46" s="154">
        <f t="shared" si="16"/>
        <v>0.24377382093521738</v>
      </c>
      <c r="P46" s="125">
        <f t="shared" si="17"/>
        <v>3.3659014371282936E-2</v>
      </c>
    </row>
    <row r="47" spans="1:21" ht="15" thickBot="1">
      <c r="A47" s="49">
        <f t="shared" si="2"/>
        <v>42704</v>
      </c>
      <c r="B47" s="82">
        <v>4195.7299999999996</v>
      </c>
      <c r="C47" s="82">
        <v>1015.03190619731</v>
      </c>
      <c r="D47" s="52">
        <f t="shared" si="14"/>
        <v>3.7035114647209877E-2</v>
      </c>
      <c r="E47" s="52">
        <f t="shared" si="14"/>
        <v>-4.390778138189777E-3</v>
      </c>
      <c r="F47" s="52">
        <f t="shared" si="3"/>
        <v>1.0700630522416654E-2</v>
      </c>
      <c r="G47" s="114">
        <v>13235.62</v>
      </c>
      <c r="H47" s="50">
        <f t="shared" si="15"/>
        <v>15146.766303857337</v>
      </c>
      <c r="I47" s="50">
        <f t="shared" si="15"/>
        <v>10088.486726824407</v>
      </c>
      <c r="J47" s="52">
        <f>(G47-(MAX($G$3:G47)))/(MAX($G$3:G47))</f>
        <v>-4.946773404728233E-2</v>
      </c>
      <c r="K47" s="52">
        <f>(H47-(MAX($H$3:H47)))/(MAX($H$3:H47))</f>
        <v>0</v>
      </c>
      <c r="L47" s="52">
        <f>(I47-(MAX($I$3:I47)))/(MAX($I$3:I47))</f>
        <v>-0.13800137672106355</v>
      </c>
      <c r="N47" s="70">
        <v>2020</v>
      </c>
      <c r="O47" s="126">
        <f t="shared" si="16"/>
        <v>-0.36658659988756581</v>
      </c>
      <c r="P47" s="127">
        <f t="shared" si="17"/>
        <v>-2.5566742144630172E-2</v>
      </c>
    </row>
    <row r="48" spans="1:21" ht="15" thickBot="1">
      <c r="A48" s="49">
        <f t="shared" si="2"/>
        <v>42734</v>
      </c>
      <c r="B48" s="82">
        <v>4278.66</v>
      </c>
      <c r="C48" s="82">
        <v>1016.49966841401</v>
      </c>
      <c r="D48" s="52">
        <f t="shared" si="14"/>
        <v>1.9765332850302686E-2</v>
      </c>
      <c r="E48" s="52">
        <f t="shared" si="14"/>
        <v>1.4460256941071226E-3</v>
      </c>
      <c r="F48" s="52">
        <f t="shared" si="3"/>
        <v>1.9199705038373649E-2</v>
      </c>
      <c r="G48" s="114">
        <v>13489.74</v>
      </c>
      <c r="H48" s="50">
        <f t="shared" si="15"/>
        <v>15446.147181458826</v>
      </c>
      <c r="I48" s="50">
        <f t="shared" si="15"/>
        <v>10103.074937846053</v>
      </c>
      <c r="J48" s="52">
        <f>(G48-(MAX($G$3:G48)))/(MAX($G$3:G48))</f>
        <v>-3.1217794911533221E-2</v>
      </c>
      <c r="K48" s="52">
        <f>(H48-(MAX($H$3:H48)))/(MAX($H$3:H48))</f>
        <v>0</v>
      </c>
      <c r="L48" s="52">
        <f>(I48-(MAX($I$3:I48)))/(MAX($I$3:I48))</f>
        <v>-0.1367549045635173</v>
      </c>
    </row>
    <row r="49" spans="1:16" ht="15" thickBot="1">
      <c r="A49" s="49">
        <f t="shared" si="2"/>
        <v>42766</v>
      </c>
      <c r="B49" s="82">
        <v>4359.8100000000004</v>
      </c>
      <c r="C49" s="82">
        <v>1007.10216039462</v>
      </c>
      <c r="D49" s="52">
        <f t="shared" si="14"/>
        <v>1.8966218395479073E-2</v>
      </c>
      <c r="E49" s="52">
        <f t="shared" si="14"/>
        <v>-9.2449690948275265E-3</v>
      </c>
      <c r="F49" s="52">
        <f t="shared" si="3"/>
        <v>1.0098044884482515E-2</v>
      </c>
      <c r="G49" s="114">
        <v>13625.96</v>
      </c>
      <c r="H49" s="50">
        <f t="shared" si="15"/>
        <v>15739.102182271088</v>
      </c>
      <c r="I49" s="50">
        <f t="shared" si="15"/>
        <v>10009.672322282941</v>
      </c>
      <c r="J49" s="52">
        <f>(G49-(MAX($G$3:G49)))/(MAX($G$3:G49))</f>
        <v>-2.1434988721261924E-2</v>
      </c>
      <c r="K49" s="52">
        <f>(H49-(MAX($H$3:H49)))/(MAX($H$3:H49))</f>
        <v>0</v>
      </c>
      <c r="L49" s="52">
        <f>(I49-(MAX($I$3:I49)))/(MAX($I$3:I49))</f>
        <v>-0.14473557879208898</v>
      </c>
      <c r="O49" s="63" t="str">
        <f>S28</f>
        <v>NUXIX</v>
      </c>
      <c r="P49" s="131" t="s">
        <v>30</v>
      </c>
    </row>
    <row r="50" spans="1:16" ht="15" thickBot="1">
      <c r="A50" s="49">
        <f t="shared" si="2"/>
        <v>42794</v>
      </c>
      <c r="B50" s="82">
        <v>4532.93</v>
      </c>
      <c r="C50" s="82">
        <v>1029.12268860788</v>
      </c>
      <c r="D50" s="52">
        <f t="shared" si="14"/>
        <v>3.970815241948622E-2</v>
      </c>
      <c r="E50" s="52">
        <f t="shared" si="14"/>
        <v>2.1865237787427327E-2</v>
      </c>
      <c r="F50" s="52">
        <f t="shared" si="3"/>
        <v>3.1600709234431923E-2</v>
      </c>
      <c r="G50" s="114">
        <v>14056.55</v>
      </c>
      <c r="H50" s="50">
        <f t="shared" si="15"/>
        <v>16364.072850670576</v>
      </c>
      <c r="I50" s="50">
        <f t="shared" si="15"/>
        <v>10228.536187783888</v>
      </c>
      <c r="J50" s="52">
        <f>(G50-(MAX($G$3:G50)))/(MAX($G$3:G50))</f>
        <v>0</v>
      </c>
      <c r="K50" s="52">
        <f>(H50-(MAX($H$3:H50)))/(MAX($H$3:H50))</f>
        <v>0</v>
      </c>
      <c r="L50" s="52">
        <f>(I50-(MAX($I$3:I50)))/(MAX($I$3:I50))</f>
        <v>-0.12603501885125154</v>
      </c>
      <c r="N50" s="128" t="s">
        <v>47</v>
      </c>
      <c r="O50" s="129">
        <f>COUNTIF(S30:S37,"&gt;0")/COUNTA(S30:S37)</f>
        <v>0.875</v>
      </c>
      <c r="P50" s="130">
        <f>COUNTIF(T30:T37,"&gt;0")/COUNTA(T30:T37)</f>
        <v>0.875</v>
      </c>
    </row>
    <row r="51" spans="1:16">
      <c r="A51" s="49">
        <f t="shared" si="2"/>
        <v>42825</v>
      </c>
      <c r="B51" s="82">
        <v>4538.21</v>
      </c>
      <c r="C51" s="82">
        <v>1017.04996572571</v>
      </c>
      <c r="D51" s="52">
        <f t="shared" si="14"/>
        <v>1.1648095161407301E-3</v>
      </c>
      <c r="E51" s="52">
        <f t="shared" si="14"/>
        <v>-1.1731082227427247E-2</v>
      </c>
      <c r="F51" s="52">
        <f t="shared" si="3"/>
        <v>-1.4699197171425316E-2</v>
      </c>
      <c r="G51" s="114">
        <v>13849.93</v>
      </c>
      <c r="H51" s="50">
        <f t="shared" si="15"/>
        <v>16383.133878449858</v>
      </c>
      <c r="I51" s="50">
        <f t="shared" si="15"/>
        <v>10108.54438869878</v>
      </c>
      <c r="J51" s="52">
        <f>(G51-(MAX($G$3:G51)))/(MAX($G$3:G51))</f>
        <v>-1.4699197171425349E-2</v>
      </c>
      <c r="K51" s="52">
        <f>(H51-(MAX($H$3:H51)))/(MAX($H$3:H51))</f>
        <v>0</v>
      </c>
      <c r="L51" s="52">
        <f>(I51-(MAX($I$3:I51)))/(MAX($I$3:I51))</f>
        <v>-0.1362875739089994</v>
      </c>
    </row>
    <row r="52" spans="1:16">
      <c r="A52" s="49">
        <f t="shared" si="2"/>
        <v>42853</v>
      </c>
      <c r="B52" s="82">
        <v>4584.82</v>
      </c>
      <c r="C52" s="82">
        <v>1011.07960330207</v>
      </c>
      <c r="D52" s="52">
        <f t="shared" si="14"/>
        <v>1.0270569233243876E-2</v>
      </c>
      <c r="E52" s="52">
        <f t="shared" si="14"/>
        <v>-5.870274445542889E-3</v>
      </c>
      <c r="F52" s="52">
        <f t="shared" si="3"/>
        <v>3.4203060954098641E-2</v>
      </c>
      <c r="G52" s="114">
        <v>14323.64</v>
      </c>
      <c r="H52" s="50">
        <f t="shared" ref="H52:I67" si="18">H51*(1+D52)</f>
        <v>16551.39798920598</v>
      </c>
      <c r="I52" s="50">
        <f t="shared" si="18"/>
        <v>10049.204458892165</v>
      </c>
      <c r="J52" s="52">
        <f>(G52-(MAX($G$3:G52)))/(MAX($G$3:G52))</f>
        <v>0</v>
      </c>
      <c r="K52" s="52">
        <f>(H52-(MAX($H$3:H52)))/(MAX($H$3:H52))</f>
        <v>0</v>
      </c>
      <c r="L52" s="52">
        <f>(I52-(MAX($I$3:I52)))/(MAX($I$3:I52))</f>
        <v>-0.14135780289217925</v>
      </c>
    </row>
    <row r="53" spans="1:16">
      <c r="A53" s="49">
        <f t="shared" si="2"/>
        <v>42886</v>
      </c>
      <c r="B53" s="82">
        <v>4649.34</v>
      </c>
      <c r="C53" s="82">
        <v>1011.178933076269</v>
      </c>
      <c r="D53" s="52">
        <f t="shared" si="14"/>
        <v>1.40725262932897E-2</v>
      </c>
      <c r="E53" s="52">
        <f t="shared" si="14"/>
        <v>9.8241299571810714E-5</v>
      </c>
      <c r="F53" s="52">
        <f t="shared" si="3"/>
        <v>2.4600590352731544E-2</v>
      </c>
      <c r="G53" s="114">
        <v>14676.01</v>
      </c>
      <c r="H53" s="50">
        <f t="shared" si="18"/>
        <v>16784.317972599783</v>
      </c>
      <c r="I53" s="50">
        <f t="shared" si="18"/>
        <v>10050.19170579787</v>
      </c>
      <c r="J53" s="52">
        <f>(G53-(MAX($G$3:G53)))/(MAX($G$3:G53))</f>
        <v>0</v>
      </c>
      <c r="K53" s="52">
        <f>(H53-(MAX($H$3:H53)))/(MAX($H$3:H53))</f>
        <v>0</v>
      </c>
      <c r="L53" s="52">
        <f>(I53-(MAX($I$3:I53)))/(MAX($I$3:I53))</f>
        <v>-0.14127344876686818</v>
      </c>
    </row>
    <row r="54" spans="1:16">
      <c r="A54" s="49">
        <f t="shared" si="2"/>
        <v>42916</v>
      </c>
      <c r="B54" s="82">
        <v>4678.3599999999997</v>
      </c>
      <c r="C54" s="82">
        <v>991.92874464368799</v>
      </c>
      <c r="D54" s="52">
        <f t="shared" si="14"/>
        <v>6.2417461403123653E-3</v>
      </c>
      <c r="E54" s="52">
        <f t="shared" si="14"/>
        <v>-1.9037370936928921E-2</v>
      </c>
      <c r="F54" s="52">
        <f t="shared" si="3"/>
        <v>-2.8011700727923472E-3</v>
      </c>
      <c r="G54" s="114">
        <v>14634.9</v>
      </c>
      <c r="H54" s="50">
        <f t="shared" si="18"/>
        <v>16889.081424523032</v>
      </c>
      <c r="I54" s="50">
        <f t="shared" si="18"/>
        <v>9858.8624783073501</v>
      </c>
      <c r="J54" s="52">
        <f>(G54-(MAX($G$3:G54)))/(MAX($G$3:G54))</f>
        <v>-2.8011700727923038E-3</v>
      </c>
      <c r="K54" s="52">
        <f>(H54-(MAX($H$3:H54)))/(MAX($H$3:H54))</f>
        <v>0</v>
      </c>
      <c r="L54" s="52">
        <f>(I54-(MAX($I$3:I54)))/(MAX($I$3:I54))</f>
        <v>-0.15762134465608293</v>
      </c>
    </row>
    <row r="55" spans="1:16">
      <c r="A55" s="49">
        <f t="shared" si="2"/>
        <v>42947</v>
      </c>
      <c r="B55" s="82">
        <v>4774.5600000000004</v>
      </c>
      <c r="C55" s="82">
        <v>1007.875840173578</v>
      </c>
      <c r="D55" s="52">
        <f t="shared" si="14"/>
        <v>2.0562761309518951E-2</v>
      </c>
      <c r="E55" s="52">
        <f t="shared" si="14"/>
        <v>1.6076855939504364E-2</v>
      </c>
      <c r="F55" s="52">
        <f t="shared" si="3"/>
        <v>-3.2902855502941475E-2</v>
      </c>
      <c r="G55" s="114">
        <v>14153.37</v>
      </c>
      <c r="H55" s="50">
        <f t="shared" si="18"/>
        <v>17236.367574592528</v>
      </c>
      <c r="I55" s="50">
        <f t="shared" si="18"/>
        <v>10017.361990098483</v>
      </c>
      <c r="J55" s="52">
        <f>(G55-(MAX($G$3:G55)))/(MAX($G$3:G55))</f>
        <v>-3.5611859081589571E-2</v>
      </c>
      <c r="K55" s="52">
        <f>(H55-(MAX($H$3:H55)))/(MAX($H$3:H55))</f>
        <v>0</v>
      </c>
      <c r="L55" s="52">
        <f>(I55-(MAX($I$3:I55)))/(MAX($I$3:I55))</f>
        <v>-0.14407854436760531</v>
      </c>
    </row>
    <row r="56" spans="1:16">
      <c r="A56" s="49">
        <f t="shared" si="2"/>
        <v>42978</v>
      </c>
      <c r="B56" s="82">
        <v>4789.18</v>
      </c>
      <c r="C56" s="82">
        <v>1016.213072415997</v>
      </c>
      <c r="D56" s="52">
        <f t="shared" si="14"/>
        <v>3.0620622633290573E-3</v>
      </c>
      <c r="E56" s="52">
        <f t="shared" si="14"/>
        <v>8.272082641630929E-3</v>
      </c>
      <c r="F56" s="52">
        <f t="shared" si="3"/>
        <v>4.8998930996644319E-3</v>
      </c>
      <c r="G56" s="114">
        <v>14222.72</v>
      </c>
      <c r="H56" s="50">
        <f t="shared" si="18"/>
        <v>17289.146405299558</v>
      </c>
      <c r="I56" s="50">
        <f t="shared" si="18"/>
        <v>10100.22643633171</v>
      </c>
      <c r="J56" s="52">
        <f>(G56-(MAX($G$3:G56)))/(MAX($G$3:G56))</f>
        <v>-3.0886460284505181E-2</v>
      </c>
      <c r="K56" s="52">
        <f>(H56-(MAX($H$3:H56)))/(MAX($H$3:H56))</f>
        <v>0</v>
      </c>
      <c r="L56" s="52">
        <f>(I56-(MAX($I$3:I56)))/(MAX($I$3:I56))</f>
        <v>-0.13699829135186914</v>
      </c>
    </row>
    <row r="57" spans="1:16">
      <c r="A57" s="49">
        <f t="shared" si="2"/>
        <v>43007</v>
      </c>
      <c r="B57" s="82">
        <v>4887.97</v>
      </c>
      <c r="C57" s="82">
        <v>1005.177154795507</v>
      </c>
      <c r="D57" s="52">
        <f t="shared" si="14"/>
        <v>2.0627748382813005E-2</v>
      </c>
      <c r="E57" s="52">
        <f t="shared" si="14"/>
        <v>-1.0859846148458363E-2</v>
      </c>
      <c r="F57" s="52">
        <f t="shared" si="3"/>
        <v>-6.6000033748817577E-3</v>
      </c>
      <c r="G57" s="114">
        <v>14128.85</v>
      </c>
      <c r="H57" s="50">
        <f t="shared" si="18"/>
        <v>17645.782567101694</v>
      </c>
      <c r="I57" s="50">
        <f t="shared" si="18"/>
        <v>9990.5395311685552</v>
      </c>
      <c r="J57" s="52">
        <f>(G57-(MAX($G$3:G57)))/(MAX($G$3:G57))</f>
        <v>-3.7282612917271099E-2</v>
      </c>
      <c r="K57" s="52">
        <f>(H57-(MAX($H$3:H57)))/(MAX($H$3:H57))</f>
        <v>0</v>
      </c>
      <c r="L57" s="52">
        <f>(I57-(MAX($I$3:I57)))/(MAX($I$3:I57))</f>
        <v>-0.14637035713364457</v>
      </c>
    </row>
    <row r="58" spans="1:16">
      <c r="A58" s="49">
        <f t="shared" si="2"/>
        <v>43039</v>
      </c>
      <c r="B58" s="82">
        <v>5002.03</v>
      </c>
      <c r="C58" s="82">
        <v>1036.345027271358</v>
      </c>
      <c r="D58" s="52">
        <f t="shared" si="14"/>
        <v>2.3334840434781512E-2</v>
      </c>
      <c r="E58" s="52">
        <f t="shared" si="14"/>
        <v>3.1007342663086801E-2</v>
      </c>
      <c r="F58" s="52">
        <f t="shared" si="3"/>
        <v>3.8834016922820958E-2</v>
      </c>
      <c r="G58" s="114">
        <v>14677.53</v>
      </c>
      <c r="H58" s="50">
        <f t="shared" si="18"/>
        <v>18057.544087651862</v>
      </c>
      <c r="I58" s="50">
        <f t="shared" si="18"/>
        <v>10300.319613800613</v>
      </c>
      <c r="J58" s="52">
        <f>(G58-(MAX($G$3:G58)))/(MAX($G$3:G58))</f>
        <v>0</v>
      </c>
      <c r="K58" s="52">
        <f>(H58-(MAX($H$3:H58)))/(MAX($H$3:H58))</f>
        <v>0</v>
      </c>
      <c r="L58" s="52">
        <f>(I58-(MAX($I$3:I58)))/(MAX($I$3:I58))</f>
        <v>-0.11990157028991906</v>
      </c>
    </row>
    <row r="59" spans="1:16">
      <c r="A59" s="49">
        <f t="shared" si="2"/>
        <v>43069</v>
      </c>
      <c r="B59" s="82">
        <v>5155.4399999999996</v>
      </c>
      <c r="C59" s="82">
        <v>1040.142970400236</v>
      </c>
      <c r="D59" s="52">
        <f t="shared" si="14"/>
        <v>3.0669548163445581E-2</v>
      </c>
      <c r="E59" s="52">
        <f t="shared" si="14"/>
        <v>3.6647477711913012E-3</v>
      </c>
      <c r="F59" s="52">
        <f t="shared" si="3"/>
        <v>2.0563405423119629E-2</v>
      </c>
      <c r="G59" s="114">
        <v>14979.35</v>
      </c>
      <c r="H59" s="50">
        <f t="shared" si="18"/>
        <v>18611.360805761644</v>
      </c>
      <c r="I59" s="50">
        <f t="shared" si="18"/>
        <v>10338.067687147846</v>
      </c>
      <c r="J59" s="52">
        <f>(G59-(MAX($G$3:G59)))/(MAX($G$3:G59))</f>
        <v>0</v>
      </c>
      <c r="K59" s="52">
        <f>(H59-(MAX($H$3:H59)))/(MAX($H$3:H59))</f>
        <v>0</v>
      </c>
      <c r="L59" s="52">
        <f>(I59-(MAX($I$3:I59)))/(MAX($I$3:I59))</f>
        <v>-0.11667623153121015</v>
      </c>
    </row>
    <row r="60" spans="1:16">
      <c r="A60" s="49">
        <f t="shared" si="2"/>
        <v>43098</v>
      </c>
      <c r="B60" s="82">
        <v>5212.76</v>
      </c>
      <c r="C60" s="82">
        <v>1050.236227444271</v>
      </c>
      <c r="D60" s="52">
        <f t="shared" si="14"/>
        <v>1.1118352652732089E-2</v>
      </c>
      <c r="E60" s="52">
        <f t="shared" si="14"/>
        <v>9.7037208645953665E-3</v>
      </c>
      <c r="F60" s="52">
        <f t="shared" si="3"/>
        <v>1.9664404663753743E-2</v>
      </c>
      <c r="G60" s="114">
        <v>15273.91</v>
      </c>
      <c r="H60" s="50">
        <f t="shared" si="18"/>
        <v>18818.288478547336</v>
      </c>
      <c r="I60" s="50">
        <f t="shared" si="18"/>
        <v>10438.385410263221</v>
      </c>
      <c r="J60" s="52">
        <f>(G60-(MAX($G$3:G60)))/(MAX($G$3:G60))</f>
        <v>0</v>
      </c>
      <c r="K60" s="52">
        <f>(H60-(MAX($H$3:H60)))/(MAX($H$3:H60))</f>
        <v>0</v>
      </c>
      <c r="L60" s="52">
        <f>(I60-(MAX($I$3:I60)))/(MAX($I$3:I60))</f>
        <v>-0.10810470424892661</v>
      </c>
    </row>
    <row r="61" spans="1:16">
      <c r="A61" s="49">
        <f t="shared" si="2"/>
        <v>43131</v>
      </c>
      <c r="B61" s="82">
        <v>5511.21</v>
      </c>
      <c r="C61" s="82">
        <v>1105.46805553795</v>
      </c>
      <c r="D61" s="52">
        <f t="shared" ref="D61:E76" si="19">B61/B60-1</f>
        <v>5.7253738902232287E-2</v>
      </c>
      <c r="E61" s="52">
        <f t="shared" si="19"/>
        <v>5.2589909441692617E-2</v>
      </c>
      <c r="F61" s="52">
        <f t="shared" si="3"/>
        <v>1.784939154414289E-2</v>
      </c>
      <c r="G61" s="114">
        <v>15546.54</v>
      </c>
      <c r="H61" s="50">
        <f t="shared" si="18"/>
        <v>19895.705853684973</v>
      </c>
      <c r="I61" s="50">
        <f t="shared" si="18"/>
        <v>10987.339153706449</v>
      </c>
      <c r="J61" s="52">
        <f>(G61-(MAX($G$3:G61)))/(MAX($G$3:G61))</f>
        <v>0</v>
      </c>
      <c r="K61" s="52">
        <f>(H61-(MAX($H$3:H61)))/(MAX($H$3:H61))</f>
        <v>0</v>
      </c>
      <c r="L61" s="52">
        <f>(I61-(MAX($I$3:I61)))/(MAX($I$3:I61))</f>
        <v>-6.1200011413906054E-2</v>
      </c>
    </row>
    <row r="62" spans="1:16">
      <c r="A62" s="49">
        <f t="shared" si="2"/>
        <v>43159</v>
      </c>
      <c r="B62" s="82">
        <v>5308.09</v>
      </c>
      <c r="C62" s="82">
        <v>1023.1335523133999</v>
      </c>
      <c r="D62" s="52">
        <f t="shared" si="19"/>
        <v>-3.6855790289246793E-2</v>
      </c>
      <c r="E62" s="52">
        <f t="shared" si="19"/>
        <v>-7.4479314722924239E-2</v>
      </c>
      <c r="F62" s="52">
        <f t="shared" si="3"/>
        <v>-7.9642158319471856E-2</v>
      </c>
      <c r="G62" s="114">
        <v>14308.38</v>
      </c>
      <c r="H62" s="50">
        <f t="shared" si="18"/>
        <v>19162.43389108502</v>
      </c>
      <c r="I62" s="50">
        <f t="shared" si="18"/>
        <v>10169.009662910039</v>
      </c>
      <c r="J62" s="52">
        <f>(G62-(MAX($G$3:G62)))/(MAX($G$3:G62))</f>
        <v>-7.9642158319471829E-2</v>
      </c>
      <c r="K62" s="52">
        <f>(H62-(MAX($H$3:H62)))/(MAX($H$3:H62))</f>
        <v>-3.6855790289246758E-2</v>
      </c>
      <c r="L62" s="52">
        <f>(I62-(MAX($I$3:I62)))/(MAX($I$3:I62))</f>
        <v>-0.13112119122568738</v>
      </c>
    </row>
    <row r="63" spans="1:16">
      <c r="A63" s="49">
        <f t="shared" si="2"/>
        <v>43189</v>
      </c>
      <c r="B63" s="82">
        <v>5173.1899999999996</v>
      </c>
      <c r="C63" s="82">
        <v>1016.80507527789</v>
      </c>
      <c r="D63" s="52">
        <f t="shared" si="19"/>
        <v>-2.5414037817746205E-2</v>
      </c>
      <c r="E63" s="52">
        <f t="shared" si="19"/>
        <v>-6.1853870603703065E-3</v>
      </c>
      <c r="F63" s="52">
        <f t="shared" si="3"/>
        <v>-7.327174704613526E-3</v>
      </c>
      <c r="G63" s="114">
        <v>14203.54</v>
      </c>
      <c r="H63" s="50">
        <f t="shared" si="18"/>
        <v>18675.439071496923</v>
      </c>
      <c r="I63" s="50">
        <f t="shared" si="18"/>
        <v>10106.110402124295</v>
      </c>
      <c r="J63" s="52">
        <f>(G63-(MAX($G$3:G63)))/(MAX($G$3:G63))</f>
        <v>-8.6385781016226112E-2</v>
      </c>
      <c r="K63" s="52">
        <f>(H63-(MAX($H$3:H63)))/(MAX($H$3:H63))</f>
        <v>-6.1333173658779161E-2</v>
      </c>
      <c r="L63" s="52">
        <f>(I63-(MAX($I$3:I63)))/(MAX($I$3:I63))</f>
        <v>-0.1364955429665099</v>
      </c>
    </row>
    <row r="64" spans="1:16">
      <c r="A64" s="49">
        <f t="shared" si="2"/>
        <v>43220</v>
      </c>
      <c r="B64" s="82">
        <v>5193.04</v>
      </c>
      <c r="C64" s="82">
        <v>1012.0806959691701</v>
      </c>
      <c r="D64" s="52">
        <f t="shared" si="19"/>
        <v>3.8370908472336041E-3</v>
      </c>
      <c r="E64" s="52">
        <f t="shared" si="19"/>
        <v>-4.6462979223709233E-3</v>
      </c>
      <c r="F64" s="52">
        <f t="shared" si="3"/>
        <v>9.4025855526156388E-3</v>
      </c>
      <c r="G64" s="114">
        <v>14337.09</v>
      </c>
      <c r="H64" s="50">
        <f t="shared" si="18"/>
        <v>18747.098427826233</v>
      </c>
      <c r="I64" s="50">
        <f t="shared" si="18"/>
        <v>10059.154402359654</v>
      </c>
      <c r="J64" s="52">
        <f>(G64-(MAX($G$3:G64)))/(MAX($G$3:G64))</f>
        <v>-7.7795445160144999E-2</v>
      </c>
      <c r="K64" s="52">
        <f>(H64-(MAX($H$3:H64)))/(MAX($H$3:H64))</f>
        <v>-5.7731423770823437E-2</v>
      </c>
      <c r="L64" s="52">
        <f>(I64-(MAX($I$3:I64)))/(MAX($I$3:I64))</f>
        <v>-0.14050764193118262</v>
      </c>
    </row>
    <row r="65" spans="1:12">
      <c r="A65" s="49">
        <f t="shared" si="2"/>
        <v>43251</v>
      </c>
      <c r="B65" s="82">
        <v>5318.1</v>
      </c>
      <c r="C65" s="82">
        <v>991.39433525223001</v>
      </c>
      <c r="D65" s="52">
        <f t="shared" si="19"/>
        <v>2.4082233142822096E-2</v>
      </c>
      <c r="E65" s="52">
        <f t="shared" si="19"/>
        <v>-2.0439438079718264E-2</v>
      </c>
      <c r="F65" s="52">
        <f t="shared" si="3"/>
        <v>7.9841864701972742E-3</v>
      </c>
      <c r="G65" s="114">
        <v>14451.56</v>
      </c>
      <c r="H65" s="50">
        <f t="shared" si="18"/>
        <v>19198.570422916579</v>
      </c>
      <c r="I65" s="50">
        <f t="shared" si="18"/>
        <v>9853.5509388182982</v>
      </c>
      <c r="J65" s="52">
        <f>(G65-(MAX($G$3:G65)))/(MAX($G$3:G65))</f>
        <v>-7.0432392030638419E-2</v>
      </c>
      <c r="K65" s="52">
        <f>(H65-(MAX($H$3:H65)))/(MAX($H$3:H65))</f>
        <v>-3.5039492234917341E-2</v>
      </c>
      <c r="L65" s="52">
        <f>(I65-(MAX($I$3:I65)))/(MAX($I$3:I65))</f>
        <v>-0.1580751827639213</v>
      </c>
    </row>
    <row r="66" spans="1:12">
      <c r="A66" s="49">
        <f t="shared" si="2"/>
        <v>43280</v>
      </c>
      <c r="B66" s="82">
        <v>5350.83</v>
      </c>
      <c r="C66" s="82">
        <v>1000.68181170346</v>
      </c>
      <c r="D66" s="52">
        <f t="shared" si="19"/>
        <v>6.154453658261394E-3</v>
      </c>
      <c r="E66" s="52">
        <f t="shared" si="19"/>
        <v>9.3680951373067423E-3</v>
      </c>
      <c r="F66" s="52">
        <f t="shared" si="3"/>
        <v>1.7161469073235125E-2</v>
      </c>
      <c r="G66" s="114">
        <v>14699.57</v>
      </c>
      <c r="H66" s="50">
        <f t="shared" si="18"/>
        <v>19316.727134889286</v>
      </c>
      <c r="I66" s="50">
        <f t="shared" si="18"/>
        <v>9945.8599414534456</v>
      </c>
      <c r="J66" s="52">
        <f>(G66-(MAX($G$3:G66)))/(MAX($G$3:G66))</f>
        <v>-5.4479646274991161E-2</v>
      </c>
      <c r="K66" s="52">
        <f>(H66-(MAX($H$3:H66)))/(MAX($H$3:H66))</f>
        <v>-2.9100687507824761E-2</v>
      </c>
      <c r="L66" s="52">
        <f>(I66-(MAX($I$3:I66)))/(MAX($I$3:I66))</f>
        <v>-0.15018795097759419</v>
      </c>
    </row>
    <row r="67" spans="1:12">
      <c r="A67" s="49">
        <f t="shared" si="2"/>
        <v>43312</v>
      </c>
      <c r="B67" s="82">
        <v>5549.96</v>
      </c>
      <c r="C67" s="82">
        <v>994.30941854764205</v>
      </c>
      <c r="D67" s="52">
        <f t="shared" si="19"/>
        <v>3.7214787238615266E-2</v>
      </c>
      <c r="E67" s="52">
        <f t="shared" si="19"/>
        <v>-6.3680513438834074E-3</v>
      </c>
      <c r="F67" s="52">
        <f t="shared" si="3"/>
        <v>2.5308223301770072E-2</v>
      </c>
      <c r="G67" s="114">
        <v>15071.59</v>
      </c>
      <c r="H67" s="50">
        <f t="shared" si="18"/>
        <v>20035.595025360577</v>
      </c>
      <c r="I67" s="50">
        <f t="shared" si="18"/>
        <v>9882.5241946871975</v>
      </c>
      <c r="J67" s="52">
        <f>(G67-(MAX($G$3:G67)))/(MAX($G$3:G67))</f>
        <v>-3.0550206026550005E-2</v>
      </c>
      <c r="K67" s="52">
        <f>(H67-(MAX($H$3:H67)))/(MAX($H$3:H67))</f>
        <v>0</v>
      </c>
      <c r="L67" s="52">
        <f>(I67-(MAX($I$3:I67)))/(MAX($I$3:I67))</f>
        <v>-0.15559959773841955</v>
      </c>
    </row>
    <row r="68" spans="1:12">
      <c r="A68" s="49">
        <f t="shared" si="2"/>
        <v>43343</v>
      </c>
      <c r="B68" s="82">
        <v>5730.8</v>
      </c>
      <c r="C68" s="82">
        <v>1019.44649413117</v>
      </c>
      <c r="D68" s="52">
        <f t="shared" si="19"/>
        <v>3.2584018623557753E-2</v>
      </c>
      <c r="E68" s="52">
        <f t="shared" si="19"/>
        <v>2.5280938825104293E-2</v>
      </c>
      <c r="F68" s="52">
        <f t="shared" si="3"/>
        <v>8.3544602792406053E-2</v>
      </c>
      <c r="G68" s="114">
        <v>16330.74</v>
      </c>
      <c r="H68" s="50">
        <f t="shared" ref="H68:I83" si="20">H67*(1+D68)</f>
        <v>20688.435226800986</v>
      </c>
      <c r="I68" s="50">
        <f t="shared" si="20"/>
        <v>10132.363684290698</v>
      </c>
      <c r="J68" s="52">
        <f>(G68-(MAX($G$3:G68)))/(MAX($G$3:G68))</f>
        <v>0</v>
      </c>
      <c r="K68" s="52">
        <f>(H68-(MAX($H$3:H68)))/(MAX($H$3:H68))</f>
        <v>0</v>
      </c>
      <c r="L68" s="52">
        <f>(I68-(MAX($I$3:I68)))/(MAX($I$3:I68))</f>
        <v>-0.13425236282495104</v>
      </c>
    </row>
    <row r="69" spans="1:12">
      <c r="A69" s="49">
        <f t="shared" ref="A69:A93" si="21">WORKDAY(EOMONTH(A68,1)+1,-1)</f>
        <v>43371</v>
      </c>
      <c r="B69" s="82">
        <v>5763.42</v>
      </c>
      <c r="C69" s="82">
        <v>1008.02790143768</v>
      </c>
      <c r="D69" s="52">
        <f t="shared" si="19"/>
        <v>5.6920499755706011E-3</v>
      </c>
      <c r="E69" s="52">
        <f t="shared" si="19"/>
        <v>-1.1200776852169692E-2</v>
      </c>
      <c r="F69" s="52">
        <f t="shared" ref="F69:F93" si="22">G69/G68-1</f>
        <v>2.1027828500116863E-2</v>
      </c>
      <c r="G69" s="114">
        <v>16674.14</v>
      </c>
      <c r="H69" s="50">
        <f t="shared" si="20"/>
        <v>20806.194834028294</v>
      </c>
      <c r="I69" s="50">
        <f t="shared" si="20"/>
        <v>10018.87333967793</v>
      </c>
      <c r="J69" s="52">
        <f>(G69-(MAX($G$3:G69)))/(MAX($G$3:G69))</f>
        <v>0</v>
      </c>
      <c r="K69" s="52">
        <f>(H69-(MAX($H$3:H69)))/(MAX($H$3:H69))</f>
        <v>0</v>
      </c>
      <c r="L69" s="52">
        <f>(I69-(MAX($I$3:I69)))/(MAX($I$3:I69))</f>
        <v>-0.14394940891924196</v>
      </c>
    </row>
    <row r="70" spans="1:12">
      <c r="A70" s="49">
        <f t="shared" si="21"/>
        <v>43404</v>
      </c>
      <c r="B70" s="82">
        <v>5369.49</v>
      </c>
      <c r="C70" s="82">
        <v>986.26126655566804</v>
      </c>
      <c r="D70" s="52">
        <f t="shared" si="19"/>
        <v>-6.8350042162466096E-2</v>
      </c>
      <c r="E70" s="52">
        <f t="shared" si="19"/>
        <v>-2.1593286109410026E-2</v>
      </c>
      <c r="F70" s="52">
        <f t="shared" si="22"/>
        <v>-8.6956808567038579E-2</v>
      </c>
      <c r="G70" s="114">
        <v>15224.21</v>
      </c>
      <c r="H70" s="50">
        <f t="shared" si="20"/>
        <v>19384.090539881978</v>
      </c>
      <c r="I70" s="50">
        <f t="shared" si="20"/>
        <v>9802.5329411603234</v>
      </c>
      <c r="J70" s="52">
        <f>(G70-(MAX($G$3:G70)))/(MAX($G$3:G70))</f>
        <v>-8.6956808567038565E-2</v>
      </c>
      <c r="K70" s="52">
        <f>(H70-(MAX($H$3:H70)))/(MAX($H$3:H70))</f>
        <v>-6.8350042162466013E-2</v>
      </c>
      <c r="L70" s="52">
        <f>(I70-(MAX($I$3:I70)))/(MAX($I$3:I70))</f>
        <v>-0.16243435425657837</v>
      </c>
    </row>
    <row r="71" spans="1:12">
      <c r="A71" s="49">
        <f t="shared" si="21"/>
        <v>43434</v>
      </c>
      <c r="B71" s="82">
        <v>5478.91</v>
      </c>
      <c r="C71" s="82">
        <v>972.308865400998</v>
      </c>
      <c r="D71" s="52">
        <f t="shared" si="19"/>
        <v>2.0378099223576251E-2</v>
      </c>
      <c r="E71" s="52">
        <f t="shared" si="19"/>
        <v>-1.4146759715502388E-2</v>
      </c>
      <c r="F71" s="52">
        <f t="shared" si="22"/>
        <v>7.1428993688342546E-2</v>
      </c>
      <c r="G71" s="114">
        <v>16311.66</v>
      </c>
      <c r="H71" s="50">
        <f t="shared" si="20"/>
        <v>19779.101460262478</v>
      </c>
      <c r="I71" s="50">
        <f t="shared" si="20"/>
        <v>9663.8588630384311</v>
      </c>
      <c r="J71" s="52">
        <f>(G71-(MAX($G$3:G71)))/(MAX($G$3:G71))</f>
        <v>-2.1739052208989463E-2</v>
      </c>
      <c r="K71" s="52">
        <f>(H71-(MAX($H$3:H71)))/(MAX($H$3:H71))</f>
        <v>-4.9364786880012126E-2</v>
      </c>
      <c r="L71" s="52">
        <f>(I71-(MAX($I$3:I71)))/(MAX($I$3:I71))</f>
        <v>-0.17428319419287019</v>
      </c>
    </row>
    <row r="72" spans="1:12">
      <c r="A72" s="49">
        <f t="shared" si="21"/>
        <v>43465</v>
      </c>
      <c r="B72" s="82">
        <v>4984.22</v>
      </c>
      <c r="C72" s="82">
        <v>994.45837763631596</v>
      </c>
      <c r="D72" s="52">
        <f t="shared" si="19"/>
        <v>-9.028985692409619E-2</v>
      </c>
      <c r="E72" s="52">
        <f t="shared" si="19"/>
        <v>2.2780325289107672E-2</v>
      </c>
      <c r="F72" s="52">
        <f t="shared" si="22"/>
        <v>-3.5538994804943269E-2</v>
      </c>
      <c r="G72" s="114">
        <v>15731.96</v>
      </c>
      <c r="H72" s="50">
        <f t="shared" si="20"/>
        <v>17993.249219328198</v>
      </c>
      <c r="I72" s="50">
        <f t="shared" si="20"/>
        <v>9884.0047114864719</v>
      </c>
      <c r="J72" s="52">
        <f>(G72-(MAX($G$3:G72)))/(MAX($G$3:G72))</f>
        <v>-5.6505462950413053E-2</v>
      </c>
      <c r="K72" s="52">
        <f>(H72-(MAX($H$3:H72)))/(MAX($H$3:H72))</f>
        <v>-0.13519750425962349</v>
      </c>
      <c r="L72" s="52">
        <f>(I72-(MAX($I$3:I72)))/(MAX($I$3:I72))</f>
        <v>-0.1554730967599009</v>
      </c>
    </row>
    <row r="73" spans="1:12">
      <c r="A73" s="49">
        <f t="shared" si="21"/>
        <v>43496</v>
      </c>
      <c r="B73" s="82">
        <v>5383.63</v>
      </c>
      <c r="C73" s="82">
        <v>950.64631544095698</v>
      </c>
      <c r="D73" s="52">
        <f t="shared" si="19"/>
        <v>8.0134905762586639E-2</v>
      </c>
      <c r="E73" s="52">
        <f t="shared" si="19"/>
        <v>-4.405620504650376E-2</v>
      </c>
      <c r="F73" s="52">
        <f t="shared" si="22"/>
        <v>5.3534969577852864E-2</v>
      </c>
      <c r="G73" s="114">
        <v>16574.169999999998</v>
      </c>
      <c r="H73" s="50">
        <f t="shared" si="20"/>
        <v>19435.136549881798</v>
      </c>
      <c r="I73" s="50">
        <f t="shared" si="20"/>
        <v>9448.552973236614</v>
      </c>
      <c r="J73" s="52">
        <f>(G73-(MAX($G$3:G73)))/(MAX($G$3:G73))</f>
        <v>-5.9955116125929835E-3</v>
      </c>
      <c r="K73" s="52">
        <f>(H73-(MAX($H$3:H73)))/(MAX($H$3:H73))</f>
        <v>-6.5896637760218715E-2</v>
      </c>
      <c r="L73" s="52">
        <f>(I73-(MAX($I$3:I73)))/(MAX($I$3:I73))</f>
        <v>-0.1926797471763356</v>
      </c>
    </row>
    <row r="74" spans="1:12">
      <c r="A74" s="49">
        <f t="shared" si="21"/>
        <v>43524</v>
      </c>
      <c r="B74" s="82">
        <v>5556.49</v>
      </c>
      <c r="C74" s="82">
        <v>950.94678317199896</v>
      </c>
      <c r="D74" s="52">
        <f t="shared" si="19"/>
        <v>3.2108447274422636E-2</v>
      </c>
      <c r="E74" s="52">
        <f t="shared" si="19"/>
        <v>3.160667917831983E-4</v>
      </c>
      <c r="F74" s="52">
        <f t="shared" si="22"/>
        <v>9.7718317116333164E-3</v>
      </c>
      <c r="G74" s="114">
        <v>16736.13</v>
      </c>
      <c r="H74" s="50">
        <f t="shared" si="20"/>
        <v>20059.168607064883</v>
      </c>
      <c r="I74" s="50">
        <f t="shared" si="20"/>
        <v>9451.5393470618583</v>
      </c>
      <c r="J74" s="52">
        <f>(G74-(MAX($G$3:G74)))/(MAX($G$3:G74))</f>
        <v>0</v>
      </c>
      <c r="K74" s="52">
        <f>(H74-(MAX($H$3:H74)))/(MAX($H$3:H74))</f>
        <v>-3.5904029204881734E-2</v>
      </c>
      <c r="L74" s="52">
        <f>(I74-(MAX($I$3:I74)))/(MAX($I$3:I74))</f>
        <v>-0.19242458005408405</v>
      </c>
    </row>
    <row r="75" spans="1:12">
      <c r="A75" s="49">
        <f t="shared" si="21"/>
        <v>43553</v>
      </c>
      <c r="B75" s="82">
        <v>5664.46</v>
      </c>
      <c r="C75" s="82">
        <v>989.73123447737703</v>
      </c>
      <c r="D75" s="52">
        <f t="shared" si="19"/>
        <v>1.9431331650016537E-2</v>
      </c>
      <c r="E75" s="52">
        <f t="shared" si="19"/>
        <v>4.078509122877283E-2</v>
      </c>
      <c r="F75" s="52">
        <f t="shared" si="22"/>
        <v>2.193577607248498E-2</v>
      </c>
      <c r="G75" s="114">
        <v>17103.25</v>
      </c>
      <c r="H75" s="50">
        <f t="shared" si="20"/>
        <v>20448.944964892362</v>
      </c>
      <c r="I75" s="50">
        <f t="shared" si="20"/>
        <v>9837.0212415841124</v>
      </c>
      <c r="J75" s="52">
        <f>(G75-(MAX($G$3:G75)))/(MAX($G$3:G75))</f>
        <v>0</v>
      </c>
      <c r="K75" s="52">
        <f>(H75-(MAX($H$3:H75)))/(MAX($H$3:H75))</f>
        <v>-1.7170360653917086E-2</v>
      </c>
      <c r="L75" s="52">
        <f>(I75-(MAX($I$3:I75)))/(MAX($I$3:I75))</f>
        <v>-0.1594875428774753</v>
      </c>
    </row>
    <row r="76" spans="1:12">
      <c r="A76" s="49">
        <f t="shared" si="21"/>
        <v>43585</v>
      </c>
      <c r="B76" s="82">
        <v>5893.81</v>
      </c>
      <c r="C76" s="82">
        <v>1014.57530181552</v>
      </c>
      <c r="D76" s="52">
        <f t="shared" si="19"/>
        <v>4.0489296420135323E-2</v>
      </c>
      <c r="E76" s="52">
        <f t="shared" si="19"/>
        <v>2.5101832166852578E-2</v>
      </c>
      <c r="F76" s="52">
        <f t="shared" si="22"/>
        <v>2.5883969421016451E-2</v>
      </c>
      <c r="G76" s="114">
        <v>17545.95</v>
      </c>
      <c r="H76" s="50">
        <f t="shared" si="20"/>
        <v>21276.908359054923</v>
      </c>
      <c r="I76" s="50">
        <f t="shared" si="20"/>
        <v>10083.94849781212</v>
      </c>
      <c r="J76" s="52">
        <f>(G76-(MAX($G$3:G76)))/(MAX($G$3:G76))</f>
        <v>0</v>
      </c>
      <c r="K76" s="52">
        <f>(H76-(MAX($H$3:H76)))/(MAX($H$3:H76))</f>
        <v>0</v>
      </c>
      <c r="L76" s="52">
        <f>(I76-(MAX($I$3:I76)))/(MAX($I$3:I76))</f>
        <v>-0.13838914024463686</v>
      </c>
    </row>
    <row r="77" spans="1:12">
      <c r="A77" s="49">
        <f t="shared" si="21"/>
        <v>43616</v>
      </c>
      <c r="B77" s="82">
        <v>5519.27</v>
      </c>
      <c r="C77" s="82">
        <v>1001.3681069210199</v>
      </c>
      <c r="D77" s="52">
        <f t="shared" ref="D77:E92" si="23">B77/B76-1</f>
        <v>-6.3548027506824978E-2</v>
      </c>
      <c r="E77" s="52">
        <f t="shared" si="23"/>
        <v>-1.3017461464779001E-2</v>
      </c>
      <c r="F77" s="52">
        <f t="shared" si="22"/>
        <v>-6.9538554481233583E-2</v>
      </c>
      <c r="G77" s="114">
        <v>16325.83</v>
      </c>
      <c r="H77" s="50">
        <f t="shared" si="20"/>
        <v>19924.802801393507</v>
      </c>
      <c r="I77" s="50">
        <f t="shared" si="20"/>
        <v>9952.681086829034</v>
      </c>
      <c r="J77" s="52">
        <f>(G77-(MAX($G$3:G77)))/(MAX($G$3:G77))</f>
        <v>-6.9538554481233597E-2</v>
      </c>
      <c r="K77" s="52">
        <f>(H77-(MAX($H$3:H77)))/(MAX($H$3:H77))</f>
        <v>-6.3548027506824964E-2</v>
      </c>
      <c r="L77" s="52">
        <f>(I77-(MAX($I$3:I77)))/(MAX($I$3:I77))</f>
        <v>-0.14960512640913745</v>
      </c>
    </row>
    <row r="78" spans="1:12">
      <c r="A78" s="49">
        <f t="shared" si="21"/>
        <v>43644</v>
      </c>
      <c r="B78" s="82">
        <v>5908.25</v>
      </c>
      <c r="C78" s="82">
        <v>1023.83540309988</v>
      </c>
      <c r="D78" s="52">
        <f t="shared" si="23"/>
        <v>7.0476711594105623E-2</v>
      </c>
      <c r="E78" s="52">
        <f t="shared" si="23"/>
        <v>2.2436600510417515E-2</v>
      </c>
      <c r="F78" s="52">
        <f t="shared" si="22"/>
        <v>7.6719529726819502E-2</v>
      </c>
      <c r="G78" s="114">
        <v>17578.34</v>
      </c>
      <c r="H78" s="50">
        <f t="shared" si="20"/>
        <v>21329.037381996746</v>
      </c>
      <c r="I78" s="50">
        <f t="shared" si="20"/>
        <v>10175.985416381805</v>
      </c>
      <c r="J78" s="52">
        <f>(G78-(MAX($G$3:G78)))/(MAX($G$3:G78))</f>
        <v>0</v>
      </c>
      <c r="K78" s="52">
        <f>(H78-(MAX($H$3:H78)))/(MAX($H$3:H78))</f>
        <v>0</v>
      </c>
      <c r="L78" s="52">
        <f>(I78-(MAX($I$3:I78)))/(MAX($I$3:I78))</f>
        <v>-0.13052515635427225</v>
      </c>
    </row>
    <row r="79" spans="1:12">
      <c r="A79" s="49">
        <f t="shared" si="21"/>
        <v>43677</v>
      </c>
      <c r="B79" s="82">
        <v>5993.17</v>
      </c>
      <c r="C79" s="82">
        <v>1057.52136312576</v>
      </c>
      <c r="D79" s="52">
        <f t="shared" si="23"/>
        <v>1.4373122328946719E-2</v>
      </c>
      <c r="E79" s="52">
        <f t="shared" si="23"/>
        <v>3.2901733934857624E-2</v>
      </c>
      <c r="F79" s="52">
        <f t="shared" si="22"/>
        <v>5.0368237273826777E-2</v>
      </c>
      <c r="G79" s="114">
        <v>18463.73</v>
      </c>
      <c r="H79" s="50">
        <f t="shared" si="20"/>
        <v>21635.602245446862</v>
      </c>
      <c r="I79" s="50">
        <f t="shared" si="20"/>
        <v>10510.792981076591</v>
      </c>
      <c r="J79" s="52">
        <f>(G79-(MAX($G$3:G79)))/(MAX($G$3:G79))</f>
        <v>0</v>
      </c>
      <c r="K79" s="52">
        <f>(H79-(MAX($H$3:H79)))/(MAX($H$3:H79))</f>
        <v>0</v>
      </c>
      <c r="L79" s="52">
        <f>(I79-(MAX($I$3:I79)))/(MAX($I$3:I79))</f>
        <v>-0.10191792638558859</v>
      </c>
    </row>
    <row r="80" spans="1:12">
      <c r="A80" s="49">
        <f t="shared" si="21"/>
        <v>43707</v>
      </c>
      <c r="B80" s="82">
        <v>5898.23</v>
      </c>
      <c r="C80" s="82">
        <v>1112.7654311762001</v>
      </c>
      <c r="D80" s="52">
        <f t="shared" si="23"/>
        <v>-1.5841366088397368E-2</v>
      </c>
      <c r="E80" s="52">
        <f t="shared" si="23"/>
        <v>5.2239198163479994E-2</v>
      </c>
      <c r="F80" s="52">
        <f t="shared" si="22"/>
        <v>1.6374264571676456E-2</v>
      </c>
      <c r="G80" s="114">
        <v>18766.060000000001</v>
      </c>
      <c r="H80" s="50">
        <f t="shared" si="20"/>
        <v>21292.864749733788</v>
      </c>
      <c r="I80" s="50">
        <f t="shared" si="20"/>
        <v>11059.868378470366</v>
      </c>
      <c r="J80" s="52">
        <f>(G80-(MAX($G$3:G80)))/(MAX($G$3:G80))</f>
        <v>0</v>
      </c>
      <c r="K80" s="52">
        <f>(H80-(MAX($H$3:H80)))/(MAX($H$3:H80))</f>
        <v>-1.5841366088397289E-2</v>
      </c>
      <c r="L80" s="52">
        <f>(I80-(MAX($I$3:I80)))/(MAX($I$3:I80))</f>
        <v>-5.5002838974976265E-2</v>
      </c>
    </row>
    <row r="81" spans="1:12">
      <c r="A81" s="49">
        <f t="shared" si="21"/>
        <v>43738</v>
      </c>
      <c r="B81" s="82">
        <v>6008.59</v>
      </c>
      <c r="C81" s="82">
        <v>1065.8429941823799</v>
      </c>
      <c r="D81" s="52">
        <f t="shared" si="23"/>
        <v>1.8710697955149458E-2</v>
      </c>
      <c r="E81" s="52">
        <f t="shared" si="23"/>
        <v>-4.2167410740125977E-2</v>
      </c>
      <c r="F81" s="52">
        <f t="shared" si="22"/>
        <v>2.2439979409636157E-2</v>
      </c>
      <c r="G81" s="114">
        <v>19187.169999999998</v>
      </c>
      <c r="H81" s="50">
        <f t="shared" si="20"/>
        <v>21691.269110665908</v>
      </c>
      <c r="I81" s="50">
        <f t="shared" si="20"/>
        <v>10593.502365823675</v>
      </c>
      <c r="J81" s="52">
        <f>(G81-(MAX($G$3:G81)))/(MAX($G$3:G81))</f>
        <v>0</v>
      </c>
      <c r="K81" s="52">
        <f>(H81-(MAX($H$3:H81)))/(MAX($H$3:H81))</f>
        <v>0</v>
      </c>
      <c r="L81" s="52">
        <f>(I81-(MAX($I$3:I81)))/(MAX($I$3:I81))</f>
        <v>-9.4850922412171426E-2</v>
      </c>
    </row>
    <row r="82" spans="1:12">
      <c r="A82" s="49">
        <f t="shared" si="21"/>
        <v>43769</v>
      </c>
      <c r="B82" s="82">
        <v>6138.73</v>
      </c>
      <c r="C82" s="82">
        <v>1032.950357377</v>
      </c>
      <c r="D82" s="52">
        <f t="shared" si="23"/>
        <v>2.1658991543773043E-2</v>
      </c>
      <c r="E82" s="52">
        <f t="shared" si="23"/>
        <v>-3.0860677402690273E-2</v>
      </c>
      <c r="F82" s="52">
        <f t="shared" si="22"/>
        <v>-4.4910218651316169E-3</v>
      </c>
      <c r="G82" s="114">
        <v>19101</v>
      </c>
      <c r="H82" s="50">
        <f t="shared" si="20"/>
        <v>22161.080124907527</v>
      </c>
      <c r="I82" s="50">
        <f t="shared" si="20"/>
        <v>10266.579706747354</v>
      </c>
      <c r="J82" s="52">
        <f>(G82-(MAX($G$3:G82)))/(MAX($G$3:G82))</f>
        <v>-4.4910218651316612E-3</v>
      </c>
      <c r="K82" s="52">
        <f>(H82-(MAX($H$3:H82)))/(MAX($H$3:H82))</f>
        <v>0</v>
      </c>
      <c r="L82" s="52">
        <f>(I82-(MAX($I$3:I82)))/(MAX($I$3:I82))</f>
        <v>-0.1227844360969521</v>
      </c>
    </row>
    <row r="83" spans="1:12">
      <c r="A83" s="49">
        <f t="shared" si="21"/>
        <v>43798</v>
      </c>
      <c r="B83" s="82">
        <v>6361.56</v>
      </c>
      <c r="C83" s="82">
        <v>1038.3595205172601</v>
      </c>
      <c r="D83" s="52">
        <f t="shared" si="23"/>
        <v>3.6299039052051674E-2</v>
      </c>
      <c r="E83" s="52">
        <f t="shared" si="23"/>
        <v>5.2366148107985122E-3</v>
      </c>
      <c r="F83" s="52">
        <f t="shared" si="22"/>
        <v>2.9946076121668996E-2</v>
      </c>
      <c r="G83" s="114">
        <v>19673</v>
      </c>
      <c r="H83" s="50">
        <f t="shared" si="20"/>
        <v>22965.506037797189</v>
      </c>
      <c r="I83" s="50">
        <f t="shared" si="20"/>
        <v>10320.341830095951</v>
      </c>
      <c r="J83" s="52">
        <f>(G83-(MAX($G$3:G83)))/(MAX($G$3:G83))</f>
        <v>0</v>
      </c>
      <c r="K83" s="52">
        <f>(H83-(MAX($H$3:H83)))/(MAX($H$3:H83))</f>
        <v>0</v>
      </c>
      <c r="L83" s="52">
        <f>(I83-(MAX($I$3:I83)))/(MAX($I$3:I83))</f>
        <v>-0.1181907960827544</v>
      </c>
    </row>
    <row r="84" spans="1:12">
      <c r="A84" s="49">
        <f t="shared" si="21"/>
        <v>43830</v>
      </c>
      <c r="B84" s="82">
        <v>6553.57</v>
      </c>
      <c r="C84" s="82">
        <v>1027.93086646082</v>
      </c>
      <c r="D84" s="52">
        <f t="shared" si="23"/>
        <v>3.0182848232194415E-2</v>
      </c>
      <c r="E84" s="52">
        <f t="shared" si="23"/>
        <v>-1.004339426795553E-2</v>
      </c>
      <c r="F84" s="52">
        <f t="shared" si="22"/>
        <v>-5.3880953591216585E-3</v>
      </c>
      <c r="G84" s="114">
        <v>19567</v>
      </c>
      <c r="H84" s="50">
        <f t="shared" ref="H84:I93" si="24">H83*(1+D84)</f>
        <v>23658.670421111565</v>
      </c>
      <c r="I84" s="50">
        <f t="shared" si="24"/>
        <v>10216.690568116224</v>
      </c>
      <c r="J84" s="52">
        <f>(G84-(MAX($G$3:G84)))/(MAX($G$3:G84))</f>
        <v>-5.3880953591216385E-3</v>
      </c>
      <c r="K84" s="52">
        <f>(H84-(MAX($H$3:H84)))/(MAX($H$3:H84))</f>
        <v>0</v>
      </c>
      <c r="L84" s="52">
        <f>(I84-(MAX($I$3:I84)))/(MAX($I$3:I84))</f>
        <v>-0.12704715358680724</v>
      </c>
    </row>
    <row r="85" spans="1:12">
      <c r="A85" s="49">
        <f t="shared" si="21"/>
        <v>43861</v>
      </c>
      <c r="B85" s="82">
        <v>6551</v>
      </c>
      <c r="C85" s="82">
        <v>1030.5950904121901</v>
      </c>
      <c r="D85" s="52">
        <f t="shared" si="23"/>
        <v>-3.9215267403869269E-4</v>
      </c>
      <c r="E85" s="52">
        <f t="shared" si="23"/>
        <v>2.5918318422941677E-3</v>
      </c>
      <c r="F85" s="52">
        <f t="shared" si="22"/>
        <v>1.8909388255736737E-3</v>
      </c>
      <c r="G85" s="114">
        <v>19604</v>
      </c>
      <c r="H85" s="50">
        <f t="shared" si="24"/>
        <v>23649.392610241724</v>
      </c>
      <c r="I85" s="50">
        <f t="shared" si="24"/>
        <v>10243.170512053535</v>
      </c>
      <c r="J85" s="52">
        <f>(G85-(MAX($G$3:G85)))/(MAX($G$3:G85))</f>
        <v>-3.5073450922584251E-3</v>
      </c>
      <c r="K85" s="52">
        <f>(H85-(MAX($H$3:H85)))/(MAX($H$3:H85))</f>
        <v>-3.9215267403874761E-4</v>
      </c>
      <c r="L85" s="52">
        <f>(I85-(MAX($I$3:I85)))/(MAX($I$3:I85))</f>
        <v>-0.12478460660265213</v>
      </c>
    </row>
    <row r="86" spans="1:12">
      <c r="A86" s="49">
        <f t="shared" si="21"/>
        <v>43889</v>
      </c>
      <c r="B86" s="82">
        <v>6011.73</v>
      </c>
      <c r="C86" s="82">
        <v>1013.6447906665099</v>
      </c>
      <c r="D86" s="52">
        <f t="shared" si="23"/>
        <v>-8.2318729964890869E-2</v>
      </c>
      <c r="E86" s="52">
        <f t="shared" si="23"/>
        <v>-1.6447099256897135E-2</v>
      </c>
      <c r="F86" s="52">
        <f t="shared" si="22"/>
        <v>-3.8257498469700058E-2</v>
      </c>
      <c r="G86" s="114">
        <v>18854</v>
      </c>
      <c r="H86" s="50">
        <f t="shared" si="24"/>
        <v>21702.60464612555</v>
      </c>
      <c r="I86" s="50">
        <f t="shared" si="24"/>
        <v>10074.700069936469</v>
      </c>
      <c r="J86" s="52">
        <f>(G86-(MAX($G$3:G86)))/(MAX($G$3:G86))</f>
        <v>-4.1630661312458697E-2</v>
      </c>
      <c r="K86" s="52">
        <f>(H86-(MAX($H$3:H86)))/(MAX($H$3:H86))</f>
        <v>-8.2678601128850421E-2</v>
      </c>
      <c r="L86" s="52">
        <f>(I86-(MAX($I$3:I86)))/(MAX($I$3:I86))</f>
        <v>-0.13917936104902259</v>
      </c>
    </row>
    <row r="87" spans="1:12">
      <c r="A87" s="49">
        <f t="shared" si="21"/>
        <v>43921</v>
      </c>
      <c r="B87" s="82">
        <v>5269.2</v>
      </c>
      <c r="C87" s="82">
        <v>1055.68360815451</v>
      </c>
      <c r="D87" s="52">
        <f t="shared" si="23"/>
        <v>-0.12351353104680352</v>
      </c>
      <c r="E87" s="52">
        <f t="shared" si="23"/>
        <v>4.1472928066209391E-2</v>
      </c>
      <c r="F87" s="52">
        <f t="shared" si="22"/>
        <v>-0.29574626074042643</v>
      </c>
      <c r="G87" s="114">
        <v>13278</v>
      </c>
      <c r="H87" s="50">
        <f t="shared" si="24"/>
        <v>19022.03931336982</v>
      </c>
      <c r="I87" s="50">
        <f t="shared" si="24"/>
        <v>10492.527381225578</v>
      </c>
      <c r="J87" s="52">
        <f>(G87-(MAX($G$3:G87)))/(MAX($G$3:G87))</f>
        <v>-0.32506480963757434</v>
      </c>
      <c r="K87" s="52">
        <f>(H87-(MAX($H$3:H87)))/(MAX($H$3:H87))</f>
        <v>-0.19598020620821938</v>
      </c>
      <c r="L87" s="52">
        <f>(I87-(MAX($I$3:I87)))/(MAX($I$3:I87))</f>
        <v>-0.10347860861190034</v>
      </c>
    </row>
    <row r="88" spans="1:12">
      <c r="A88" s="49">
        <f t="shared" si="21"/>
        <v>43951</v>
      </c>
      <c r="B88" s="82">
        <v>5944.68</v>
      </c>
      <c r="C88" s="82">
        <v>1049.8248769450699</v>
      </c>
      <c r="D88" s="52">
        <f t="shared" si="23"/>
        <v>0.12819403324982925</v>
      </c>
      <c r="E88" s="52">
        <f t="shared" si="23"/>
        <v>-5.5497036841198888E-3</v>
      </c>
      <c r="F88" s="52">
        <f t="shared" si="22"/>
        <v>2.8694080433800284E-2</v>
      </c>
      <c r="G88" s="155">
        <v>13659</v>
      </c>
      <c r="H88" s="50">
        <f t="shared" si="24"/>
        <v>21460.55125358751</v>
      </c>
      <c r="I88" s="50">
        <f t="shared" si="24"/>
        <v>10434.296963362262</v>
      </c>
      <c r="J88" s="52">
        <f>(G88-(MAX($G$3:G88)))/(MAX($G$3:G88))</f>
        <v>-0.30569816499771257</v>
      </c>
      <c r="K88" s="52">
        <f>(H88-(MAX($H$3:H88)))/(MAX($H$3:H88))</f>
        <v>-9.2909666029355006E-2</v>
      </c>
      <c r="L88" s="52">
        <f>(I88-(MAX($I$3:I88)))/(MAX($I$3:I88))</f>
        <v>-0.10845403668057919</v>
      </c>
    </row>
    <row r="89" spans="1:12">
      <c r="A89" s="49">
        <f t="shared" si="21"/>
        <v>43980</v>
      </c>
      <c r="B89" s="82">
        <v>6227.81</v>
      </c>
      <c r="C89" s="82">
        <v>1034.2885102124001</v>
      </c>
      <c r="D89" s="52">
        <f t="shared" si="23"/>
        <v>4.7627458500709929E-2</v>
      </c>
      <c r="E89" s="52">
        <f t="shared" si="23"/>
        <v>-1.4799007981102341E-2</v>
      </c>
      <c r="F89" s="52">
        <f t="shared" si="22"/>
        <v>5.3444615271982521E-3</v>
      </c>
      <c r="G89" s="155">
        <v>13732</v>
      </c>
      <c r="H89" s="50">
        <f t="shared" si="24"/>
        <v>22482.662767820108</v>
      </c>
      <c r="I89" s="50">
        <f t="shared" si="24"/>
        <v>10279.879719324272</v>
      </c>
      <c r="J89" s="52">
        <f>(G89-(MAX($G$3:G89)))/(MAX($G$3:G89))</f>
        <v>-0.30198749555227977</v>
      </c>
      <c r="K89" s="52">
        <f>(H89-(MAX($H$3:H89)))/(MAX($H$3:H89))</f>
        <v>-4.9707258791772985E-2</v>
      </c>
      <c r="L89" s="52">
        <f>(I89-(MAX($I$3:I89)))/(MAX($I$3:I89))</f>
        <v>-0.12164803250726286</v>
      </c>
    </row>
    <row r="90" spans="1:12">
      <c r="A90" s="49">
        <f t="shared" si="21"/>
        <v>44012</v>
      </c>
      <c r="B90" s="82">
        <v>6351.67</v>
      </c>
      <c r="C90" s="82">
        <v>1010.48459150417</v>
      </c>
      <c r="D90" s="52">
        <f t="shared" si="23"/>
        <v>1.9888211104706066E-2</v>
      </c>
      <c r="E90" s="52">
        <f t="shared" si="23"/>
        <v>-2.3014776315499974E-2</v>
      </c>
      <c r="F90" s="52">
        <f t="shared" si="22"/>
        <v>-7.2458491115642287E-2</v>
      </c>
      <c r="G90" s="155">
        <v>12737</v>
      </c>
      <c r="H90" s="50">
        <f t="shared" si="24"/>
        <v>22929.802711142431</v>
      </c>
      <c r="I90" s="50">
        <f t="shared" si="24"/>
        <v>10043.290587033778</v>
      </c>
      <c r="J90" s="52">
        <f>(G90-(MAX($G$3:G90)))/(MAX($G$3:G90))</f>
        <v>-0.35256442840441216</v>
      </c>
      <c r="K90" s="52">
        <f>(H90-(MAX($H$3:H90)))/(MAX($H$3:H90))</f>
        <v>-3.080763614335388E-2</v>
      </c>
      <c r="L90" s="52">
        <f>(I90-(MAX($I$3:I90)))/(MAX($I$3:I90))</f>
        <v>-0.14186310656538759</v>
      </c>
    </row>
    <row r="91" spans="1:12">
      <c r="A91" s="49">
        <f t="shared" si="21"/>
        <v>44043</v>
      </c>
      <c r="B91" s="82">
        <v>6709.81</v>
      </c>
      <c r="C91" s="82">
        <v>1027.96147116815</v>
      </c>
      <c r="D91" s="52">
        <f t="shared" si="23"/>
        <v>5.6385171143966906E-2</v>
      </c>
      <c r="E91" s="52">
        <f t="shared" si="23"/>
        <v>1.7295542961188959E-2</v>
      </c>
      <c r="F91" s="52">
        <f t="shared" si="22"/>
        <v>-3.8549108895344242E-2</v>
      </c>
      <c r="G91" s="155">
        <v>12246</v>
      </c>
      <c r="H91" s="50">
        <f t="shared" si="24"/>
        <v>24222.703561307593</v>
      </c>
      <c r="I91" s="50">
        <f t="shared" si="24"/>
        <v>10216.994750853526</v>
      </c>
      <c r="J91" s="52">
        <f>(G91-(MAX($G$3:G91)))/(MAX($G$3:G91))</f>
        <v>-0.37752249275656991</v>
      </c>
      <c r="K91" s="52">
        <f>(H91-(MAX($H$3:H91)))/(MAX($H$3:H91))</f>
        <v>0</v>
      </c>
      <c r="L91" s="52">
        <f>(I91-(MAX($I$3:I91)))/(MAX($I$3:I91))</f>
        <v>-0.12702116305840797</v>
      </c>
    </row>
    <row r="92" spans="1:12">
      <c r="A92" s="49">
        <f t="shared" si="21"/>
        <v>44074</v>
      </c>
      <c r="B92" s="82">
        <v>7192.11</v>
      </c>
      <c r="C92" s="82">
        <v>1031.4129451472099</v>
      </c>
      <c r="D92" s="52">
        <f t="shared" si="23"/>
        <v>7.1879829682211405E-2</v>
      </c>
      <c r="E92" s="52">
        <f t="shared" si="23"/>
        <v>3.3575908006919786E-3</v>
      </c>
      <c r="F92" s="52">
        <f t="shared" si="22"/>
        <v>-2.5069410419728877E-2</v>
      </c>
      <c r="G92" s="155">
        <v>11939</v>
      </c>
      <c r="H92" s="50">
        <f t="shared" si="24"/>
        <v>25963.827367737078</v>
      </c>
      <c r="I92" s="50">
        <f t="shared" si="24"/>
        <v>10251.299238439709</v>
      </c>
      <c r="J92" s="52">
        <f>(G92-(MAX($G$3:G92)))/(MAX($G$3:G92))</f>
        <v>-0.39312763686270524</v>
      </c>
      <c r="K92" s="52">
        <f>(H92-(MAX($H$3:H92)))/(MAX($H$3:H92))</f>
        <v>0</v>
      </c>
      <c r="L92" s="52">
        <f>(I92-(MAX($I$3:I92)))/(MAX($I$3:I92))</f>
        <v>-0.12409005734629415</v>
      </c>
    </row>
    <row r="93" spans="1:12">
      <c r="A93" s="49">
        <f t="shared" si="21"/>
        <v>44104</v>
      </c>
      <c r="B93" s="82">
        <v>6918.83</v>
      </c>
      <c r="C93" s="82">
        <v>1001.65002305551</v>
      </c>
      <c r="D93" s="52">
        <f t="shared" ref="D93:E96" si="25">B93/B92-1</f>
        <v>-3.7997194147475488E-2</v>
      </c>
      <c r="E93" s="52">
        <f t="shared" si="25"/>
        <v>-2.885645582764329E-2</v>
      </c>
      <c r="F93" s="52">
        <f t="shared" si="22"/>
        <v>3.8110394505402434E-2</v>
      </c>
      <c r="G93" s="155">
        <v>12394</v>
      </c>
      <c r="H93" s="50">
        <f t="shared" si="24"/>
        <v>24977.274778433635</v>
      </c>
      <c r="I93" s="50">
        <f t="shared" si="24"/>
        <v>9955.4830747897213</v>
      </c>
      <c r="J93" s="52">
        <f>(G93-(MAX($G$3:G93)))/(MAX($G$3:G93))</f>
        <v>-0.36999949168911705</v>
      </c>
      <c r="K93" s="52">
        <f>(H93-(MAX($H$3:H93)))/(MAX($H$3:H93))</f>
        <v>-3.7997194147475474E-2</v>
      </c>
      <c r="L93" s="52">
        <f>(I93-(MAX($I$3:I93)))/(MAX($I$3:I93))</f>
        <v>-0.14936571391547432</v>
      </c>
    </row>
    <row r="94" spans="1:12">
      <c r="C94" s="182" t="s">
        <v>64</v>
      </c>
      <c r="G94" s="52"/>
    </row>
  </sheetData>
  <mergeCells count="1">
    <mergeCell ref="Q3:S3"/>
  </mergeCells>
  <hyperlinks>
    <hyperlink ref="C94" r:id="rId1" xr:uid="{A15CF5FB-BD0B-4934-8D3F-7602BB957C7F}"/>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4"/>
  <sheetViews>
    <sheetView zoomScale="130" zoomScaleNormal="130" workbookViewId="0"/>
  </sheetViews>
  <sheetFormatPr defaultColWidth="8.88671875" defaultRowHeight="14.4"/>
  <cols>
    <col min="1" max="1" width="3.5546875" style="4" customWidth="1"/>
    <col min="2" max="2" width="2.5546875" style="4" bestFit="1" customWidth="1"/>
    <col min="3" max="3" width="21.109375" style="2" customWidth="1"/>
    <col min="4" max="4" width="10" style="5" bestFit="1" customWidth="1"/>
    <col min="5" max="5" width="8.109375" style="5" bestFit="1" customWidth="1"/>
    <col min="6" max="7" width="7.88671875" style="5" bestFit="1" customWidth="1"/>
    <col min="8" max="8" width="8.6640625" style="5" bestFit="1" customWidth="1"/>
    <col min="9" max="11" width="8.6640625" style="5" customWidth="1"/>
    <col min="12" max="13" width="1.6640625" style="4" customWidth="1"/>
    <col min="14" max="14" width="6" style="3" bestFit="1" customWidth="1"/>
    <col min="15" max="15" width="19.6640625" style="1" bestFit="1" customWidth="1"/>
    <col min="16" max="16" width="6" style="1" bestFit="1" customWidth="1"/>
    <col min="17" max="17" width="47.33203125" style="1" customWidth="1"/>
    <col min="18" max="16384" width="8.88671875" style="1"/>
  </cols>
  <sheetData>
    <row r="1" spans="2:14" ht="15" thickBot="1">
      <c r="C1" s="39" t="s">
        <v>13</v>
      </c>
    </row>
    <row r="2" spans="2:14" s="37" customFormat="1" ht="16.2" thickBot="1">
      <c r="B2" s="171" t="s">
        <v>8</v>
      </c>
      <c r="C2" s="172"/>
      <c r="D2" s="172"/>
      <c r="E2" s="172"/>
      <c r="F2" s="172"/>
      <c r="G2" s="172"/>
      <c r="H2" s="172"/>
      <c r="I2" s="172"/>
      <c r="J2" s="172"/>
      <c r="K2" s="172"/>
      <c r="L2" s="173"/>
      <c r="N2" s="38"/>
    </row>
    <row r="3" spans="2:14" ht="15" thickBot="1">
      <c r="B3" s="11"/>
      <c r="C3" s="12"/>
      <c r="D3" s="13"/>
      <c r="E3" s="13"/>
      <c r="F3" s="13"/>
      <c r="G3" s="13"/>
      <c r="H3" s="13"/>
      <c r="I3" s="13"/>
      <c r="J3" s="13"/>
      <c r="K3" s="13"/>
      <c r="L3" s="14"/>
      <c r="N3" s="1"/>
    </row>
    <row r="4" spans="2:14" ht="15" customHeight="1">
      <c r="B4" s="15"/>
      <c r="C4" s="174" t="s">
        <v>10</v>
      </c>
      <c r="D4" s="176">
        <f>'[1]NUX Return Data'!O2</f>
        <v>44104</v>
      </c>
      <c r="E4" s="16" t="s">
        <v>31</v>
      </c>
      <c r="F4" s="16" t="s">
        <v>0</v>
      </c>
      <c r="G4" s="17" t="s">
        <v>45</v>
      </c>
      <c r="L4" s="18"/>
      <c r="N4" s="1"/>
    </row>
    <row r="5" spans="2:14">
      <c r="B5" s="15"/>
      <c r="C5" s="175"/>
      <c r="D5" s="177"/>
      <c r="E5" s="10">
        <f>'[1]NUX Return Data'!P26</f>
        <v>12394</v>
      </c>
      <c r="F5" s="10">
        <f>'[1]NUX Return Data'!Q26</f>
        <v>24977.274778433635</v>
      </c>
      <c r="G5" s="19">
        <f>'[1]NUX Return Data'!R26</f>
        <v>9955.4830747897213</v>
      </c>
      <c r="L5" s="18"/>
      <c r="N5" s="1"/>
    </row>
    <row r="6" spans="2:14" ht="15" customHeight="1">
      <c r="B6" s="15"/>
      <c r="C6" s="178" t="s">
        <v>9</v>
      </c>
      <c r="D6" s="20" t="str">
        <f>D25</f>
        <v>YTD</v>
      </c>
      <c r="E6" s="21">
        <f>D26/100</f>
        <v>-0.36658659988756581</v>
      </c>
      <c r="F6" s="21">
        <f>D27/100</f>
        <v>5.5734508062018046E-2</v>
      </c>
      <c r="G6" s="105">
        <f>D28/100</f>
        <v>-2.5566742144630214E-2</v>
      </c>
      <c r="H6" s="22"/>
      <c r="I6" s="22"/>
      <c r="J6" s="22"/>
      <c r="K6" s="22"/>
      <c r="L6" s="18"/>
      <c r="N6" s="1"/>
    </row>
    <row r="7" spans="2:14" ht="15" customHeight="1">
      <c r="B7" s="15"/>
      <c r="C7" s="179"/>
      <c r="D7" s="23" t="str">
        <f>E25</f>
        <v>1 Year</v>
      </c>
      <c r="E7" s="24">
        <f>E26/100</f>
        <v>-0.35409999999999997</v>
      </c>
      <c r="F7" s="24">
        <f>E27/100</f>
        <v>0.15148978379286948</v>
      </c>
      <c r="G7" s="106">
        <f>E28/100</f>
        <v>-6.0227417618964774E-2</v>
      </c>
      <c r="H7" s="22"/>
      <c r="I7" s="22"/>
      <c r="J7" s="22"/>
      <c r="K7" s="22"/>
      <c r="L7" s="18"/>
      <c r="N7" s="1"/>
    </row>
    <row r="8" spans="2:14">
      <c r="B8" s="15"/>
      <c r="C8" s="179"/>
      <c r="D8" s="23" t="str">
        <f>F25</f>
        <v>3 Years</v>
      </c>
      <c r="E8" s="24">
        <f>F26/100</f>
        <v>-4.272902190780048E-2</v>
      </c>
      <c r="F8" s="24">
        <f>F27/100</f>
        <v>0.12279734244878583</v>
      </c>
      <c r="G8" s="106">
        <f>F28/100</f>
        <v>-1.1710258608077506E-3</v>
      </c>
      <c r="H8" s="22"/>
      <c r="I8" s="22"/>
      <c r="J8" s="22"/>
      <c r="K8" s="22"/>
      <c r="L8" s="18"/>
      <c r="N8" s="1"/>
    </row>
    <row r="9" spans="2:14">
      <c r="B9" s="15"/>
      <c r="C9" s="179"/>
      <c r="D9" s="23" t="str">
        <f>G25</f>
        <v>5 Years</v>
      </c>
      <c r="E9" s="24">
        <f>G26/100</f>
        <v>2.3312894411255503E-2</v>
      </c>
      <c r="F9" s="24">
        <f>G27/100</f>
        <v>0.14148117260728155</v>
      </c>
      <c r="G9" s="106">
        <f>G28/100</f>
        <v>-2.013043808870596E-2</v>
      </c>
      <c r="H9" s="22"/>
      <c r="I9" s="22"/>
      <c r="J9" s="22"/>
      <c r="K9" s="22"/>
      <c r="L9" s="18"/>
      <c r="N9" s="1"/>
    </row>
    <row r="10" spans="2:14" ht="15" thickBot="1">
      <c r="B10" s="15"/>
      <c r="C10" s="180"/>
      <c r="D10" s="25" t="str">
        <f>H25</f>
        <v>Inception*</v>
      </c>
      <c r="E10" s="26">
        <f>H26/100</f>
        <v>2.8999999999999998E-2</v>
      </c>
      <c r="F10" s="26">
        <f>H27/100</f>
        <v>0.1298</v>
      </c>
      <c r="G10" s="107">
        <f>H28/100</f>
        <v>-6.1520803498282817E-4</v>
      </c>
      <c r="L10" s="18"/>
      <c r="N10" s="1"/>
    </row>
    <row r="11" spans="2:14" ht="15" thickBot="1">
      <c r="B11" s="15"/>
      <c r="C11" s="8"/>
      <c r="D11" s="132"/>
      <c r="E11" s="133"/>
      <c r="F11" s="133"/>
      <c r="G11" s="133"/>
      <c r="L11" s="18"/>
      <c r="N11" s="1"/>
    </row>
    <row r="12" spans="2:14">
      <c r="B12" s="15"/>
      <c r="C12" s="27" t="s">
        <v>48</v>
      </c>
      <c r="D12" s="135" t="s">
        <v>31</v>
      </c>
      <c r="E12" s="136" t="s">
        <v>45</v>
      </c>
      <c r="F12" s="133"/>
      <c r="G12" s="133"/>
      <c r="L12" s="18"/>
      <c r="N12" s="1"/>
    </row>
    <row r="13" spans="2:14">
      <c r="B13" s="15"/>
      <c r="C13" s="138" t="str">
        <f>'[1]NUX Return Data'!N40</f>
        <v>2013 YTD</v>
      </c>
      <c r="D13" s="134">
        <f>'[1]NUX Return Data'!O40</f>
        <v>6.4826999999999968E-2</v>
      </c>
      <c r="E13" s="137">
        <f>'[1]NUX Return Data'!P40</f>
        <v>2.2461654914633922E-3</v>
      </c>
      <c r="F13" s="133"/>
      <c r="G13" s="133"/>
      <c r="L13" s="18"/>
      <c r="N13" s="1"/>
    </row>
    <row r="14" spans="2:14">
      <c r="B14" s="15"/>
      <c r="C14" s="139">
        <f>'[1]NUX Return Data'!N41</f>
        <v>2014</v>
      </c>
      <c r="D14" s="24">
        <f>'[1]NUX Return Data'!O41</f>
        <v>7.5947548287186528E-2</v>
      </c>
      <c r="E14" s="106">
        <f>'[1]NUX Return Data'!P41</f>
        <v>0.10276335709748952</v>
      </c>
      <c r="F14" s="133"/>
      <c r="G14" s="133"/>
      <c r="L14" s="18"/>
      <c r="N14" s="1"/>
    </row>
    <row r="15" spans="2:14">
      <c r="B15" s="15"/>
      <c r="C15" s="139">
        <f>'[1]NUX Return Data'!N42</f>
        <v>2015</v>
      </c>
      <c r="D15" s="24">
        <f>'[1]NUX Return Data'!O42</f>
        <v>3.300433447557749E-2</v>
      </c>
      <c r="E15" s="106">
        <f>'[1]NUX Return Data'!P42</f>
        <v>-3.3459215187663593E-2</v>
      </c>
      <c r="F15" s="133"/>
      <c r="G15" s="133"/>
      <c r="L15" s="18"/>
      <c r="N15" s="1"/>
    </row>
    <row r="16" spans="2:14">
      <c r="B16" s="15"/>
      <c r="C16" s="139">
        <f>'[1]NUX Return Data'!N43</f>
        <v>2016</v>
      </c>
      <c r="D16" s="24">
        <f>'[1]NUX Return Data'!O43</f>
        <v>0.13980689659834167</v>
      </c>
      <c r="E16" s="106">
        <f>'[1]NUX Return Data'!P43</f>
        <v>-5.4249325732154352E-2</v>
      </c>
      <c r="F16" s="133"/>
      <c r="G16" s="133"/>
      <c r="L16" s="18"/>
      <c r="N16" s="1"/>
    </row>
    <row r="17" spans="2:14">
      <c r="B17" s="15"/>
      <c r="C17" s="139">
        <f>'[1]NUX Return Data'!N44</f>
        <v>2017</v>
      </c>
      <c r="D17" s="24">
        <f>'[1]NUX Return Data'!O44</f>
        <v>0.13226125929780719</v>
      </c>
      <c r="E17" s="106">
        <f>'[1]NUX Return Data'!P44</f>
        <v>3.3188952321940857E-2</v>
      </c>
      <c r="F17" s="133"/>
      <c r="G17" s="133"/>
      <c r="L17" s="18"/>
      <c r="N17" s="1"/>
    </row>
    <row r="18" spans="2:14">
      <c r="B18" s="15"/>
      <c r="C18" s="148">
        <v>2018</v>
      </c>
      <c r="D18" s="24">
        <f>'[1]NUX Return Data'!O45</f>
        <v>2.9989046681563547E-2</v>
      </c>
      <c r="E18" s="106">
        <f>'[1]NUX Return Data'!P45</f>
        <v>-5.3109813154788466E-2</v>
      </c>
      <c r="F18" s="133"/>
      <c r="G18" s="133"/>
      <c r="L18" s="18"/>
      <c r="N18" s="1"/>
    </row>
    <row r="19" spans="2:14">
      <c r="B19" s="15"/>
      <c r="C19" s="148">
        <v>2019</v>
      </c>
      <c r="D19" s="24">
        <f>'[1]NUX Return Data'!O46</f>
        <v>0.24377382093521738</v>
      </c>
      <c r="E19" s="106">
        <f>'[1]NUX Return Data'!P46</f>
        <v>3.3659014371282936E-2</v>
      </c>
      <c r="F19" s="133"/>
      <c r="G19" s="133"/>
      <c r="L19" s="18"/>
      <c r="N19" s="1"/>
    </row>
    <row r="20" spans="2:14" ht="15" thickBot="1">
      <c r="B20" s="15"/>
      <c r="C20" s="140" t="s">
        <v>50</v>
      </c>
      <c r="D20" s="156">
        <f>D26/100</f>
        <v>-0.36658659988756581</v>
      </c>
      <c r="E20" s="107">
        <f>'[1]NUX Return Data'!P47</f>
        <v>-2.5566742144630172E-2</v>
      </c>
      <c r="F20" s="133"/>
      <c r="G20" s="133"/>
      <c r="L20" s="18"/>
      <c r="N20" s="1"/>
    </row>
    <row r="21" spans="2:14" ht="15" thickBot="1">
      <c r="B21" s="15"/>
      <c r="C21" s="9"/>
      <c r="D21" s="132"/>
      <c r="E21" s="132"/>
      <c r="F21" s="133"/>
      <c r="G21" s="133"/>
      <c r="L21" s="18"/>
      <c r="N21" s="1"/>
    </row>
    <row r="22" spans="2:14">
      <c r="B22" s="15"/>
      <c r="C22" s="27"/>
      <c r="D22" s="135" t="s">
        <v>31</v>
      </c>
      <c r="E22" s="136" t="s">
        <v>49</v>
      </c>
      <c r="F22" s="133"/>
      <c r="G22" s="133"/>
      <c r="L22" s="18"/>
      <c r="N22" s="1"/>
    </row>
    <row r="23" spans="2:14" ht="15" thickBot="1">
      <c r="B23" s="15"/>
      <c r="C23" s="141" t="str">
        <f>'[1]NUX Return Data'!N50</f>
        <v>% Positive Years</v>
      </c>
      <c r="D23" s="142">
        <f>'[1]NUX Return Data'!O50</f>
        <v>0.875</v>
      </c>
      <c r="E23" s="143">
        <f>'[1]NUX Return Data'!P50</f>
        <v>0.875</v>
      </c>
      <c r="F23" s="133"/>
      <c r="G23" s="133"/>
      <c r="L23" s="18"/>
      <c r="N23" s="1"/>
    </row>
    <row r="24" spans="2:14" ht="14.4" customHeight="1" thickBot="1">
      <c r="B24" s="15"/>
      <c r="C24" s="8"/>
      <c r="D24" s="7"/>
      <c r="E24" s="7"/>
      <c r="F24" s="7"/>
      <c r="L24" s="18"/>
      <c r="N24" s="1"/>
    </row>
    <row r="25" spans="2:14" ht="14.4" customHeight="1">
      <c r="B25" s="15"/>
      <c r="C25" s="27" t="s">
        <v>7</v>
      </c>
      <c r="D25" s="28" t="s">
        <v>6</v>
      </c>
      <c r="E25" s="28" t="s">
        <v>3</v>
      </c>
      <c r="F25" s="28" t="s">
        <v>2</v>
      </c>
      <c r="G25" s="28" t="s">
        <v>42</v>
      </c>
      <c r="H25" s="29" t="s">
        <v>1</v>
      </c>
      <c r="L25" s="18"/>
      <c r="N25" s="1"/>
    </row>
    <row r="26" spans="2:14" ht="14.4" customHeight="1">
      <c r="B26" s="15"/>
      <c r="C26" s="36" t="s">
        <v>20</v>
      </c>
      <c r="D26" s="41">
        <f>SUMIF('[1]NUX Return Data'!$N:$N,'[1]NUX - FACT SHEET'!D$25,'[1]NUX Return Data'!$S:$S)*100</f>
        <v>-36.658659988756582</v>
      </c>
      <c r="E26" s="157">
        <v>-35.409999999999997</v>
      </c>
      <c r="F26" s="41">
        <f>SUMIF('[1]NUX Return Data'!$N:$N,'[1]NUX - FACT SHEET'!F$25,'[1]NUX Return Data'!$S:$S)*100</f>
        <v>-4.272902190780048</v>
      </c>
      <c r="G26" s="41">
        <f>SUMIF('[1]NUX Return Data'!$N:$N,'[1]NUX - FACT SHEET'!G$25,'[1]NUX Return Data'!$S:$S)*100</f>
        <v>2.3312894411255503</v>
      </c>
      <c r="H26" s="115">
        <v>2.9</v>
      </c>
      <c r="L26" s="18"/>
      <c r="N26" s="1"/>
    </row>
    <row r="27" spans="2:14" ht="14.4" customHeight="1">
      <c r="B27" s="15"/>
      <c r="C27" s="161" t="s">
        <v>14</v>
      </c>
      <c r="D27" s="41">
        <f>SUMIF('[1]NUX Return Data'!$N:$N,'[1]NUX - FACT SHEET'!D$25,'[1]NUX Return Data'!$T:$T)*100</f>
        <v>5.5734508062018042</v>
      </c>
      <c r="E27" s="41">
        <f>SUMIF('[1]NUX Return Data'!$N:$N,'[1]NUX - FACT SHEET'!E$25,'[1]NUX Return Data'!$T:$T)*100</f>
        <v>15.148978379286948</v>
      </c>
      <c r="F27" s="41">
        <f>SUMIF('[1]NUX Return Data'!$N:$N,'[1]NUX - FACT SHEET'!F$25,'[1]NUX Return Data'!$T:$T)*100</f>
        <v>12.279734244878583</v>
      </c>
      <c r="G27" s="41">
        <f>SUMIF('[1]NUX Return Data'!$N:$N,'[1]NUX - FACT SHEET'!G$25,'[1]NUX Return Data'!$T:$T)*100</f>
        <v>14.148117260728155</v>
      </c>
      <c r="H27" s="115">
        <v>12.98</v>
      </c>
      <c r="L27" s="18"/>
      <c r="N27" s="1"/>
    </row>
    <row r="28" spans="2:14" ht="14.4" customHeight="1">
      <c r="B28" s="15"/>
      <c r="C28" s="161" t="s">
        <v>44</v>
      </c>
      <c r="D28" s="41">
        <f>SUMIF('[1]NUX Return Data'!$N:$N,'[1]NUX - FACT SHEET'!D$25,'[1]NUX Return Data'!$U:$U)*100</f>
        <v>-2.5566742144630212</v>
      </c>
      <c r="E28" s="41">
        <f>SUMIF('[1]NUX Return Data'!$N:$N,'[1]NUX - FACT SHEET'!E$25,'[1]NUX Return Data'!$U:$U)*100</f>
        <v>-6.0227417618964774</v>
      </c>
      <c r="F28" s="41">
        <f>SUMIF('[1]NUX Return Data'!$N:$N,'[1]NUX - FACT SHEET'!F$25,'[1]NUX Return Data'!$U:$U)*100</f>
        <v>-0.11710258608077506</v>
      </c>
      <c r="G28" s="41">
        <f>SUMIF('[1]NUX Return Data'!$N:$N,'[1]NUX - FACT SHEET'!G$25,'[1]NUX Return Data'!$U:$U)*100</f>
        <v>-2.013043808870596</v>
      </c>
      <c r="H28" s="43">
        <f>SUMIF('[1]NUX Return Data'!$N:$N,'[1]NUX - FACT SHEET'!H$25,'[1]NUX Return Data'!$U:$U)*100</f>
        <v>-6.1520803498282817E-2</v>
      </c>
      <c r="L28" s="18"/>
      <c r="N28" s="1"/>
    </row>
    <row r="29" spans="2:14" ht="14.4" customHeight="1">
      <c r="B29" s="15"/>
      <c r="C29" s="161" t="s">
        <v>5</v>
      </c>
      <c r="D29" s="157">
        <v>-36.82</v>
      </c>
      <c r="E29" s="157">
        <v>-35.57</v>
      </c>
      <c r="F29" s="157">
        <v>-4.53</v>
      </c>
      <c r="G29" s="157">
        <v>2.0699999999999998</v>
      </c>
      <c r="H29" s="115">
        <v>2.65</v>
      </c>
      <c r="L29" s="18"/>
      <c r="N29" s="1"/>
    </row>
    <row r="30" spans="2:14" ht="14.4" customHeight="1">
      <c r="B30" s="15"/>
      <c r="C30" s="161" t="s">
        <v>12</v>
      </c>
      <c r="D30" s="157">
        <v>-37.159999999999997</v>
      </c>
      <c r="E30" s="157">
        <v>-36.06</v>
      </c>
      <c r="F30" s="157">
        <v>-5.23</v>
      </c>
      <c r="G30" s="157">
        <v>1.31</v>
      </c>
      <c r="H30" s="115">
        <v>1.88</v>
      </c>
      <c r="L30" s="18"/>
      <c r="N30" s="1"/>
    </row>
    <row r="31" spans="2:14" ht="14.4" customHeight="1" thickBot="1">
      <c r="B31" s="15"/>
      <c r="C31" s="85" t="s">
        <v>11</v>
      </c>
      <c r="D31" s="86">
        <v>-40.450000000000003</v>
      </c>
      <c r="E31" s="86">
        <v>-39.270000000000003</v>
      </c>
      <c r="F31" s="86">
        <v>-4.53</v>
      </c>
      <c r="G31" s="86">
        <v>2.0699999999999998</v>
      </c>
      <c r="H31" s="40">
        <v>2.65</v>
      </c>
      <c r="L31" s="18"/>
      <c r="N31" s="1"/>
    </row>
    <row r="32" spans="2:14" ht="14.4" customHeight="1">
      <c r="B32" s="15"/>
      <c r="C32" s="168" t="s">
        <v>62</v>
      </c>
      <c r="D32" s="168"/>
      <c r="E32" s="168"/>
      <c r="F32" s="168"/>
      <c r="G32" s="168"/>
      <c r="H32" s="168"/>
      <c r="I32" s="168"/>
      <c r="J32" s="168"/>
      <c r="K32" s="168"/>
      <c r="L32" s="18"/>
      <c r="N32" s="1"/>
    </row>
    <row r="33" spans="2:14" ht="14.4" customHeight="1">
      <c r="B33" s="15"/>
      <c r="C33" s="168"/>
      <c r="D33" s="168"/>
      <c r="E33" s="168"/>
      <c r="F33" s="168"/>
      <c r="G33" s="168"/>
      <c r="H33" s="168"/>
      <c r="I33" s="168"/>
      <c r="J33" s="168"/>
      <c r="K33" s="168"/>
      <c r="L33" s="18"/>
      <c r="N33" s="1"/>
    </row>
    <row r="34" spans="2:14" ht="14.4" customHeight="1" thickBot="1">
      <c r="B34" s="15"/>
      <c r="C34" s="162"/>
      <c r="D34" s="41"/>
      <c r="E34" s="41"/>
      <c r="F34" s="41"/>
      <c r="G34" s="41"/>
      <c r="H34" s="41"/>
      <c r="I34" s="41"/>
      <c r="J34" s="41"/>
      <c r="K34" s="41"/>
      <c r="L34" s="18"/>
      <c r="N34" s="1"/>
    </row>
    <row r="35" spans="2:14" ht="14.4" customHeight="1" thickBot="1">
      <c r="B35" s="15"/>
      <c r="C35" s="89" t="s">
        <v>35</v>
      </c>
      <c r="D35" s="90">
        <f>'[1]NUX Return Data'!N30</f>
        <v>2013</v>
      </c>
      <c r="E35" s="90">
        <f>'[1]NUX Return Data'!N31</f>
        <v>2014</v>
      </c>
      <c r="F35" s="90">
        <f>'[1]NUX Return Data'!N32</f>
        <v>2015</v>
      </c>
      <c r="G35" s="90">
        <f>'[1]NUX Return Data'!N33</f>
        <v>2016</v>
      </c>
      <c r="H35" s="90">
        <f>'[1]NUX Return Data'!N34</f>
        <v>2017</v>
      </c>
      <c r="I35" s="90">
        <f>'[1]NUX Return Data'!N35</f>
        <v>2018</v>
      </c>
      <c r="J35" s="149">
        <v>2019</v>
      </c>
      <c r="K35" s="91">
        <v>2020</v>
      </c>
      <c r="L35" s="18"/>
      <c r="N35" s="1"/>
    </row>
    <row r="36" spans="2:14" ht="14.4" customHeight="1" thickBot="1">
      <c r="B36" s="15"/>
      <c r="C36" s="92" t="s">
        <v>20</v>
      </c>
      <c r="D36" s="93">
        <f>SUMIF('[1]NUX Return Data'!$N:$N,'[1]NUX - FACT SHEET'!D$35,'[1]NUX Return Data'!$S:$S)*100</f>
        <v>6.4826999999999968</v>
      </c>
      <c r="E36" s="93">
        <f>SUMIF('[1]NUX Return Data'!$N:$N,'[1]NUX - FACT SHEET'!E$35,'[1]NUX Return Data'!$S:$S)*100</f>
        <v>7.5947548287186528</v>
      </c>
      <c r="F36" s="93">
        <f>SUMIF('[1]NUX Return Data'!$N:$N,'[1]NUX - FACT SHEET'!F$35,'[1]NUX Return Data'!$S:$S)*100</f>
        <v>3.300433447557749</v>
      </c>
      <c r="G36" s="93">
        <f>SUMIF('[1]NUX Return Data'!$N:$N,'[1]NUX - FACT SHEET'!G$35,'[1]NUX Return Data'!$S:$S)*100</f>
        <v>13.980689659834166</v>
      </c>
      <c r="H36" s="93">
        <f>SUMIF('[1]NUX Return Data'!$N:$N,'[1]NUX - FACT SHEET'!H$35,'[1]NUX Return Data'!$S:$S)*100</f>
        <v>13.226125929780718</v>
      </c>
      <c r="I36" s="93">
        <f>SUMIF('[1]NUX Return Data'!$N:$N,'[1]NUX - FACT SHEET'!I$35,'[1]NUX Return Data'!$S:$S)*100</f>
        <v>2.9989046681563547</v>
      </c>
      <c r="J36" s="93">
        <f>SUMIF('[1]NUX Return Data'!$N:$N,'[1]NUX - FACT SHEET'!J$35,'[1]NUX Return Data'!$S:$S)*100</f>
        <v>24.377382093521739</v>
      </c>
      <c r="K36" s="158">
        <f>D26</f>
        <v>-36.658659988756582</v>
      </c>
      <c r="L36" s="18"/>
      <c r="N36" s="1"/>
    </row>
    <row r="37" spans="2:14" ht="14.4" customHeight="1" thickBot="1">
      <c r="B37" s="15"/>
      <c r="C37" s="162"/>
      <c r="D37" s="41"/>
      <c r="E37" s="41"/>
      <c r="F37" s="41"/>
      <c r="G37" s="41"/>
      <c r="H37" s="41"/>
      <c r="I37" s="41"/>
      <c r="J37" s="41"/>
      <c r="K37" s="41"/>
      <c r="L37" s="18"/>
      <c r="N37" s="1"/>
    </row>
    <row r="38" spans="2:14" ht="14.4" customHeight="1">
      <c r="B38" s="15"/>
      <c r="C38" s="169" t="s">
        <v>36</v>
      </c>
      <c r="D38" s="170"/>
      <c r="E38" s="103" t="s">
        <v>31</v>
      </c>
      <c r="F38" s="113" t="s">
        <v>41</v>
      </c>
      <c r="G38" s="41"/>
      <c r="H38" s="41"/>
      <c r="I38" s="41"/>
      <c r="J38" s="41"/>
      <c r="K38" s="41"/>
      <c r="L38" s="18"/>
      <c r="N38" s="1"/>
    </row>
    <row r="39" spans="2:14" ht="14.4" customHeight="1">
      <c r="B39" s="15"/>
      <c r="C39" s="164" t="s">
        <v>37</v>
      </c>
      <c r="D39" s="165"/>
      <c r="E39" s="101">
        <f>'[1]NUX Return Data'!P11</f>
        <v>-5.7310850083947006E-2</v>
      </c>
      <c r="F39" s="42">
        <f>'[1]NUX Return Data'!R11</f>
        <v>1.4203546578522202E-4</v>
      </c>
      <c r="G39" s="41"/>
      <c r="H39" s="41"/>
      <c r="I39" s="41"/>
      <c r="J39" s="41"/>
      <c r="K39" s="41"/>
      <c r="L39" s="18"/>
      <c r="N39" s="1"/>
    </row>
    <row r="40" spans="2:14" s="4" customFormat="1" ht="14.4" customHeight="1">
      <c r="B40" s="15"/>
      <c r="C40" s="164" t="s">
        <v>38</v>
      </c>
      <c r="D40" s="165"/>
      <c r="E40" s="102">
        <f>'[1]NUX Return Data'!P8</f>
        <v>0.646589518386258</v>
      </c>
      <c r="F40" s="95">
        <f>'[1]NUX Return Data'!R8</f>
        <v>-1.2897511445885029E-2</v>
      </c>
      <c r="G40" s="41"/>
      <c r="H40" s="41"/>
      <c r="I40" s="41"/>
      <c r="J40" s="41"/>
      <c r="K40" s="41"/>
      <c r="L40" s="18"/>
      <c r="M40" s="9"/>
      <c r="N40" s="1"/>
    </row>
    <row r="41" spans="2:14" ht="14.4" customHeight="1" thickBot="1">
      <c r="B41" s="15"/>
      <c r="C41" s="166" t="s">
        <v>39</v>
      </c>
      <c r="D41" s="167"/>
      <c r="E41" s="104">
        <f>'[1]NUX Return Data'!P12</f>
        <v>0.29357144401037899</v>
      </c>
      <c r="F41" s="44">
        <f>'[1]NUX Return Data'!R12</f>
        <v>4.8159304532640885E-4</v>
      </c>
      <c r="L41" s="18"/>
      <c r="M41" s="9"/>
      <c r="N41" s="1"/>
    </row>
    <row r="42" spans="2:14" ht="14.4" customHeight="1" thickBot="1">
      <c r="B42" s="31"/>
      <c r="C42" s="32"/>
      <c r="D42" s="33"/>
      <c r="E42" s="33"/>
      <c r="F42" s="33"/>
      <c r="G42" s="33"/>
      <c r="H42" s="34"/>
      <c r="I42" s="34"/>
      <c r="J42" s="34"/>
      <c r="K42" s="34"/>
      <c r="L42" s="35"/>
      <c r="N42" s="4"/>
    </row>
    <row r="43" spans="2:14" ht="14.4" customHeight="1">
      <c r="C43" s="8"/>
      <c r="D43" s="7"/>
      <c r="E43" s="7"/>
      <c r="F43" s="7"/>
      <c r="N43" s="1"/>
    </row>
    <row r="44" spans="2:14" ht="14.4" customHeight="1">
      <c r="C44" s="8"/>
      <c r="D44" s="7"/>
      <c r="E44" s="7"/>
      <c r="F44" s="7"/>
      <c r="N44" s="1"/>
    </row>
    <row r="45" spans="2:14">
      <c r="C45" s="8"/>
      <c r="D45" s="7"/>
      <c r="E45" s="7"/>
      <c r="F45" s="7"/>
      <c r="N45" s="30"/>
    </row>
    <row r="46" spans="2:14">
      <c r="C46" s="8"/>
      <c r="D46" s="7"/>
      <c r="E46" s="7"/>
      <c r="F46" s="7"/>
      <c r="N46" s="30"/>
    </row>
    <row r="47" spans="2:14">
      <c r="C47" s="8"/>
      <c r="D47" s="7"/>
      <c r="E47" s="7"/>
      <c r="F47" s="7"/>
      <c r="N47" s="1"/>
    </row>
    <row r="48" spans="2:14">
      <c r="C48" s="8"/>
      <c r="D48" s="7"/>
      <c r="E48" s="7"/>
      <c r="F48" s="7"/>
    </row>
    <row r="49" spans="3:6">
      <c r="C49" s="8"/>
      <c r="D49" s="7"/>
      <c r="E49" s="7"/>
      <c r="F49" s="7"/>
    </row>
    <row r="50" spans="3:6">
      <c r="C50" s="8"/>
      <c r="D50" s="7"/>
      <c r="E50" s="7"/>
      <c r="F50" s="7"/>
    </row>
    <row r="51" spans="3:6">
      <c r="C51" s="6"/>
    </row>
    <row r="52" spans="3:6">
      <c r="C52" s="6"/>
    </row>
    <row r="53" spans="3:6">
      <c r="C53" s="6"/>
    </row>
    <row r="54" spans="3:6">
      <c r="C54" s="6"/>
    </row>
  </sheetData>
  <mergeCells count="9">
    <mergeCell ref="C40:D40"/>
    <mergeCell ref="C41:D41"/>
    <mergeCell ref="C32:K33"/>
    <mergeCell ref="C38:D38"/>
    <mergeCell ref="B2:L2"/>
    <mergeCell ref="C4:C5"/>
    <mergeCell ref="D4:D5"/>
    <mergeCell ref="C6:C10"/>
    <mergeCell ref="C39:D39"/>
  </mergeCells>
  <conditionalFormatting sqref="E6:G11 C13:C20 F12:G23">
    <cfRule type="cellIs" dxfId="25" priority="26" operator="equal">
      <formula>0</formula>
    </cfRule>
  </conditionalFormatting>
  <conditionalFormatting sqref="E6:G11 C13:C20 F12:G23">
    <cfRule type="containsErrors" dxfId="24" priority="25">
      <formula>ISERROR(C6)</formula>
    </cfRule>
  </conditionalFormatting>
  <conditionalFormatting sqref="D37:K37 E38:K40 D34:K34 D31:H31 D26:H28">
    <cfRule type="cellIs" dxfId="23" priority="23" operator="equal">
      <formula>0</formula>
    </cfRule>
    <cfRule type="containsErrors" dxfId="22" priority="24">
      <formula>ISERROR(D26)</formula>
    </cfRule>
  </conditionalFormatting>
  <conditionalFormatting sqref="E41:F41">
    <cfRule type="cellIs" dxfId="21" priority="21" operator="equal">
      <formula>0</formula>
    </cfRule>
    <cfRule type="containsErrors" dxfId="20" priority="22">
      <formula>ISERROR(E41)</formula>
    </cfRule>
  </conditionalFormatting>
  <conditionalFormatting sqref="D36:K36">
    <cfRule type="cellIs" dxfId="19" priority="19" operator="equal">
      <formula>0</formula>
    </cfRule>
    <cfRule type="containsErrors" dxfId="18" priority="20">
      <formula>ISERROR(D36)</formula>
    </cfRule>
  </conditionalFormatting>
  <conditionalFormatting sqref="D29:H29">
    <cfRule type="cellIs" dxfId="17" priority="17" operator="equal">
      <formula>0</formula>
    </cfRule>
    <cfRule type="containsErrors" dxfId="16" priority="18">
      <formula>ISERROR(D29)</formula>
    </cfRule>
  </conditionalFormatting>
  <conditionalFormatting sqref="D30:H30">
    <cfRule type="cellIs" dxfId="15" priority="15" operator="equal">
      <formula>0</formula>
    </cfRule>
    <cfRule type="containsErrors" dxfId="14" priority="16">
      <formula>ISERROR(D30)</formula>
    </cfRule>
  </conditionalFormatting>
  <conditionalFormatting sqref="E20">
    <cfRule type="containsErrors" dxfId="13" priority="7">
      <formula>ISERROR(E20)</formula>
    </cfRule>
  </conditionalFormatting>
  <conditionalFormatting sqref="D13:D19">
    <cfRule type="cellIs" dxfId="12" priority="14" operator="equal">
      <formula>0</formula>
    </cfRule>
  </conditionalFormatting>
  <conditionalFormatting sqref="D13:D19">
    <cfRule type="containsErrors" dxfId="11" priority="13">
      <formula>ISERROR(D13)</formula>
    </cfRule>
  </conditionalFormatting>
  <conditionalFormatting sqref="D20">
    <cfRule type="cellIs" dxfId="10" priority="12" operator="equal">
      <formula>0</formula>
    </cfRule>
  </conditionalFormatting>
  <conditionalFormatting sqref="D20">
    <cfRule type="containsErrors" dxfId="9" priority="11">
      <formula>ISERROR(D20)</formula>
    </cfRule>
  </conditionalFormatting>
  <conditionalFormatting sqref="E13:E19">
    <cfRule type="cellIs" dxfId="8" priority="10" operator="equal">
      <formula>0</formula>
    </cfRule>
  </conditionalFormatting>
  <conditionalFormatting sqref="E13:E19">
    <cfRule type="containsErrors" dxfId="7" priority="9">
      <formula>ISERROR(E13)</formula>
    </cfRule>
  </conditionalFormatting>
  <conditionalFormatting sqref="E20">
    <cfRule type="cellIs" dxfId="6" priority="8" operator="equal">
      <formula>0</formula>
    </cfRule>
  </conditionalFormatting>
  <conditionalFormatting sqref="C23">
    <cfRule type="cellIs" dxfId="5" priority="6" operator="equal">
      <formula>0</formula>
    </cfRule>
  </conditionalFormatting>
  <conditionalFormatting sqref="C23">
    <cfRule type="containsErrors" dxfId="4" priority="5">
      <formula>ISERROR(C23)</formula>
    </cfRule>
  </conditionalFormatting>
  <conditionalFormatting sqref="D23">
    <cfRule type="cellIs" dxfId="3" priority="4" operator="equal">
      <formula>0</formula>
    </cfRule>
  </conditionalFormatting>
  <conditionalFormatting sqref="D23">
    <cfRule type="containsErrors" dxfId="2" priority="3">
      <formula>ISERROR(D23)</formula>
    </cfRule>
  </conditionalFormatting>
  <conditionalFormatting sqref="E23">
    <cfRule type="cellIs" dxfId="1" priority="2" operator="equal">
      <formula>0</formula>
    </cfRule>
  </conditionalFormatting>
  <conditionalFormatting sqref="E23">
    <cfRule type="containsErrors" dxfId="0" priority="1">
      <formula>ISERROR(E23)</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A8E15-A206-411C-9149-36B60EC88DB4}">
  <sheetPr>
    <tabColor rgb="FFC00000"/>
  </sheetPr>
  <dimension ref="A1:D9"/>
  <sheetViews>
    <sheetView workbookViewId="0"/>
  </sheetViews>
  <sheetFormatPr defaultRowHeight="14.4"/>
  <cols>
    <col min="2" max="2" width="9.109375" style="153"/>
    <col min="3" max="3" width="24.5546875" bestFit="1" customWidth="1"/>
  </cols>
  <sheetData>
    <row r="1" spans="1:4">
      <c r="A1" t="s">
        <v>51</v>
      </c>
      <c r="B1" s="153" t="s">
        <v>31</v>
      </c>
      <c r="C1" t="s">
        <v>44</v>
      </c>
      <c r="D1" t="s">
        <v>53</v>
      </c>
    </row>
    <row r="2" spans="1:4">
      <c r="A2">
        <v>2013</v>
      </c>
      <c r="B2" s="153">
        <f>'NUX - FACT SHEET'!D13*100</f>
        <v>6.4826999999999968</v>
      </c>
      <c r="C2" s="153">
        <f>'NUX - FACT SHEET'!E13*100</f>
        <v>0.22461654914633922</v>
      </c>
      <c r="D2">
        <v>1</v>
      </c>
    </row>
    <row r="3" spans="1:4">
      <c r="A3">
        <v>2014</v>
      </c>
      <c r="B3" s="153">
        <f>'NUX - FACT SHEET'!D14*100</f>
        <v>7.5947548287186528</v>
      </c>
      <c r="C3" s="153">
        <f>'NUX - FACT SHEET'!E14*100</f>
        <v>10.276335709748952</v>
      </c>
      <c r="D3">
        <v>2</v>
      </c>
    </row>
    <row r="4" spans="1:4">
      <c r="A4">
        <v>2015</v>
      </c>
      <c r="B4" s="153">
        <f>'NUX - FACT SHEET'!D15*100</f>
        <v>3.300433447557749</v>
      </c>
      <c r="C4" s="153">
        <f>'NUX - FACT SHEET'!E15*100</f>
        <v>-3.3459215187663593</v>
      </c>
      <c r="D4">
        <v>3</v>
      </c>
    </row>
    <row r="5" spans="1:4">
      <c r="A5">
        <v>2016</v>
      </c>
      <c r="B5" s="153">
        <f>'NUX - FACT SHEET'!D16*100</f>
        <v>13.980689659834166</v>
      </c>
      <c r="C5" s="153">
        <f>'NUX - FACT SHEET'!E16*100</f>
        <v>-5.4249325732154352</v>
      </c>
      <c r="D5">
        <v>4</v>
      </c>
    </row>
    <row r="6" spans="1:4">
      <c r="A6">
        <v>2017</v>
      </c>
      <c r="B6" s="153">
        <f>'NUX - FACT SHEET'!D17*100</f>
        <v>13.226125929780718</v>
      </c>
      <c r="C6" s="153">
        <f>'NUX - FACT SHEET'!E17*100</f>
        <v>3.3188952321940857</v>
      </c>
      <c r="D6">
        <v>5</v>
      </c>
    </row>
    <row r="7" spans="1:4">
      <c r="A7">
        <v>2018</v>
      </c>
      <c r="B7" s="153">
        <f>'NUX - FACT SHEET'!D18*100</f>
        <v>2.9989046681563547</v>
      </c>
      <c r="C7" s="153">
        <f>'NUX - FACT SHEET'!E18*100</f>
        <v>-5.3109813154788466</v>
      </c>
      <c r="D7">
        <v>6</v>
      </c>
    </row>
    <row r="8" spans="1:4">
      <c r="A8">
        <v>2019</v>
      </c>
      <c r="B8" s="153">
        <f>'NUX - FACT SHEET'!D19*100</f>
        <v>24.377382093521739</v>
      </c>
      <c r="C8" s="153">
        <f>'NUX - FACT SHEET'!E19*100</f>
        <v>3.3659014371282936</v>
      </c>
      <c r="D8">
        <v>7</v>
      </c>
    </row>
    <row r="9" spans="1:4">
      <c r="A9" t="str">
        <f>'NUX - FACT SHEET'!C20</f>
        <v>2020 YTD</v>
      </c>
      <c r="B9" s="153">
        <f>'NUX - FACT SHEET'!D20*100</f>
        <v>-36.658659988756582</v>
      </c>
      <c r="C9" s="153">
        <f>'NUX - FACT SHEET'!E20*100</f>
        <v>-2.5566742144630172</v>
      </c>
      <c r="D9">
        <v>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DFEC4-AA29-41FF-AEFF-A3800233A0F1}">
  <sheetPr>
    <tabColor rgb="FFC00000"/>
  </sheetPr>
  <dimension ref="A1:B3"/>
  <sheetViews>
    <sheetView workbookViewId="0"/>
  </sheetViews>
  <sheetFormatPr defaultRowHeight="14.4"/>
  <cols>
    <col min="1" max="1" width="16.33203125" bestFit="1" customWidth="1"/>
    <col min="2" max="2" width="9.109375" style="159"/>
  </cols>
  <sheetData>
    <row r="1" spans="1:2">
      <c r="A1" t="s">
        <v>52</v>
      </c>
      <c r="B1" s="159" t="s">
        <v>54</v>
      </c>
    </row>
    <row r="2" spans="1:2">
      <c r="A2" t="s">
        <v>47</v>
      </c>
      <c r="B2" s="159">
        <f>'NUX Return Data'!O50*100</f>
        <v>87.5</v>
      </c>
    </row>
    <row r="3" spans="1:2">
      <c r="A3" t="s">
        <v>61</v>
      </c>
      <c r="B3" s="159">
        <f>100-B2</f>
        <v>12.5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D09AE-76C8-4ECB-B4BE-4E489DBE08DF}">
  <sheetPr>
    <tabColor rgb="FFC00000"/>
  </sheetPr>
  <dimension ref="A1:B3"/>
  <sheetViews>
    <sheetView workbookViewId="0"/>
  </sheetViews>
  <sheetFormatPr defaultRowHeight="14.4"/>
  <cols>
    <col min="1" max="1" width="16.33203125" bestFit="1" customWidth="1"/>
    <col min="2" max="2" width="9.109375" style="159"/>
  </cols>
  <sheetData>
    <row r="1" spans="1:2">
      <c r="A1" t="s">
        <v>52</v>
      </c>
      <c r="B1" s="159" t="s">
        <v>54</v>
      </c>
    </row>
    <row r="2" spans="1:2">
      <c r="A2" t="s">
        <v>47</v>
      </c>
      <c r="B2" s="159">
        <f>'NUX Return Data'!P50*100</f>
        <v>87.5</v>
      </c>
    </row>
    <row r="3" spans="1:2">
      <c r="A3" t="s">
        <v>61</v>
      </c>
      <c r="B3" s="159">
        <f>100-B2</f>
        <v>12.5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9F1E6-28A9-4B54-A807-A70E5DC93996}">
  <sheetPr>
    <tabColor rgb="FFC00000"/>
  </sheetPr>
  <dimension ref="A1:G9"/>
  <sheetViews>
    <sheetView workbookViewId="0">
      <selection activeCell="A7" sqref="A7"/>
    </sheetView>
  </sheetViews>
  <sheetFormatPr defaultRowHeight="14.4"/>
  <cols>
    <col min="1" max="1" width="24.5546875" bestFit="1" customWidth="1"/>
    <col min="2" max="5" width="9.109375" style="153"/>
    <col min="6" max="6" width="14.6640625" style="153" bestFit="1" customWidth="1"/>
  </cols>
  <sheetData>
    <row r="1" spans="1:7">
      <c r="A1" t="s">
        <v>52</v>
      </c>
      <c r="B1" s="153" t="s">
        <v>6</v>
      </c>
      <c r="C1" s="153" t="s">
        <v>3</v>
      </c>
      <c r="D1" s="153" t="s">
        <v>2</v>
      </c>
      <c r="E1" s="153" t="s">
        <v>42</v>
      </c>
      <c r="F1" s="153" t="s">
        <v>55</v>
      </c>
      <c r="G1" s="153" t="s">
        <v>53</v>
      </c>
    </row>
    <row r="2" spans="1:7">
      <c r="A2" s="152" t="str">
        <f>'NUX - FACT SHEET'!C26</f>
        <v>Class I</v>
      </c>
      <c r="B2" s="153">
        <f>'NUX - FACT SHEET'!D26</f>
        <v>-36.658659988756582</v>
      </c>
      <c r="C2" s="153">
        <f>'NUX - FACT SHEET'!E26</f>
        <v>-35.409999999999997</v>
      </c>
      <c r="D2" s="153">
        <f>'NUX - FACT SHEET'!F26</f>
        <v>-4.272902190780048</v>
      </c>
      <c r="E2" s="153">
        <f>'NUX - FACT SHEET'!G26</f>
        <v>2.3312894411255503</v>
      </c>
      <c r="F2" s="153">
        <f>'NUX - FACT SHEET'!H26</f>
        <v>2.9</v>
      </c>
      <c r="G2">
        <v>1</v>
      </c>
    </row>
    <row r="3" spans="1:7">
      <c r="A3" s="152" t="str">
        <f>'NUX - FACT SHEET'!C27</f>
        <v>S&amp;P 500 TR Index</v>
      </c>
      <c r="B3" s="153">
        <f>'NUX - FACT SHEET'!D27</f>
        <v>5.5734508062018042</v>
      </c>
      <c r="C3" s="153">
        <f>'NUX - FACT SHEET'!E27</f>
        <v>15.148978379286948</v>
      </c>
      <c r="D3" s="153">
        <f>'NUX - FACT SHEET'!F27</f>
        <v>12.279734244878583</v>
      </c>
      <c r="E3" s="153">
        <f>'NUX - FACT SHEET'!G27</f>
        <v>14.148117260728155</v>
      </c>
      <c r="F3" s="153">
        <f>'NUX - FACT SHEET'!H27</f>
        <v>12.98</v>
      </c>
      <c r="G3">
        <v>2</v>
      </c>
    </row>
    <row r="4" spans="1:7">
      <c r="A4" s="152" t="str">
        <f>'NUX - FACT SHEET'!C28</f>
        <v>SG CTA Mutual Fund Index</v>
      </c>
      <c r="B4" s="153">
        <f>'NUX - FACT SHEET'!D28</f>
        <v>-2.5566742144630212</v>
      </c>
      <c r="C4" s="153">
        <f>'NUX - FACT SHEET'!E28</f>
        <v>-6.0227417618964774</v>
      </c>
      <c r="D4" s="153">
        <f>'NUX - FACT SHEET'!F28</f>
        <v>-0.11710258608077506</v>
      </c>
      <c r="E4" s="153">
        <f>'NUX - FACT SHEET'!G28</f>
        <v>-2.013043808870596</v>
      </c>
      <c r="F4" s="153">
        <f>'NUX - FACT SHEET'!H28</f>
        <v>-6.1520803498282817E-2</v>
      </c>
      <c r="G4">
        <v>3</v>
      </c>
    </row>
    <row r="5" spans="1:7">
      <c r="A5" s="152" t="str">
        <f>'NUX - FACT SHEET'!C29</f>
        <v>Class A</v>
      </c>
      <c r="B5" s="153">
        <f>'NUX - FACT SHEET'!D29</f>
        <v>-36.82</v>
      </c>
      <c r="C5" s="153">
        <f>'NUX - FACT SHEET'!E29</f>
        <v>-35.57</v>
      </c>
      <c r="D5" s="153">
        <f>'NUX - FACT SHEET'!F29</f>
        <v>-4.53</v>
      </c>
      <c r="E5" s="153">
        <f>'NUX - FACT SHEET'!G29</f>
        <v>2.0699999999999998</v>
      </c>
      <c r="F5" s="153">
        <f>'NUX - FACT SHEET'!H29</f>
        <v>2.65</v>
      </c>
      <c r="G5">
        <v>4</v>
      </c>
    </row>
    <row r="6" spans="1:7">
      <c r="A6" s="152" t="str">
        <f>'NUX - FACT SHEET'!C30</f>
        <v>Class C</v>
      </c>
      <c r="B6" s="153">
        <f>'NUX - FACT SHEET'!D30</f>
        <v>-37.159999999999997</v>
      </c>
      <c r="C6" s="153">
        <f>'NUX - FACT SHEET'!E30</f>
        <v>-36.06</v>
      </c>
      <c r="D6" s="153">
        <f>'NUX - FACT SHEET'!F30</f>
        <v>-5.23</v>
      </c>
      <c r="E6" s="153">
        <f>'NUX - FACT SHEET'!G30</f>
        <v>1.31</v>
      </c>
      <c r="F6" s="153">
        <f>'NUX - FACT SHEET'!H30</f>
        <v>1.88</v>
      </c>
      <c r="G6">
        <v>5</v>
      </c>
    </row>
    <row r="7" spans="1:7">
      <c r="A7" s="152" t="s">
        <v>63</v>
      </c>
      <c r="B7" s="153">
        <f>'NUX - FACT SHEET'!D31</f>
        <v>-40.450000000000003</v>
      </c>
      <c r="C7" s="153">
        <f>'NUX - FACT SHEET'!E31</f>
        <v>-39.270000000000003</v>
      </c>
      <c r="D7" s="153">
        <f>'NUX - FACT SHEET'!F31</f>
        <v>-4.53</v>
      </c>
      <c r="E7" s="153">
        <f>'NUX - FACT SHEET'!G31</f>
        <v>2.0699999999999998</v>
      </c>
      <c r="F7" s="153">
        <f>'NUX - FACT SHEET'!H31</f>
        <v>2.65</v>
      </c>
      <c r="G7">
        <v>6</v>
      </c>
    </row>
    <row r="8" spans="1:7">
      <c r="A8" s="152"/>
    </row>
    <row r="9" spans="1:7">
      <c r="A9" s="15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93263-89B9-475D-A106-12AA88FC9D60}">
  <sheetPr>
    <tabColor rgb="FFC00000"/>
  </sheetPr>
  <dimension ref="A1:D6"/>
  <sheetViews>
    <sheetView workbookViewId="0">
      <selection activeCell="D1" sqref="D1"/>
    </sheetView>
  </sheetViews>
  <sheetFormatPr defaultRowHeight="14.4"/>
  <cols>
    <col min="3" max="3" width="16.109375" bestFit="1" customWidth="1"/>
    <col min="4" max="4" width="24.5546875" bestFit="1" customWidth="1"/>
  </cols>
  <sheetData>
    <row r="1" spans="1:4">
      <c r="A1" t="s">
        <v>56</v>
      </c>
      <c r="B1" t="s">
        <v>20</v>
      </c>
      <c r="C1" t="s">
        <v>14</v>
      </c>
      <c r="D1" t="s">
        <v>44</v>
      </c>
    </row>
    <row r="2" spans="1:4">
      <c r="A2" t="s">
        <v>6</v>
      </c>
      <c r="B2" s="153">
        <f>'NUX - FACT SHEET'!D26</f>
        <v>-36.658659988756582</v>
      </c>
      <c r="C2" s="153">
        <f>'NUX - FACT SHEET'!D27</f>
        <v>5.5734508062018042</v>
      </c>
      <c r="D2" s="153">
        <f>'NUX - FACT SHEET'!D28</f>
        <v>-2.5566742144630212</v>
      </c>
    </row>
    <row r="3" spans="1:4">
      <c r="A3" t="s">
        <v>3</v>
      </c>
      <c r="B3" s="153">
        <f>'NUX - FACT SHEET'!E26</f>
        <v>-35.409999999999997</v>
      </c>
      <c r="C3" s="153">
        <f>'NUX - FACT SHEET'!E27</f>
        <v>15.148978379286948</v>
      </c>
      <c r="D3" s="153">
        <f>'NUX - FACT SHEET'!E28</f>
        <v>-6.0227417618964774</v>
      </c>
    </row>
    <row r="4" spans="1:4">
      <c r="A4" t="s">
        <v>2</v>
      </c>
      <c r="B4" s="153">
        <f>'NUX - FACT SHEET'!F26</f>
        <v>-4.272902190780048</v>
      </c>
      <c r="C4" s="153">
        <f>'NUX - FACT SHEET'!F27</f>
        <v>12.279734244878583</v>
      </c>
      <c r="D4" s="153">
        <f>'NUX - FACT SHEET'!F28</f>
        <v>-0.11710258608077506</v>
      </c>
    </row>
    <row r="5" spans="1:4">
      <c r="A5" t="s">
        <v>42</v>
      </c>
      <c r="B5" s="153">
        <f>'NUX - FACT SHEET'!G26</f>
        <v>2.3312894411255503</v>
      </c>
      <c r="C5" s="153">
        <f>'NUX - FACT SHEET'!G27</f>
        <v>14.148117260728155</v>
      </c>
      <c r="D5" s="153">
        <f>'NUX - FACT SHEET'!G28</f>
        <v>-2.013043808870596</v>
      </c>
    </row>
    <row r="6" spans="1:4">
      <c r="A6" t="s">
        <v>57</v>
      </c>
      <c r="B6" s="153">
        <f>'NUX - FACT SHEET'!H26</f>
        <v>2.9</v>
      </c>
      <c r="C6" s="153">
        <f>'NUX - FACT SHEET'!H27</f>
        <v>12.98</v>
      </c>
      <c r="D6" s="153">
        <f>'NUX - FACT SHEET'!H28</f>
        <v>-6.1520803498282817E-2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E7A2B-7717-4018-A0BF-5F2B14CC3785}">
  <sheetPr>
    <tabColor rgb="FFC00000"/>
  </sheetPr>
  <dimension ref="A1:C4"/>
  <sheetViews>
    <sheetView workbookViewId="0">
      <selection activeCell="B5" sqref="B5"/>
    </sheetView>
  </sheetViews>
  <sheetFormatPr defaultRowHeight="14.4"/>
  <cols>
    <col min="1" max="1" width="29" bestFit="1" customWidth="1"/>
  </cols>
  <sheetData>
    <row r="1" spans="1:3">
      <c r="A1" t="s">
        <v>52</v>
      </c>
      <c r="B1" t="s">
        <v>31</v>
      </c>
      <c r="C1" t="s">
        <v>53</v>
      </c>
    </row>
    <row r="2" spans="1:3">
      <c r="A2" t="s">
        <v>58</v>
      </c>
      <c r="B2" s="152">
        <f>'NUX - FACT SHEET'!E39</f>
        <v>-5.7310850083947006E-2</v>
      </c>
      <c r="C2">
        <v>1</v>
      </c>
    </row>
    <row r="3" spans="1:3">
      <c r="A3" t="s">
        <v>59</v>
      </c>
      <c r="B3" s="153">
        <f>'NUX - FACT SHEET'!E40</f>
        <v>0.646589518386258</v>
      </c>
      <c r="C3">
        <v>2</v>
      </c>
    </row>
    <row r="4" spans="1:3">
      <c r="A4" t="s">
        <v>60</v>
      </c>
      <c r="B4" s="153">
        <f>'NUX - FACT SHEET'!E41</f>
        <v>0.29357144401037899</v>
      </c>
      <c r="C4">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NUX Return Data</vt:lpstr>
      <vt:lpstr>NUX - FACT SHEET</vt:lpstr>
      <vt:lpstr>NUX_EXPORT_AnnualReturn</vt:lpstr>
      <vt:lpstr>NUX_EXPORT_NUXPosVsNegPie</vt:lpstr>
      <vt:lpstr>NUX_EXPORT_SPPosVsNegPie</vt:lpstr>
      <vt:lpstr>NUX_EXPORT_PerformanceTable</vt:lpstr>
      <vt:lpstr>NUX_EXPORT_PerformanceBar</vt:lpstr>
      <vt:lpstr>NUX_EXPORT_ClassIRiskAnalysis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WaveFront Capital Management</dc:creator>
  <cp:lastModifiedBy>jacob</cp:lastModifiedBy>
  <dcterms:created xsi:type="dcterms:W3CDTF">2016-01-27T18:50:44Z</dcterms:created>
  <dcterms:modified xsi:type="dcterms:W3CDTF">2020-10-13T00:13:23Z</dcterms:modified>
</cp:coreProperties>
</file>