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CAX\"/>
    </mc:Choice>
  </mc:AlternateContent>
  <xr:revisionPtr revIDLastSave="0" documentId="13_ncr:1_{BC4FFEA5-B0E1-4D2D-8116-4CEC0AC24E0B}" xr6:coauthVersionLast="46" xr6:coauthVersionMax="46" xr10:uidLastSave="{00000000-0000-0000-0000-000000000000}"/>
  <bookViews>
    <workbookView xWindow="-28920" yWindow="-120" windowWidth="29040" windowHeight="15840" tabRatio="869" xr2:uid="{00000000-000D-0000-FFFF-FFFF00000000}"/>
  </bookViews>
  <sheets>
    <sheet name="CAX Fact Sheet Backup" sheetId="1" r:id="rId1"/>
    <sheet name="CAX Portfolio" sheetId="2" r:id="rId2"/>
    <sheet name="CAX_EXPORT_10kChart" sheetId="3" r:id="rId3"/>
    <sheet name="CAX_EXPORT_10kPercent" sheetId="4" r:id="rId4"/>
    <sheet name="CAX_EXPORT_PerformanceTable" sheetId="5" r:id="rId5"/>
    <sheet name="CAX_EXPORT_Performance&amp;Risks" sheetId="6" r:id="rId6"/>
    <sheet name="CAX_EXPORT_PortfolioChar" sheetId="7" r:id="rId7"/>
    <sheet name="CAX_EXPORT_CapComposite" sheetId="8" r:id="rId8"/>
    <sheet name="CAX_EXPORT_TopEquityHoldings" sheetId="9" r:id="rId9"/>
    <sheet name="CAX_EXPORT_PortSectorAllocation" sheetId="10" r:id="rId10"/>
    <sheet name="CAX_EXPORT_RegionalAllocation" sheetId="11" r:id="rId11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_FilterDatabase" localSheetId="1" hidden="1">'CAX Portfolio'!$D$16:$E$27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5" l="1"/>
  <c r="D7" i="5"/>
  <c r="E7" i="5"/>
  <c r="F7" i="5"/>
  <c r="G7" i="5"/>
  <c r="B7" i="5"/>
  <c r="C6" i="5"/>
  <c r="D6" i="5"/>
  <c r="E6" i="5"/>
  <c r="F6" i="5"/>
  <c r="G6" i="5"/>
  <c r="B6" i="5"/>
  <c r="C5" i="5"/>
  <c r="D5" i="5"/>
  <c r="E5" i="5"/>
  <c r="F5" i="5"/>
  <c r="G5" i="5"/>
  <c r="C4" i="5"/>
  <c r="D4" i="5"/>
  <c r="E4" i="5"/>
  <c r="F4" i="5"/>
  <c r="G4" i="5"/>
  <c r="B4" i="5"/>
  <c r="B5" i="5"/>
  <c r="B12" i="4"/>
  <c r="C12" i="4"/>
  <c r="A116" i="3"/>
  <c r="B116" i="3"/>
  <c r="C116" i="3"/>
  <c r="A117" i="3"/>
  <c r="B117" i="3"/>
  <c r="C117" i="3"/>
  <c r="A118" i="3"/>
  <c r="B118" i="3"/>
  <c r="C118" i="3"/>
  <c r="B19" i="2"/>
  <c r="I18" i="2"/>
  <c r="B18" i="2"/>
  <c r="B17" i="2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G51" i="1"/>
  <c r="C51" i="1"/>
  <c r="C50" i="1"/>
  <c r="C49" i="1"/>
  <c r="C48" i="1"/>
  <c r="C47" i="1"/>
  <c r="C46" i="1"/>
  <c r="C45" i="1"/>
  <c r="C44" i="1"/>
  <c r="C43" i="1"/>
  <c r="C42" i="1"/>
  <c r="C41" i="1"/>
  <c r="I40" i="1"/>
  <c r="H40" i="1"/>
  <c r="C40" i="1"/>
  <c r="C39" i="1"/>
  <c r="C38" i="1"/>
  <c r="C37" i="1"/>
  <c r="H36" i="1"/>
  <c r="C36" i="1"/>
  <c r="C35" i="1"/>
  <c r="C34" i="1"/>
  <c r="C33" i="1"/>
  <c r="C32" i="1"/>
  <c r="L31" i="1"/>
  <c r="K31" i="1"/>
  <c r="J31" i="1"/>
  <c r="I31" i="1"/>
  <c r="I21" i="1" s="1"/>
  <c r="C9" i="5" s="1"/>
  <c r="H31" i="1"/>
  <c r="H21" i="1" s="1"/>
  <c r="B9" i="5" s="1"/>
  <c r="C31" i="1"/>
  <c r="K30" i="1"/>
  <c r="J30" i="1"/>
  <c r="C30" i="1"/>
  <c r="C29" i="1"/>
  <c r="C28" i="1"/>
  <c r="C27" i="1"/>
  <c r="C26" i="1"/>
  <c r="P25" i="1"/>
  <c r="C25" i="1"/>
  <c r="C24" i="1"/>
  <c r="P23" i="1"/>
  <c r="M23" i="1"/>
  <c r="L23" i="1"/>
  <c r="I23" i="1"/>
  <c r="C23" i="1"/>
  <c r="P22" i="1"/>
  <c r="C22" i="1"/>
  <c r="P21" i="1"/>
  <c r="M21" i="1"/>
  <c r="L21" i="1"/>
  <c r="K21" i="1"/>
  <c r="J21" i="1"/>
  <c r="C21" i="1"/>
  <c r="P20" i="1"/>
  <c r="M20" i="1"/>
  <c r="K20" i="1"/>
  <c r="J20" i="1"/>
  <c r="G20" i="1"/>
  <c r="C20" i="1"/>
  <c r="R19" i="1"/>
  <c r="M19" i="1"/>
  <c r="L19" i="1"/>
  <c r="K19" i="1"/>
  <c r="J19" i="1"/>
  <c r="I19" i="1"/>
  <c r="H19" i="1"/>
  <c r="C19" i="1"/>
  <c r="M18" i="1"/>
  <c r="L18" i="1"/>
  <c r="K18" i="1"/>
  <c r="J18" i="1"/>
  <c r="I18" i="1"/>
  <c r="H18" i="1"/>
  <c r="C18" i="1"/>
  <c r="Q17" i="1"/>
  <c r="M17" i="1"/>
  <c r="L17" i="1"/>
  <c r="K17" i="1"/>
  <c r="J17" i="1"/>
  <c r="I17" i="1"/>
  <c r="H17" i="1"/>
  <c r="C17" i="1"/>
  <c r="Q16" i="1"/>
  <c r="K16" i="1"/>
  <c r="J16" i="1"/>
  <c r="G16" i="1"/>
  <c r="G27" i="1" s="1"/>
  <c r="C16" i="1"/>
  <c r="Q15" i="1"/>
  <c r="M15" i="1"/>
  <c r="L15" i="1"/>
  <c r="F3" i="5" s="1"/>
  <c r="K15" i="1"/>
  <c r="J15" i="1"/>
  <c r="I15" i="1"/>
  <c r="C3" i="5" s="1"/>
  <c r="H15" i="1"/>
  <c r="C15" i="1"/>
  <c r="Q14" i="1"/>
  <c r="M14" i="1"/>
  <c r="J14" i="1"/>
  <c r="C14" i="1"/>
  <c r="Q13" i="1"/>
  <c r="L13" i="1"/>
  <c r="K13" i="1"/>
  <c r="K23" i="1" s="1"/>
  <c r="J13" i="1"/>
  <c r="J23" i="1" s="1"/>
  <c r="I13" i="1"/>
  <c r="H13" i="1"/>
  <c r="H23" i="1" s="1"/>
  <c r="C13" i="1"/>
  <c r="Q12" i="1"/>
  <c r="C12" i="1"/>
  <c r="Q11" i="1"/>
  <c r="I11" i="1"/>
  <c r="C11" i="1"/>
  <c r="C10" i="1"/>
  <c r="H3" i="1" s="1"/>
  <c r="S9" i="1"/>
  <c r="G30" i="1" s="1"/>
  <c r="R9" i="1"/>
  <c r="H9" i="1"/>
  <c r="C9" i="1"/>
  <c r="H8" i="1"/>
  <c r="C8" i="1"/>
  <c r="C7" i="1"/>
  <c r="I6" i="1"/>
  <c r="H6" i="1"/>
  <c r="C6" i="1"/>
  <c r="C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C4" i="1"/>
  <c r="H11" i="1" s="1"/>
  <c r="H10" i="1" s="1"/>
  <c r="A4" i="1"/>
  <c r="I3" i="1"/>
  <c r="E3" i="1"/>
  <c r="I37" i="1" s="1"/>
  <c r="I35" i="1" s="1"/>
  <c r="D3" i="1"/>
  <c r="C3" i="1"/>
  <c r="H37" i="1" s="1"/>
  <c r="H35" i="1" s="1"/>
  <c r="B3" i="5"/>
  <c r="D3" i="5"/>
  <c r="E3" i="5"/>
  <c r="G3" i="5"/>
  <c r="D8" i="5"/>
  <c r="E8" i="5"/>
  <c r="G8" i="5"/>
  <c r="D9" i="5"/>
  <c r="E9" i="5"/>
  <c r="F9" i="5"/>
  <c r="G9" i="5"/>
  <c r="A5" i="1" l="1"/>
  <c r="S19" i="1"/>
  <c r="B113" i="3"/>
  <c r="C113" i="3"/>
  <c r="B114" i="3"/>
  <c r="C114" i="3"/>
  <c r="B115" i="3"/>
  <c r="C115" i="3"/>
  <c r="A6" i="1" l="1"/>
  <c r="B110" i="3"/>
  <c r="C110" i="3"/>
  <c r="B111" i="3"/>
  <c r="C111" i="3"/>
  <c r="B112" i="3"/>
  <c r="C112" i="3"/>
  <c r="A7" i="1" l="1"/>
  <c r="I41" i="1"/>
  <c r="L41" i="1" s="1"/>
  <c r="C2" i="4" s="1"/>
  <c r="B5" i="7"/>
  <c r="A8" i="1" l="1"/>
  <c r="H41" i="1"/>
  <c r="K41" i="1" s="1"/>
  <c r="B2" i="4" s="1"/>
  <c r="B107" i="3"/>
  <c r="C107" i="3"/>
  <c r="B108" i="3"/>
  <c r="C108" i="3"/>
  <c r="B109" i="3"/>
  <c r="C109" i="3"/>
  <c r="A9" i="1" l="1"/>
  <c r="C6" i="6"/>
  <c r="B6" i="6"/>
  <c r="A10" i="1" l="1"/>
  <c r="B104" i="3"/>
  <c r="C104" i="3"/>
  <c r="B105" i="3"/>
  <c r="C105" i="3"/>
  <c r="B106" i="3"/>
  <c r="C106" i="3"/>
  <c r="A11" i="1" l="1"/>
  <c r="B3" i="11"/>
  <c r="B4" i="6"/>
  <c r="B4" i="11"/>
  <c r="B2" i="11"/>
  <c r="A3" i="11"/>
  <c r="A4" i="11"/>
  <c r="A2" i="11"/>
  <c r="B3" i="10"/>
  <c r="B4" i="10"/>
  <c r="B5" i="10"/>
  <c r="B6" i="10"/>
  <c r="B7" i="10"/>
  <c r="B8" i="10"/>
  <c r="B9" i="10"/>
  <c r="B10" i="10"/>
  <c r="B2" i="10"/>
  <c r="A3" i="10"/>
  <c r="A4" i="10"/>
  <c r="A5" i="10"/>
  <c r="A6" i="10"/>
  <c r="A7" i="10"/>
  <c r="A8" i="10"/>
  <c r="A9" i="10"/>
  <c r="A10" i="10"/>
  <c r="A2" i="10"/>
  <c r="B3" i="9"/>
  <c r="B4" i="9"/>
  <c r="B5" i="9"/>
  <c r="B6" i="9"/>
  <c r="B7" i="9"/>
  <c r="B8" i="9"/>
  <c r="B9" i="9"/>
  <c r="B10" i="9"/>
  <c r="B11" i="9"/>
  <c r="B2" i="9"/>
  <c r="A10" i="9"/>
  <c r="A11" i="9"/>
  <c r="A3" i="9"/>
  <c r="A4" i="9"/>
  <c r="A5" i="9"/>
  <c r="A6" i="9"/>
  <c r="A7" i="9"/>
  <c r="A8" i="9"/>
  <c r="A9" i="9"/>
  <c r="A2" i="9"/>
  <c r="B3" i="8"/>
  <c r="B4" i="8"/>
  <c r="B5" i="8"/>
  <c r="B2" i="8"/>
  <c r="A3" i="8"/>
  <c r="A4" i="8"/>
  <c r="A5" i="8"/>
  <c r="A2" i="8"/>
  <c r="B3" i="7"/>
  <c r="B4" i="7"/>
  <c r="B2" i="7"/>
  <c r="A3" i="7"/>
  <c r="A4" i="7"/>
  <c r="A5" i="7"/>
  <c r="A2" i="7"/>
  <c r="B3" i="6"/>
  <c r="C2" i="6"/>
  <c r="C3" i="6"/>
  <c r="C4" i="6"/>
  <c r="C1" i="6"/>
  <c r="B1" i="6"/>
  <c r="C1" i="5"/>
  <c r="D1" i="5"/>
  <c r="E1" i="5"/>
  <c r="F1" i="5"/>
  <c r="G1" i="5"/>
  <c r="B1" i="5"/>
  <c r="A1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2" i="3"/>
  <c r="A3" i="3"/>
  <c r="A4" i="3"/>
  <c r="A5" i="3"/>
  <c r="A6" i="3"/>
  <c r="A7" i="3"/>
  <c r="A8" i="3"/>
  <c r="A9" i="3"/>
  <c r="A10" i="3"/>
  <c r="A2" i="3"/>
  <c r="A12" i="1" l="1"/>
  <c r="A11" i="3"/>
  <c r="A13" i="1" l="1"/>
  <c r="A12" i="3"/>
  <c r="G2" i="5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3" i="3"/>
  <c r="B5" i="6"/>
  <c r="A111" i="1" l="1"/>
  <c r="A110" i="3"/>
  <c r="A14" i="3"/>
  <c r="A112" i="1" l="1"/>
  <c r="A111" i="3"/>
  <c r="A15" i="3"/>
  <c r="A113" i="1" l="1"/>
  <c r="A112" i="3"/>
  <c r="A16" i="3"/>
  <c r="A114" i="1" l="1"/>
  <c r="A113" i="3"/>
  <c r="A17" i="3"/>
  <c r="A115" i="1" l="1"/>
  <c r="A114" i="3"/>
  <c r="A18" i="3"/>
  <c r="A116" i="1" l="1"/>
  <c r="A117" i="1" s="1"/>
  <c r="A118" i="1" s="1"/>
  <c r="A115" i="3"/>
  <c r="A19" i="3"/>
  <c r="S12" i="1" l="1"/>
  <c r="R15" i="1"/>
  <c r="R13" i="1"/>
  <c r="I47" i="1"/>
  <c r="S11" i="1"/>
  <c r="S16" i="1"/>
  <c r="R14" i="1"/>
  <c r="H51" i="1"/>
  <c r="K51" i="1" s="1"/>
  <c r="I42" i="1"/>
  <c r="L42" i="1" s="1"/>
  <c r="C3" i="4" s="1"/>
  <c r="H44" i="1"/>
  <c r="I43" i="1"/>
  <c r="L43" i="1" s="1"/>
  <c r="C4" i="4" s="1"/>
  <c r="H48" i="1"/>
  <c r="R12" i="1"/>
  <c r="S15" i="1"/>
  <c r="H50" i="1"/>
  <c r="K50" i="1" s="1"/>
  <c r="B11" i="4" s="1"/>
  <c r="H47" i="1"/>
  <c r="K47" i="1" s="1"/>
  <c r="B8" i="4" s="1"/>
  <c r="I44" i="1"/>
  <c r="L44" i="1" s="1"/>
  <c r="C5" i="4" s="1"/>
  <c r="S13" i="1"/>
  <c r="H46" i="1"/>
  <c r="H42" i="1"/>
  <c r="K42" i="1" s="1"/>
  <c r="B3" i="4" s="1"/>
  <c r="I50" i="1"/>
  <c r="I48" i="1"/>
  <c r="L48" i="1" s="1"/>
  <c r="C9" i="4" s="1"/>
  <c r="I45" i="1"/>
  <c r="L45" i="1" s="1"/>
  <c r="C6" i="4" s="1"/>
  <c r="I49" i="1"/>
  <c r="L49" i="1" s="1"/>
  <c r="C10" i="4" s="1"/>
  <c r="H49" i="1"/>
  <c r="K49" i="1" s="1"/>
  <c r="B10" i="4" s="1"/>
  <c r="H43" i="1"/>
  <c r="K43" i="1" s="1"/>
  <c r="B4" i="4" s="1"/>
  <c r="I51" i="1"/>
  <c r="R17" i="1"/>
  <c r="I46" i="1"/>
  <c r="R11" i="1"/>
  <c r="R16" i="1"/>
  <c r="H45" i="1"/>
  <c r="K45" i="1" s="1"/>
  <c r="B6" i="4" s="1"/>
  <c r="S17" i="1"/>
  <c r="S14" i="1"/>
  <c r="A20" i="3"/>
  <c r="R22" i="1" l="1"/>
  <c r="R28" i="1"/>
  <c r="R20" i="1"/>
  <c r="H24" i="1" s="1"/>
  <c r="H14" i="1" s="1"/>
  <c r="R23" i="1"/>
  <c r="R24" i="1" s="1"/>
  <c r="K24" i="1" s="1"/>
  <c r="K14" i="1" s="1"/>
  <c r="R25" i="1"/>
  <c r="R26" i="1" s="1"/>
  <c r="L24" i="1" s="1"/>
  <c r="L14" i="1" s="1"/>
  <c r="R27" i="1"/>
  <c r="H34" i="1" s="1"/>
  <c r="R21" i="1"/>
  <c r="I24" i="1" s="1"/>
  <c r="I14" i="1" s="1"/>
  <c r="K48" i="1"/>
  <c r="B9" i="4" s="1"/>
  <c r="L47" i="1"/>
  <c r="C8" i="4" s="1"/>
  <c r="L50" i="1"/>
  <c r="C11" i="4" s="1"/>
  <c r="L51" i="1"/>
  <c r="K46" i="1"/>
  <c r="B7" i="4" s="1"/>
  <c r="K44" i="1"/>
  <c r="B5" i="4" s="1"/>
  <c r="L46" i="1"/>
  <c r="C7" i="4" s="1"/>
  <c r="S28" i="1"/>
  <c r="M27" i="1" s="1"/>
  <c r="S22" i="1"/>
  <c r="S20" i="1"/>
  <c r="H27" i="1" s="1"/>
  <c r="S23" i="1"/>
  <c r="S24" i="1" s="1"/>
  <c r="S25" i="1"/>
  <c r="S26" i="1" s="1"/>
  <c r="L27" i="1" s="1"/>
  <c r="S27" i="1"/>
  <c r="I34" i="1" s="1"/>
  <c r="S21" i="1"/>
  <c r="I27" i="1" s="1"/>
  <c r="A21" i="3"/>
  <c r="M16" i="1" l="1"/>
  <c r="I36" i="1"/>
  <c r="L16" i="1"/>
  <c r="L30" i="1"/>
  <c r="L20" i="1" s="1"/>
  <c r="F8" i="5" s="1"/>
  <c r="I30" i="1"/>
  <c r="I20" i="1" s="1"/>
  <c r="C8" i="5" s="1"/>
  <c r="I16" i="1"/>
  <c r="H30" i="1"/>
  <c r="H20" i="1" s="1"/>
  <c r="B8" i="5" s="1"/>
  <c r="H16" i="1"/>
  <c r="A22" i="3"/>
  <c r="I10" i="1" l="1"/>
  <c r="H7" i="1"/>
  <c r="A23" i="3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C2" i="5" l="1"/>
  <c r="B2" i="5"/>
  <c r="F2" i="5"/>
  <c r="D2" i="5"/>
  <c r="E2" i="5"/>
  <c r="C5" i="6" l="1"/>
  <c r="B2" i="6"/>
</calcChain>
</file>

<file path=xl/sharedStrings.xml><?xml version="1.0" encoding="utf-8"?>
<sst xmlns="http://schemas.openxmlformats.org/spreadsheetml/2006/main" count="164" uniqueCount="111">
  <si>
    <t>Date</t>
  </si>
  <si>
    <t>% Return</t>
  </si>
  <si>
    <t>CURRENT</t>
  </si>
  <si>
    <t>Risk Free Rate:</t>
  </si>
  <si>
    <t>Months:</t>
  </si>
  <si>
    <t>Inception</t>
  </si>
  <si>
    <t>Current</t>
  </si>
  <si>
    <t>% positive months</t>
  </si>
  <si>
    <t>Cumulative Return</t>
  </si>
  <si>
    <t>Ann. Inception</t>
  </si>
  <si>
    <t># positive months</t>
  </si>
  <si>
    <t>Share Class/Benchmark</t>
  </si>
  <si>
    <t>Since Inception*</t>
  </si>
  <si>
    <t>Class A</t>
  </si>
  <si>
    <t>Class C</t>
  </si>
  <si>
    <t>Class A w/ Sales Charge</t>
  </si>
  <si>
    <t>1YR</t>
  </si>
  <si>
    <t>CUMULATIVE</t>
  </si>
  <si>
    <t>Cumm. Inception</t>
  </si>
  <si>
    <t>PORTFOLIO CHARACTERISTICS</t>
  </si>
  <si>
    <t>partial</t>
  </si>
  <si>
    <t>COLOR CODES</t>
  </si>
  <si>
    <t>From Gemini</t>
  </si>
  <si>
    <t>Included in Fact Sheet</t>
  </si>
  <si>
    <t>Not in Fact Sheet</t>
  </si>
  <si>
    <t>Sector Allocation</t>
  </si>
  <si>
    <t>Top Holdings</t>
  </si>
  <si>
    <t>CAXAX</t>
  </si>
  <si>
    <t>MSCI ACWI, G</t>
  </si>
  <si>
    <t>3YRS</t>
  </si>
  <si>
    <t>3YR ANN.</t>
  </si>
  <si>
    <t>Number of Holdings</t>
  </si>
  <si>
    <t>Wtd. Avg. Market Cap.</t>
  </si>
  <si>
    <t>Turnover</t>
  </si>
  <si>
    <t>Less than $500MM</t>
  </si>
  <si>
    <t>$500MM - $2BN</t>
  </si>
  <si>
    <t>$2BN - $7BN</t>
  </si>
  <si>
    <t>Greater than $7BN</t>
  </si>
  <si>
    <t>CAPITALIZATION COMPOSITE</t>
  </si>
  <si>
    <t>REGIONAL ALLOCATION</t>
  </si>
  <si>
    <t>U.S.</t>
  </si>
  <si>
    <t>Intl. Developed Markets</t>
  </si>
  <si>
    <t>Intl. Emerging Markets</t>
  </si>
  <si>
    <t>Tetra Tech Inc</t>
  </si>
  <si>
    <t>Australia</t>
  </si>
  <si>
    <t>Canada</t>
  </si>
  <si>
    <t>Switzerland</t>
  </si>
  <si>
    <t>France</t>
  </si>
  <si>
    <t>United Kingdom</t>
  </si>
  <si>
    <t>United States</t>
  </si>
  <si>
    <t>South Africa</t>
  </si>
  <si>
    <t>D</t>
  </si>
  <si>
    <t>US</t>
  </si>
  <si>
    <t>5YRS</t>
  </si>
  <si>
    <t>5YR ANN.</t>
  </si>
  <si>
    <t>CUT &amp; PASTE FACT SHEET</t>
  </si>
  <si>
    <t>EM</t>
  </si>
  <si>
    <t>QTD</t>
  </si>
  <si>
    <t>YTD</t>
  </si>
  <si>
    <t>Data from MAP</t>
  </si>
  <si>
    <t>Bunge LTD</t>
  </si>
  <si>
    <t>Class I</t>
  </si>
  <si>
    <t>Thailand</t>
  </si>
  <si>
    <t>Mexico</t>
  </si>
  <si>
    <t>CAXIX</t>
  </si>
  <si>
    <t>MSCI ACWI</t>
  </si>
  <si>
    <t>Cisco Systems Inc</t>
  </si>
  <si>
    <t>ACWI</t>
  </si>
  <si>
    <t>ID</t>
  </si>
  <si>
    <t>Label</t>
  </si>
  <si>
    <t>Value</t>
  </si>
  <si>
    <t>Novartis AG-ADR</t>
  </si>
  <si>
    <t>P/E Ratio</t>
  </si>
  <si>
    <t>Sprott Physical Gold &amp; Silver Trust</t>
  </si>
  <si>
    <t>Indonesia</t>
  </si>
  <si>
    <t>eBay Inc</t>
  </si>
  <si>
    <t>Alpha:</t>
  </si>
  <si>
    <t>Beta:</t>
  </si>
  <si>
    <t>R-squared:</t>
  </si>
  <si>
    <t>Sharpe Ratio:</t>
  </si>
  <si>
    <t>Standard Deviation:</t>
  </si>
  <si>
    <t>2011 YTD</t>
  </si>
  <si>
    <t>Belgium</t>
  </si>
  <si>
    <t>Finland</t>
  </si>
  <si>
    <t>Groupe Bruxelles Lambert SA</t>
  </si>
  <si>
    <t>Japan</t>
  </si>
  <si>
    <t>Alpha (vs. MSCI ACWI)</t>
  </si>
  <si>
    <t>Beta (vs. MSCI ACWI)</t>
  </si>
  <si>
    <t>R-Squared (vs. MSCI ACWI)</t>
  </si>
  <si>
    <t>Sharpe Ratio</t>
  </si>
  <si>
    <t>Standard Deviation</t>
  </si>
  <si>
    <t>MAP</t>
  </si>
  <si>
    <t>Kratos Defense &amp; Security</t>
  </si>
  <si>
    <t>CONSUMER STAPLES</t>
  </si>
  <si>
    <t>INFORMATION TECHNOLOGY</t>
  </si>
  <si>
    <t>HEALTH CARE</t>
  </si>
  <si>
    <t>COMMUNICATION SERVICES</t>
  </si>
  <si>
    <t>INDUSTRIALS</t>
  </si>
  <si>
    <t>MATERIALS</t>
  </si>
  <si>
    <t>UTILITIES</t>
  </si>
  <si>
    <t>FINANCIALS</t>
  </si>
  <si>
    <t>CONSUMER DISCRETIONARY</t>
  </si>
  <si>
    <t xml:space="preserve">                           </t>
  </si>
  <si>
    <t>Micron Technology Inc</t>
  </si>
  <si>
    <t>MSCI ACWI Value</t>
  </si>
  <si>
    <t>need to adjust next quarter</t>
  </si>
  <si>
    <t>MSCI ACWI Value, G</t>
  </si>
  <si>
    <t>BB COMP: M2WD000V INDEX</t>
  </si>
  <si>
    <t>https://www.msci.com/documents/10199/9446b2a4-0820-495e-87e1-6291f7530293</t>
  </si>
  <si>
    <t>Mosaic Co</t>
  </si>
  <si>
    <t>2021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</si>
</sst>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_(* #,##0.0_);_(* \(#,##0.0\);_(* &quot;-&quot;??_);_(@_)"/>
    <numFmt numFmtId="168" formatCode="0.000%"/>
    <numFmt numFmtId="169" formatCode="0.0000%"/>
    <numFmt numFmtId="170" formatCode="&quot;$&quot;#,##0.00"/>
    <numFmt numFmtId="171" formatCode="[$-10409]#,##0.00;\(#,##0.00\)"/>
    <numFmt numFmtId="172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sz val="8.5"/>
      <color rgb="FF000000"/>
      <name val="Roboto Condensed Light"/>
    </font>
    <font>
      <sz val="8.5"/>
      <color rgb="FF000000"/>
      <name val="Roboto Condensed"/>
    </font>
    <font>
      <sz val="10"/>
      <color rgb="FFFF0000"/>
      <name val="Calibri"/>
      <family val="2"/>
      <scheme val="minor"/>
    </font>
    <font>
      <b/>
      <sz val="8.5"/>
      <color theme="1"/>
      <name val="Roboto Condensed Light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Univers LT Std 47 Cn Lt"/>
      <family val="2"/>
    </font>
    <font>
      <sz val="8.5"/>
      <name val="Roboto Condensed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F2F2F2"/>
      </top>
      <bottom style="thin">
        <color rgb="FFF2F2F2"/>
      </bottom>
      <diagonal/>
    </border>
    <border>
      <left style="medium">
        <color indexed="64"/>
      </left>
      <right/>
      <top/>
      <bottom style="thin">
        <color rgb="FFF2F2F2"/>
      </bottom>
      <diagonal/>
    </border>
    <border>
      <left/>
      <right style="medium">
        <color indexed="64"/>
      </right>
      <top/>
      <bottom style="thin">
        <color rgb="FFF2F2F2"/>
      </bottom>
      <diagonal/>
    </border>
    <border>
      <left style="medium">
        <color indexed="64"/>
      </left>
      <right/>
      <top style="thin">
        <color rgb="FFF2F2F2"/>
      </top>
      <bottom style="thin">
        <color rgb="FFF2F2F2"/>
      </bottom>
      <diagonal/>
    </border>
    <border>
      <left style="medium">
        <color indexed="64"/>
      </left>
      <right/>
      <top style="thin">
        <color rgb="FFF2F2F2"/>
      </top>
      <bottom/>
      <diagonal/>
    </border>
    <border>
      <left/>
      <right style="medium">
        <color indexed="64"/>
      </right>
      <top style="thin">
        <color rgb="FFF2F2F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>
      <alignment wrapText="1"/>
    </xf>
  </cellStyleXfs>
  <cellXfs count="18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13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5" fillId="0" borderId="0" xfId="3" applyFont="1" applyAlignment="1">
      <alignment vertical="center"/>
    </xf>
    <xf numFmtId="10" fontId="5" fillId="0" borderId="0" xfId="2" applyNumberFormat="1" applyFont="1" applyAlignment="1">
      <alignment vertical="center"/>
    </xf>
    <xf numFmtId="43" fontId="5" fillId="0" borderId="0" xfId="1" applyFont="1" applyAlignment="1">
      <alignment vertical="center"/>
    </xf>
    <xf numFmtId="0" fontId="0" fillId="4" borderId="0" xfId="0" applyFill="1" applyAlignment="1">
      <alignment vertical="center"/>
    </xf>
    <xf numFmtId="0" fontId="3" fillId="0" borderId="16" xfId="0" applyFont="1" applyBorder="1" applyAlignment="1">
      <alignment vertical="center"/>
    </xf>
    <xf numFmtId="10" fontId="0" fillId="0" borderId="5" xfId="2" applyNumberFormat="1" applyFont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vertical="center"/>
    </xf>
    <xf numFmtId="10" fontId="4" fillId="6" borderId="5" xfId="2" applyNumberFormat="1" applyFont="1" applyFill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166" fontId="7" fillId="0" borderId="21" xfId="2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0" xfId="1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2" fillId="0" borderId="20" xfId="0" applyFont="1" applyBorder="1" applyAlignment="1">
      <alignment vertical="center"/>
    </xf>
    <xf numFmtId="14" fontId="13" fillId="0" borderId="0" xfId="0" applyNumberFormat="1" applyFont="1" applyAlignment="1">
      <alignment horizontal="center" vertical="center"/>
    </xf>
    <xf numFmtId="165" fontId="14" fillId="0" borderId="10" xfId="1" applyNumberFormat="1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167" fontId="14" fillId="0" borderId="12" xfId="1" applyNumberFormat="1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/>
    </xf>
    <xf numFmtId="14" fontId="16" fillId="3" borderId="9" xfId="0" applyNumberFormat="1" applyFont="1" applyFill="1" applyBorder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169" fontId="16" fillId="3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43" fontId="21" fillId="0" borderId="9" xfId="1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43" fontId="21" fillId="0" borderId="0" xfId="1" applyFont="1" applyAlignment="1">
      <alignment vertical="center"/>
    </xf>
    <xf numFmtId="43" fontId="22" fillId="0" borderId="9" xfId="0" applyNumberFormat="1" applyFont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0" fontId="22" fillId="5" borderId="20" xfId="0" applyFont="1" applyFill="1" applyBorder="1" applyAlignment="1">
      <alignment vertical="center"/>
    </xf>
    <xf numFmtId="10" fontId="23" fillId="0" borderId="9" xfId="2" applyNumberFormat="1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2" fontId="23" fillId="0" borderId="9" xfId="1" applyNumberFormat="1" applyFont="1" applyBorder="1" applyAlignment="1">
      <alignment horizontal="center" vertical="center"/>
    </xf>
    <xf numFmtId="2" fontId="24" fillId="0" borderId="9" xfId="0" applyNumberFormat="1" applyFont="1" applyBorder="1" applyAlignment="1">
      <alignment horizontal="center" vertical="center"/>
    </xf>
    <xf numFmtId="10" fontId="24" fillId="0" borderId="9" xfId="2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left" vertical="center" readingOrder="1"/>
    </xf>
    <xf numFmtId="0" fontId="25" fillId="0" borderId="9" xfId="0" applyFont="1" applyBorder="1" applyAlignment="1">
      <alignment horizontal="center" vertical="center" readingOrder="1"/>
    </xf>
    <xf numFmtId="0" fontId="25" fillId="0" borderId="21" xfId="0" applyFont="1" applyBorder="1" applyAlignment="1">
      <alignment horizontal="center" vertical="center" readingOrder="1"/>
    </xf>
    <xf numFmtId="0" fontId="26" fillId="5" borderId="20" xfId="0" applyFont="1" applyFill="1" applyBorder="1" applyAlignment="1">
      <alignment horizontal="left" vertical="center" readingOrder="1"/>
    </xf>
    <xf numFmtId="2" fontId="27" fillId="0" borderId="9" xfId="0" applyNumberFormat="1" applyFont="1" applyBorder="1" applyAlignment="1">
      <alignment horizontal="center" vertical="center" readingOrder="1"/>
    </xf>
    <xf numFmtId="2" fontId="27" fillId="0" borderId="21" xfId="0" applyNumberFormat="1" applyFont="1" applyBorder="1" applyAlignment="1">
      <alignment horizontal="center" vertical="center" readingOrder="1"/>
    </xf>
    <xf numFmtId="165" fontId="28" fillId="5" borderId="20" xfId="0" applyNumberFormat="1" applyFont="1" applyFill="1" applyBorder="1" applyAlignment="1">
      <alignment horizontal="left" vertical="center" readingOrder="1"/>
    </xf>
    <xf numFmtId="2" fontId="29" fillId="0" borderId="9" xfId="0" applyNumberFormat="1" applyFont="1" applyBorder="1" applyAlignment="1">
      <alignment horizontal="center" vertical="center" readingOrder="1"/>
    </xf>
    <xf numFmtId="0" fontId="25" fillId="0" borderId="15" xfId="0" applyFont="1" applyBorder="1" applyAlignment="1">
      <alignment horizontal="center" vertical="center" readingOrder="1"/>
    </xf>
    <xf numFmtId="43" fontId="22" fillId="0" borderId="18" xfId="0" applyNumberFormat="1" applyFont="1" applyBorder="1" applyAlignment="1">
      <alignment horizontal="center" vertical="center"/>
    </xf>
    <xf numFmtId="43" fontId="22" fillId="0" borderId="19" xfId="0" applyNumberFormat="1" applyFont="1" applyBorder="1" applyAlignment="1">
      <alignment horizontal="center" vertical="center"/>
    </xf>
    <xf numFmtId="0" fontId="26" fillId="5" borderId="9" xfId="0" applyFont="1" applyFill="1" applyBorder="1" applyAlignment="1">
      <alignment horizontal="left" vertical="center" readingOrder="1"/>
    </xf>
    <xf numFmtId="165" fontId="28" fillId="5" borderId="9" xfId="0" applyNumberFormat="1" applyFont="1" applyFill="1" applyBorder="1" applyAlignment="1">
      <alignment horizontal="left" vertical="center" readingOrder="1"/>
    </xf>
    <xf numFmtId="0" fontId="22" fillId="7" borderId="9" xfId="0" applyFont="1" applyFill="1" applyBorder="1" applyAlignment="1">
      <alignment vertical="center"/>
    </xf>
    <xf numFmtId="166" fontId="23" fillId="0" borderId="9" xfId="2" applyNumberFormat="1" applyFont="1" applyBorder="1" applyAlignment="1">
      <alignment horizontal="center" vertical="center"/>
    </xf>
    <xf numFmtId="166" fontId="24" fillId="0" borderId="9" xfId="2" applyNumberFormat="1" applyFont="1" applyBorder="1" applyAlignment="1">
      <alignment horizontal="center" vertical="center"/>
    </xf>
    <xf numFmtId="0" fontId="30" fillId="7" borderId="9" xfId="0" applyFont="1" applyFill="1" applyBorder="1" applyAlignment="1">
      <alignment vertical="center"/>
    </xf>
    <xf numFmtId="0" fontId="26" fillId="5" borderId="9" xfId="0" applyFont="1" applyFill="1" applyBorder="1" applyAlignment="1">
      <alignment horizontal="center" vertical="center" readingOrder="1"/>
    </xf>
    <xf numFmtId="10" fontId="5" fillId="4" borderId="9" xfId="0" applyNumberFormat="1" applyFont="1" applyFill="1" applyBorder="1" applyAlignment="1">
      <alignment horizontal="center" vertical="center"/>
    </xf>
    <xf numFmtId="170" fontId="7" fillId="0" borderId="9" xfId="3" applyNumberFormat="1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0" fontId="0" fillId="0" borderId="0" xfId="0" applyAlignment="1">
      <alignment horizontal="right"/>
    </xf>
    <xf numFmtId="172" fontId="0" fillId="0" borderId="0" xfId="0" applyNumberFormat="1"/>
    <xf numFmtId="14" fontId="0" fillId="0" borderId="0" xfId="0" applyNumberFormat="1"/>
    <xf numFmtId="172" fontId="0" fillId="0" borderId="0" xfId="0" applyNumberFormat="1" applyAlignment="1">
      <alignment horizontal="right"/>
    </xf>
    <xf numFmtId="0" fontId="1" fillId="0" borderId="0" xfId="0" applyFont="1" applyAlignment="1">
      <alignment vertical="center"/>
    </xf>
    <xf numFmtId="0" fontId="2" fillId="2" borderId="9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71" fontId="5" fillId="0" borderId="12" xfId="1" applyNumberFormat="1" applyFont="1" applyBorder="1" applyAlignment="1">
      <alignment vertical="center"/>
    </xf>
    <xf numFmtId="10" fontId="5" fillId="0" borderId="0" xfId="2" applyNumberFormat="1" applyFont="1" applyAlignment="1">
      <alignment horizontal="center" vertical="center"/>
    </xf>
    <xf numFmtId="10" fontId="5" fillId="0" borderId="25" xfId="2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4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165" fontId="5" fillId="0" borderId="5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4" fontId="5" fillId="3" borderId="0" xfId="0" applyNumberFormat="1" applyFont="1" applyFill="1" applyAlignment="1">
      <alignment vertical="center"/>
    </xf>
    <xf numFmtId="0" fontId="5" fillId="0" borderId="6" xfId="0" applyFont="1" applyBorder="1" applyAlignment="1">
      <alignment vertical="center"/>
    </xf>
    <xf numFmtId="14" fontId="5" fillId="0" borderId="7" xfId="0" applyNumberFormat="1" applyFont="1" applyBorder="1" applyAlignment="1">
      <alignment vertical="center"/>
    </xf>
    <xf numFmtId="165" fontId="5" fillId="0" borderId="7" xfId="1" applyNumberFormat="1" applyFont="1" applyBorder="1" applyAlignment="1">
      <alignment horizontal="center" vertical="center"/>
    </xf>
    <xf numFmtId="165" fontId="5" fillId="0" borderId="8" xfId="1" applyNumberFormat="1" applyFont="1" applyBorder="1" applyAlignment="1">
      <alignment horizontal="center" vertical="center"/>
    </xf>
    <xf numFmtId="10" fontId="5" fillId="0" borderId="9" xfId="2" applyNumberFormat="1" applyFont="1" applyBorder="1" applyAlignment="1">
      <alignment horizontal="center" vertical="center"/>
    </xf>
    <xf numFmtId="10" fontId="5" fillId="0" borderId="21" xfId="2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0" fontId="5" fillId="0" borderId="9" xfId="0" applyNumberFormat="1" applyFont="1" applyBorder="1" applyAlignment="1">
      <alignment horizontal="center" vertical="center"/>
    </xf>
    <xf numFmtId="10" fontId="5" fillId="4" borderId="9" xfId="2" applyNumberFormat="1" applyFont="1" applyFill="1" applyBorder="1" applyAlignment="1">
      <alignment horizontal="center" vertical="center"/>
    </xf>
    <xf numFmtId="168" fontId="5" fillId="0" borderId="9" xfId="2" applyNumberFormat="1" applyFont="1" applyBorder="1" applyAlignment="1">
      <alignment horizontal="center" vertical="center"/>
    </xf>
    <xf numFmtId="10" fontId="1" fillId="0" borderId="0" xfId="2" applyNumberFormat="1" applyFont="1" applyAlignment="1">
      <alignment vertical="center"/>
    </xf>
    <xf numFmtId="10" fontId="5" fillId="0" borderId="23" xfId="2" applyNumberFormat="1" applyFont="1" applyBorder="1" applyAlignment="1">
      <alignment horizontal="center" vertical="center"/>
    </xf>
    <xf numFmtId="10" fontId="5" fillId="0" borderId="24" xfId="2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4" fontId="1" fillId="3" borderId="0" xfId="0" applyNumberFormat="1" applyFont="1" applyFill="1" applyAlignment="1">
      <alignment vertical="center"/>
    </xf>
    <xf numFmtId="3" fontId="1" fillId="0" borderId="0" xfId="0" applyNumberFormat="1" applyFont="1" applyAlignment="1">
      <alignment horizontal="center" vertical="center"/>
    </xf>
    <xf numFmtId="171" fontId="5" fillId="4" borderId="12" xfId="1" applyNumberFormat="1" applyFont="1" applyFill="1" applyBorder="1" applyAlignment="1">
      <alignment vertical="center"/>
    </xf>
    <xf numFmtId="10" fontId="5" fillId="4" borderId="25" xfId="2" applyNumberFormat="1" applyFont="1" applyFill="1" applyBorder="1" applyAlignment="1">
      <alignment horizontal="center" vertical="center"/>
    </xf>
    <xf numFmtId="171" fontId="5" fillId="0" borderId="12" xfId="1" applyNumberFormat="1" applyFont="1" applyBorder="1" applyAlignment="1">
      <alignment horizontal="center" vertical="center"/>
    </xf>
    <xf numFmtId="165" fontId="5" fillId="0" borderId="12" xfId="1" applyNumberFormat="1" applyFont="1" applyBorder="1" applyAlignment="1">
      <alignment vertical="center"/>
    </xf>
    <xf numFmtId="167" fontId="5" fillId="0" borderId="12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10" fontId="0" fillId="0" borderId="0" xfId="0" applyNumberFormat="1"/>
    <xf numFmtId="3" fontId="5" fillId="4" borderId="12" xfId="1" applyNumberFormat="1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2" fontId="32" fillId="0" borderId="21" xfId="0" applyNumberFormat="1" applyFont="1" applyBorder="1" applyAlignment="1">
      <alignment horizontal="center" vertical="center" readingOrder="1"/>
    </xf>
    <xf numFmtId="2" fontId="0" fillId="0" borderId="0" xfId="0" applyNumberFormat="1" applyAlignment="1">
      <alignment vertical="center"/>
    </xf>
    <xf numFmtId="0" fontId="3" fillId="6" borderId="1" xfId="0" applyFont="1" applyFill="1" applyBorder="1" applyAlignment="1">
      <alignment vertical="center"/>
    </xf>
    <xf numFmtId="10" fontId="4" fillId="6" borderId="4" xfId="2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wrapText="1" readingOrder="1"/>
    </xf>
    <xf numFmtId="0" fontId="9" fillId="0" borderId="31" xfId="0" applyFont="1" applyBorder="1" applyAlignment="1">
      <alignment wrapText="1" readingOrder="1"/>
    </xf>
    <xf numFmtId="0" fontId="5" fillId="0" borderId="0" xfId="1" applyNumberFormat="1" applyFont="1" applyFill="1" applyAlignment="1">
      <alignment vertical="center"/>
    </xf>
    <xf numFmtId="43" fontId="5" fillId="0" borderId="0" xfId="1" applyFont="1" applyFill="1" applyAlignment="1">
      <alignment vertical="center"/>
    </xf>
    <xf numFmtId="166" fontId="33" fillId="0" borderId="9" xfId="2" applyNumberFormat="1" applyFont="1" applyBorder="1" applyAlignment="1">
      <alignment horizontal="center" vertical="center"/>
    </xf>
    <xf numFmtId="0" fontId="9" fillId="0" borderId="33" xfId="0" applyFont="1" applyBorder="1" applyAlignment="1">
      <alignment wrapText="1" readingOrder="1"/>
    </xf>
    <xf numFmtId="0" fontId="9" fillId="0" borderId="34" xfId="0" applyFont="1" applyBorder="1" applyAlignment="1">
      <alignment wrapText="1" readingOrder="1"/>
    </xf>
    <xf numFmtId="0" fontId="5" fillId="0" borderId="0" xfId="2" applyNumberFormat="1" applyFont="1" applyAlignment="1">
      <alignment vertical="center"/>
    </xf>
    <xf numFmtId="43" fontId="5" fillId="4" borderId="0" xfId="1" applyFont="1" applyFill="1" applyAlignment="1">
      <alignment vertical="center"/>
    </xf>
    <xf numFmtId="10" fontId="0" fillId="0" borderId="0" xfId="2" applyNumberFormat="1" applyFont="1" applyAlignment="1">
      <alignment vertical="center"/>
    </xf>
    <xf numFmtId="166" fontId="7" fillId="3" borderId="9" xfId="2" applyNumberFormat="1" applyFont="1" applyFill="1" applyBorder="1" applyAlignment="1">
      <alignment horizontal="center" vertical="center"/>
    </xf>
    <xf numFmtId="10" fontId="10" fillId="0" borderId="32" xfId="2" applyNumberFormat="1" applyFont="1" applyFill="1" applyBorder="1" applyAlignment="1">
      <alignment wrapText="1" readingOrder="1"/>
    </xf>
    <xf numFmtId="10" fontId="10" fillId="0" borderId="30" xfId="2" applyNumberFormat="1" applyFont="1" applyFill="1" applyBorder="1" applyAlignment="1">
      <alignment wrapText="1" readingOrder="1"/>
    </xf>
    <xf numFmtId="0" fontId="5" fillId="0" borderId="0" xfId="2" applyNumberFormat="1" applyFont="1" applyFill="1" applyAlignment="1">
      <alignment vertical="center"/>
    </xf>
    <xf numFmtId="10" fontId="10" fillId="0" borderId="4" xfId="2" applyNumberFormat="1" applyFont="1" applyFill="1" applyBorder="1" applyAlignment="1">
      <alignment wrapText="1" readingOrder="1"/>
    </xf>
    <xf numFmtId="10" fontId="10" fillId="0" borderId="35" xfId="2" applyNumberFormat="1" applyFont="1" applyFill="1" applyBorder="1" applyAlignment="1">
      <alignment wrapText="1" readingOrder="1"/>
    </xf>
    <xf numFmtId="0" fontId="9" fillId="0" borderId="16" xfId="0" applyFont="1" applyBorder="1" applyAlignment="1">
      <alignment wrapText="1" readingOrder="1"/>
    </xf>
    <xf numFmtId="10" fontId="10" fillId="0" borderId="36" xfId="2" applyNumberFormat="1" applyFont="1" applyFill="1" applyBorder="1" applyAlignment="1">
      <alignment wrapText="1" readingOrder="1"/>
    </xf>
    <xf numFmtId="0" fontId="0" fillId="0" borderId="2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7" xfId="0" applyBorder="1" applyAlignment="1">
      <alignment vertical="center"/>
    </xf>
    <xf numFmtId="10" fontId="20" fillId="0" borderId="0" xfId="2" applyNumberFormat="1" applyFont="1" applyAlignment="1">
      <alignment vertical="center"/>
    </xf>
    <xf numFmtId="165" fontId="22" fillId="0" borderId="4" xfId="0" applyNumberFormat="1" applyFont="1" applyBorder="1" applyAlignment="1">
      <alignment horizontal="center" vertical="center"/>
    </xf>
    <xf numFmtId="165" fontId="22" fillId="0" borderId="17" xfId="0" applyNumberFormat="1" applyFont="1" applyBorder="1" applyAlignment="1">
      <alignment horizontal="center" vertical="center"/>
    </xf>
    <xf numFmtId="43" fontId="14" fillId="0" borderId="3" xfId="0" applyNumberFormat="1" applyFont="1" applyBorder="1" applyAlignment="1">
      <alignment horizontal="center" vertical="center" wrapText="1"/>
    </xf>
    <xf numFmtId="43" fontId="14" fillId="0" borderId="13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8">
    <cellStyle name="Comma" xfId="1" builtinId="3"/>
    <cellStyle name="Currency" xfId="3" builtinId="4"/>
    <cellStyle name="Normal" xfId="0" builtinId="0"/>
    <cellStyle name="Normal 2" xfId="4" xr:uid="{00000000-0005-0000-0000-000003000000}"/>
    <cellStyle name="Normal 3" xfId="6" xr:uid="{00000000-0005-0000-0000-000004000000}"/>
    <cellStyle name="Percent" xfId="2" builtinId="5"/>
    <cellStyle name="Percent 2" xfId="5" xr:uid="{00000000-0005-0000-0000-000006000000}"/>
    <cellStyle name="Percent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S142"/>
  <sheetViews>
    <sheetView tabSelected="1" topLeftCell="A4" zoomScale="115" zoomScaleNormal="115" workbookViewId="0">
      <selection activeCell="A3" sqref="A3"/>
    </sheetView>
  </sheetViews>
  <sheetFormatPr defaultColWidth="9.140625" defaultRowHeight="15" outlineLevelRow="1" x14ac:dyDescent="0.25"/>
  <cols>
    <col min="1" max="1" width="10.5703125" style="33" bestFit="1" customWidth="1"/>
    <col min="2" max="2" width="8.85546875" style="122" bestFit="1" customWidth="1"/>
    <col min="3" max="3" width="8.28515625" style="124" bestFit="1" customWidth="1"/>
    <col min="4" max="4" width="9.140625" style="123" bestFit="1" customWidth="1"/>
    <col min="5" max="5" width="8.28515625" style="125" bestFit="1" customWidth="1"/>
    <col min="6" max="6" width="9.140625" style="75"/>
    <col min="7" max="7" width="19" style="75" bestFit="1" customWidth="1"/>
    <col min="8" max="8" width="11.5703125" style="75" customWidth="1"/>
    <col min="9" max="9" width="13.140625" style="77" bestFit="1" customWidth="1"/>
    <col min="10" max="10" width="13.7109375" style="77" bestFit="1" customWidth="1"/>
    <col min="11" max="12" width="13.5703125" style="77" customWidth="1"/>
    <col min="13" max="13" width="13.140625" style="77" bestFit="1" customWidth="1"/>
    <col min="14" max="14" width="8.85546875" style="75" bestFit="1" customWidth="1"/>
    <col min="15" max="15" width="4.42578125" style="75" customWidth="1"/>
    <col min="16" max="16" width="9.42578125" style="75" bestFit="1" customWidth="1"/>
    <col min="17" max="17" width="10.5703125" style="75" bestFit="1" customWidth="1"/>
    <col min="18" max="18" width="10.140625" style="75" bestFit="1" customWidth="1"/>
    <col min="19" max="19" width="12.28515625" style="75" bestFit="1" customWidth="1"/>
    <col min="20" max="16384" width="9.140625" style="75"/>
  </cols>
  <sheetData>
    <row r="1" spans="1:19" ht="32.25" customHeight="1" x14ac:dyDescent="0.25">
      <c r="A1" s="27" t="s">
        <v>0</v>
      </c>
      <c r="B1" s="28" t="s">
        <v>27</v>
      </c>
      <c r="C1" s="29" t="s">
        <v>1</v>
      </c>
      <c r="D1" s="30" t="s">
        <v>28</v>
      </c>
      <c r="E1" s="31" t="s">
        <v>1</v>
      </c>
      <c r="G1" s="76" t="s">
        <v>2</v>
      </c>
      <c r="H1" s="32">
        <v>44286</v>
      </c>
      <c r="P1" s="167" t="s">
        <v>21</v>
      </c>
      <c r="Q1" s="168"/>
      <c r="R1" s="169"/>
    </row>
    <row r="2" spans="1:19" x14ac:dyDescent="0.25">
      <c r="A2" s="33">
        <v>40753</v>
      </c>
      <c r="B2" s="78">
        <v>10000</v>
      </c>
      <c r="C2" s="79"/>
      <c r="D2" s="78">
        <v>10000</v>
      </c>
      <c r="E2" s="80"/>
      <c r="G2" s="81" t="s">
        <v>3</v>
      </c>
      <c r="H2" s="34">
        <v>1.7699999999999999E-4</v>
      </c>
      <c r="I2" s="162"/>
      <c r="J2" s="163"/>
      <c r="K2" s="163"/>
      <c r="L2" s="163"/>
      <c r="M2" s="163"/>
      <c r="N2" s="35"/>
      <c r="P2" s="170" t="s">
        <v>22</v>
      </c>
      <c r="Q2" s="171"/>
      <c r="R2" s="172"/>
    </row>
    <row r="3" spans="1:19" x14ac:dyDescent="0.25">
      <c r="A3" s="33">
        <v>40786</v>
      </c>
      <c r="B3" s="78">
        <v>9959</v>
      </c>
      <c r="C3" s="79">
        <f>B3/B2-1</f>
        <v>-4.0999999999999925E-3</v>
      </c>
      <c r="D3" s="78">
        <f>D2*(1+E3)</f>
        <v>9273.4944244508661</v>
      </c>
      <c r="E3" s="80">
        <f>523.09/564.07-1</f>
        <v>-7.2650557554913453E-2</v>
      </c>
      <c r="G3" s="82" t="s">
        <v>4</v>
      </c>
      <c r="H3" s="83">
        <f>(COUNTA(C3:C314))+I3</f>
        <v>116.09677419354838</v>
      </c>
      <c r="I3" s="36">
        <f>3/31</f>
        <v>9.6774193548387094E-2</v>
      </c>
      <c r="J3" s="37" t="s">
        <v>20</v>
      </c>
      <c r="K3" s="37"/>
      <c r="L3" s="37"/>
      <c r="P3" s="173" t="s">
        <v>23</v>
      </c>
      <c r="Q3" s="174"/>
      <c r="R3" s="175"/>
    </row>
    <row r="4" spans="1:19" ht="15.75" thickBot="1" x14ac:dyDescent="0.3">
      <c r="A4" s="33">
        <f>EOMONTH(A3,1)</f>
        <v>40816</v>
      </c>
      <c r="B4" s="78">
        <v>9160.7999999999993</v>
      </c>
      <c r="C4" s="79">
        <f t="shared" ref="C4:C67" si="0">B4/B3-1</f>
        <v>-8.0148609298122397E-2</v>
      </c>
      <c r="D4" s="78">
        <f t="shared" ref="D4:D67" si="1">D3*(1+E4)</f>
        <v>8401.4395376460361</v>
      </c>
      <c r="E4" s="80">
        <v>-9.4037354948479313E-2</v>
      </c>
      <c r="H4" s="84"/>
      <c r="I4" s="38"/>
      <c r="J4" s="37"/>
      <c r="K4" s="37"/>
      <c r="L4" s="37"/>
      <c r="P4" s="176" t="s">
        <v>24</v>
      </c>
      <c r="Q4" s="177"/>
      <c r="R4" s="178"/>
    </row>
    <row r="5" spans="1:19" x14ac:dyDescent="0.25">
      <c r="A5" s="33">
        <f t="shared" ref="A5:A68" si="2">EOMONTH(A4,1)</f>
        <v>40847</v>
      </c>
      <c r="B5" s="78">
        <v>9832.9</v>
      </c>
      <c r="C5" s="79">
        <f t="shared" si="0"/>
        <v>7.3366954851104671E-2</v>
      </c>
      <c r="D5" s="78">
        <f t="shared" si="1"/>
        <v>9303.1006789937419</v>
      </c>
      <c r="E5" s="80">
        <v>0.10732221987761137</v>
      </c>
      <c r="G5" s="164" t="s">
        <v>55</v>
      </c>
      <c r="H5" s="165"/>
      <c r="I5" s="165"/>
      <c r="J5" s="165"/>
      <c r="K5" s="165"/>
      <c r="L5" s="165"/>
      <c r="M5" s="166"/>
    </row>
    <row r="6" spans="1:19" x14ac:dyDescent="0.25">
      <c r="A6" s="33">
        <f t="shared" si="2"/>
        <v>40877</v>
      </c>
      <c r="B6" s="78">
        <v>9658.5</v>
      </c>
      <c r="C6" s="79">
        <f t="shared" si="0"/>
        <v>-1.7736374823297263E-2</v>
      </c>
      <c r="D6" s="78">
        <f t="shared" si="1"/>
        <v>9029.9076355771449</v>
      </c>
      <c r="E6" s="80">
        <v>-2.9365805320527461E-2</v>
      </c>
      <c r="G6" s="85"/>
      <c r="H6" s="39" t="str">
        <f>B1</f>
        <v>CAXAX</v>
      </c>
      <c r="I6" s="40" t="str">
        <f>D1</f>
        <v>MSCI ACWI, G</v>
      </c>
      <c r="M6" s="86"/>
    </row>
    <row r="7" spans="1:19" x14ac:dyDescent="0.25">
      <c r="A7" s="33">
        <f t="shared" si="2"/>
        <v>40908</v>
      </c>
      <c r="B7" s="78">
        <v>9597.16</v>
      </c>
      <c r="C7" s="79">
        <f t="shared" si="0"/>
        <v>-6.3508826422322695E-3</v>
      </c>
      <c r="D7" s="78">
        <f t="shared" si="1"/>
        <v>9014.8385838637041</v>
      </c>
      <c r="E7" s="80">
        <v>-1.6687935604201565E-3</v>
      </c>
      <c r="G7" s="41" t="s">
        <v>76</v>
      </c>
      <c r="H7" s="42">
        <f>((H36-H2)-H8*(I36-H2))</f>
        <v>8.230259415168889E-3</v>
      </c>
      <c r="I7" s="43"/>
      <c r="M7" s="86"/>
    </row>
    <row r="8" spans="1:19" ht="15.75" thickBot="1" x14ac:dyDescent="0.3">
      <c r="A8" s="33">
        <f t="shared" si="2"/>
        <v>40939</v>
      </c>
      <c r="B8" s="78">
        <v>9921.07</v>
      </c>
      <c r="C8" s="79">
        <f t="shared" si="0"/>
        <v>3.3750609555326827E-2</v>
      </c>
      <c r="D8" s="78">
        <f t="shared" si="1"/>
        <v>9541.5462619887603</v>
      </c>
      <c r="E8" s="80">
        <v>5.8426745329400287E-2</v>
      </c>
      <c r="G8" s="41" t="s">
        <v>77</v>
      </c>
      <c r="H8" s="44">
        <f>COVAR(C3:C118,E3:E118)/VAR(E3:E118)</f>
        <v>0.77534444342982078</v>
      </c>
      <c r="I8" s="44">
        <v>1</v>
      </c>
      <c r="M8" s="86"/>
    </row>
    <row r="9" spans="1:19" x14ac:dyDescent="0.25">
      <c r="A9" s="33">
        <f t="shared" si="2"/>
        <v>40968</v>
      </c>
      <c r="B9" s="78">
        <v>10177.129999999999</v>
      </c>
      <c r="C9" s="79">
        <f t="shared" si="0"/>
        <v>2.5809716089091106E-2</v>
      </c>
      <c r="D9" s="78">
        <f t="shared" si="1"/>
        <v>10026.41516123885</v>
      </c>
      <c r="E9" s="80">
        <v>5.0816595752587013E-2</v>
      </c>
      <c r="G9" s="41" t="s">
        <v>78</v>
      </c>
      <c r="H9" s="45">
        <f>RSQ(C3:C118,E3:E118)</f>
        <v>0.86252696994185818</v>
      </c>
      <c r="I9" s="45">
        <v>1</v>
      </c>
      <c r="M9" s="86"/>
      <c r="P9" s="87"/>
      <c r="Q9" s="88"/>
      <c r="R9" s="160" t="str">
        <f>B1</f>
        <v>CAXAX</v>
      </c>
      <c r="S9" s="158" t="str">
        <f>D1</f>
        <v>MSCI ACWI, G</v>
      </c>
    </row>
    <row r="10" spans="1:19" x14ac:dyDescent="0.25">
      <c r="A10" s="33">
        <f t="shared" si="2"/>
        <v>40999</v>
      </c>
      <c r="B10" s="78">
        <v>10431.39</v>
      </c>
      <c r="C10" s="79">
        <f t="shared" si="0"/>
        <v>2.4983467834251982E-2</v>
      </c>
      <c r="D10" s="78">
        <f t="shared" si="1"/>
        <v>10097.860194656689</v>
      </c>
      <c r="E10" s="80">
        <v>7.1256807412123369E-3</v>
      </c>
      <c r="G10" s="41" t="s">
        <v>79</v>
      </c>
      <c r="H10" s="44">
        <f>(H36-$H$2)/H11</f>
        <v>0.72924358443202297</v>
      </c>
      <c r="I10" s="46">
        <f>(I36-$H$2)/I11</f>
        <v>0.71730289838241135</v>
      </c>
      <c r="M10" s="86"/>
      <c r="P10" s="89"/>
      <c r="Q10" s="90"/>
      <c r="R10" s="161"/>
      <c r="S10" s="159"/>
    </row>
    <row r="11" spans="1:19" x14ac:dyDescent="0.25">
      <c r="A11" s="33">
        <f t="shared" si="2"/>
        <v>41029</v>
      </c>
      <c r="B11" s="78">
        <v>10346.540000000001</v>
      </c>
      <c r="C11" s="79">
        <f t="shared" si="0"/>
        <v>-8.1341029335494364E-3</v>
      </c>
      <c r="D11" s="78">
        <f t="shared" si="1"/>
        <v>9988.8311734359195</v>
      </c>
      <c r="E11" s="80">
        <v>-1.0797240120086316E-2</v>
      </c>
      <c r="G11" s="41" t="s">
        <v>80</v>
      </c>
      <c r="H11" s="42">
        <f>STDEV(C2:C118)*SQRT(12)</f>
        <v>0.11960749722321427</v>
      </c>
      <c r="I11" s="47">
        <f>STDEV(E2:E118)*SQRT(12)</f>
        <v>0.14203321480359779</v>
      </c>
      <c r="M11" s="86"/>
      <c r="P11" s="91" t="s">
        <v>57</v>
      </c>
      <c r="Q11" s="92">
        <f>EOMONTH($H$1,-3)</f>
        <v>44196</v>
      </c>
      <c r="R11" s="93">
        <f t="shared" ref="R11:R17" si="3">SUMIF($A$2:$A$321,$Q11,$B$2:$B$321)</f>
        <v>20911</v>
      </c>
      <c r="S11" s="94">
        <f t="shared" ref="S11:S17" si="4">SUMIF($A$2:$A$321,$Q11,$D$2:$D$321)</f>
        <v>24459.45537800714</v>
      </c>
    </row>
    <row r="12" spans="1:19" x14ac:dyDescent="0.25">
      <c r="A12" s="33">
        <f t="shared" si="2"/>
        <v>41060</v>
      </c>
      <c r="B12" s="78">
        <v>9646.1</v>
      </c>
      <c r="C12" s="79">
        <f t="shared" si="0"/>
        <v>-6.7697993725438721E-2</v>
      </c>
      <c r="D12" s="78">
        <f t="shared" si="1"/>
        <v>9102.2390838016527</v>
      </c>
      <c r="E12" s="80">
        <v>-8.8758341615788883E-2</v>
      </c>
      <c r="G12" s="95"/>
      <c r="M12" s="86"/>
      <c r="N12" s="35"/>
      <c r="P12" s="91" t="s">
        <v>58</v>
      </c>
      <c r="Q12" s="96">
        <f>Q11</f>
        <v>44196</v>
      </c>
      <c r="R12" s="93">
        <f t="shared" si="3"/>
        <v>20911</v>
      </c>
      <c r="S12" s="94">
        <f t="shared" si="4"/>
        <v>24459.45537800714</v>
      </c>
    </row>
    <row r="13" spans="1:19" x14ac:dyDescent="0.25">
      <c r="A13" s="33">
        <f t="shared" si="2"/>
        <v>41090</v>
      </c>
      <c r="B13" s="78">
        <v>10026.34</v>
      </c>
      <c r="C13" s="79">
        <f t="shared" si="0"/>
        <v>3.9419039819201585E-2</v>
      </c>
      <c r="D13" s="78">
        <f t="shared" si="1"/>
        <v>9556.2607477795282</v>
      </c>
      <c r="E13" s="80">
        <v>4.9880217361665702E-2</v>
      </c>
      <c r="G13" s="48" t="s">
        <v>11</v>
      </c>
      <c r="H13" s="49" t="str">
        <f>P11</f>
        <v>QTD</v>
      </c>
      <c r="I13" s="49" t="str">
        <f>P12</f>
        <v>YTD</v>
      </c>
      <c r="J13" s="49" t="str">
        <f>P13</f>
        <v>1YR</v>
      </c>
      <c r="K13" s="49" t="str">
        <f>P14</f>
        <v>3YRS</v>
      </c>
      <c r="L13" s="49" t="str">
        <f>P15</f>
        <v>5YRS</v>
      </c>
      <c r="M13" s="50" t="s">
        <v>12</v>
      </c>
      <c r="N13" s="35"/>
      <c r="P13" s="91" t="s">
        <v>16</v>
      </c>
      <c r="Q13" s="92">
        <f>EOMONTH($H$1,-12)</f>
        <v>43921</v>
      </c>
      <c r="R13" s="93">
        <f t="shared" si="3"/>
        <v>15374</v>
      </c>
      <c r="S13" s="94">
        <f t="shared" si="4"/>
        <v>16486.960838193831</v>
      </c>
    </row>
    <row r="14" spans="1:19" x14ac:dyDescent="0.25">
      <c r="A14" s="33">
        <f t="shared" si="2"/>
        <v>41121</v>
      </c>
      <c r="B14" s="78">
        <v>10296.51</v>
      </c>
      <c r="C14" s="79">
        <f t="shared" si="0"/>
        <v>2.6946024172330052E-2</v>
      </c>
      <c r="D14" s="78">
        <f t="shared" si="1"/>
        <v>9690.2866665484762</v>
      </c>
      <c r="E14" s="80">
        <v>1.4024933214603852E-2</v>
      </c>
      <c r="G14" s="51" t="s">
        <v>13</v>
      </c>
      <c r="H14" s="52">
        <f t="shared" ref="H14:M15" si="5">H24*100</f>
        <v>7.5558318588302811</v>
      </c>
      <c r="I14" s="52">
        <f t="shared" si="5"/>
        <v>7.5558318588302811</v>
      </c>
      <c r="J14" s="52">
        <f t="shared" si="5"/>
        <v>46.300000000000004</v>
      </c>
      <c r="K14" s="52">
        <f t="shared" si="5"/>
        <v>8.2859757643265919</v>
      </c>
      <c r="L14" s="52">
        <f t="shared" si="5"/>
        <v>10.161698089845327</v>
      </c>
      <c r="M14" s="53">
        <f t="shared" si="5"/>
        <v>8.74</v>
      </c>
      <c r="N14" s="35"/>
      <c r="P14" s="91" t="s">
        <v>29</v>
      </c>
      <c r="Q14" s="92">
        <f>EOMONTH($H$1,-36)</f>
        <v>43190</v>
      </c>
      <c r="R14" s="93">
        <f t="shared" si="3"/>
        <v>17713</v>
      </c>
      <c r="S14" s="94">
        <f t="shared" si="4"/>
        <v>17908.770188097213</v>
      </c>
    </row>
    <row r="15" spans="1:19" x14ac:dyDescent="0.25">
      <c r="A15" s="33">
        <f t="shared" si="2"/>
        <v>41152</v>
      </c>
      <c r="B15" s="78">
        <v>10606.7</v>
      </c>
      <c r="C15" s="79">
        <f t="shared" si="0"/>
        <v>3.0125741634786873E-2</v>
      </c>
      <c r="D15" s="78">
        <f t="shared" si="1"/>
        <v>9905.8627475313315</v>
      </c>
      <c r="E15" s="80">
        <v>2.2246615440907336E-2</v>
      </c>
      <c r="G15" s="51" t="s">
        <v>14</v>
      </c>
      <c r="H15" s="52">
        <f t="shared" si="5"/>
        <v>7.39</v>
      </c>
      <c r="I15" s="52">
        <f t="shared" si="5"/>
        <v>7.39</v>
      </c>
      <c r="J15" s="52">
        <f t="shared" si="5"/>
        <v>45.25</v>
      </c>
      <c r="K15" s="52">
        <f t="shared" si="5"/>
        <v>7.4899999999999993</v>
      </c>
      <c r="L15" s="52">
        <f t="shared" si="5"/>
        <v>9.31</v>
      </c>
      <c r="M15" s="53">
        <f t="shared" si="5"/>
        <v>7.9200000000000008</v>
      </c>
      <c r="P15" s="91" t="s">
        <v>53</v>
      </c>
      <c r="Q15" s="92">
        <f>EOMONTH($H$1,-60)</f>
        <v>42460</v>
      </c>
      <c r="R15" s="93">
        <f t="shared" si="3"/>
        <v>13862.95</v>
      </c>
      <c r="S15" s="94">
        <f t="shared" si="4"/>
        <v>13410.037761270756</v>
      </c>
    </row>
    <row r="16" spans="1:19" x14ac:dyDescent="0.25">
      <c r="A16" s="33">
        <f t="shared" si="2"/>
        <v>41182</v>
      </c>
      <c r="B16" s="78">
        <v>10866.87</v>
      </c>
      <c r="C16" s="79">
        <f t="shared" si="0"/>
        <v>2.4528835547342753E-2</v>
      </c>
      <c r="D16" s="78">
        <f t="shared" si="1"/>
        <v>10221.958267590901</v>
      </c>
      <c r="E16" s="80">
        <v>3.190994344620246E-2</v>
      </c>
      <c r="G16" s="54" t="str">
        <f>S9</f>
        <v>MSCI ACWI, G</v>
      </c>
      <c r="H16" s="55">
        <f t="shared" ref="H16:M17" si="6">H27*100</f>
        <v>4.6813506990498137</v>
      </c>
      <c r="I16" s="55">
        <f t="shared" si="6"/>
        <v>4.6813506990498137</v>
      </c>
      <c r="J16" s="55">
        <f t="shared" si="6"/>
        <v>55.31</v>
      </c>
      <c r="K16" s="55">
        <f t="shared" si="6"/>
        <v>12.659999999999998</v>
      </c>
      <c r="L16" s="55">
        <f t="shared" si="6"/>
        <v>13.809160521929375</v>
      </c>
      <c r="M16" s="132">
        <f t="shared" si="6"/>
        <v>10.205783664519231</v>
      </c>
      <c r="N16" s="130" t="s">
        <v>105</v>
      </c>
      <c r="P16" s="91" t="s">
        <v>5</v>
      </c>
      <c r="Q16" s="92">
        <f>A2</f>
        <v>40753</v>
      </c>
      <c r="R16" s="93">
        <f t="shared" si="3"/>
        <v>10000</v>
      </c>
      <c r="S16" s="94">
        <f t="shared" si="4"/>
        <v>10000</v>
      </c>
    </row>
    <row r="17" spans="1:19" ht="15.75" thickBot="1" x14ac:dyDescent="0.3">
      <c r="A17" s="33">
        <f t="shared" si="2"/>
        <v>41213</v>
      </c>
      <c r="B17" s="78">
        <v>10896.89</v>
      </c>
      <c r="C17" s="79">
        <f t="shared" si="0"/>
        <v>2.7625249956977349E-3</v>
      </c>
      <c r="D17" s="78">
        <f t="shared" si="1"/>
        <v>10156.540854858436</v>
      </c>
      <c r="E17" s="80">
        <v>-6.3996947571065554E-3</v>
      </c>
      <c r="G17" s="54" t="s">
        <v>106</v>
      </c>
      <c r="H17" s="55">
        <f t="shared" si="6"/>
        <v>9.0399999999999991</v>
      </c>
      <c r="I17" s="55">
        <f t="shared" si="6"/>
        <v>9.0399999999999991</v>
      </c>
      <c r="J17" s="55">
        <f t="shared" si="6"/>
        <v>49.88</v>
      </c>
      <c r="K17" s="55">
        <f t="shared" si="6"/>
        <v>7.03</v>
      </c>
      <c r="L17" s="55">
        <f t="shared" si="6"/>
        <v>9.85</v>
      </c>
      <c r="M17" s="55">
        <f t="shared" si="6"/>
        <v>7.75</v>
      </c>
      <c r="P17" s="97" t="s">
        <v>6</v>
      </c>
      <c r="Q17" s="98">
        <f>H1</f>
        <v>44286</v>
      </c>
      <c r="R17" s="99">
        <f t="shared" si="3"/>
        <v>22491</v>
      </c>
      <c r="S17" s="100">
        <f t="shared" si="4"/>
        <v>25604.488263329255</v>
      </c>
    </row>
    <row r="18" spans="1:19" ht="15.75" thickBot="1" x14ac:dyDescent="0.3">
      <c r="A18" s="33">
        <f t="shared" si="2"/>
        <v>41243</v>
      </c>
      <c r="B18" s="78">
        <v>10996.95</v>
      </c>
      <c r="C18" s="79">
        <f t="shared" si="0"/>
        <v>9.1824364566404082E-3</v>
      </c>
      <c r="D18" s="78">
        <f t="shared" si="1"/>
        <v>10291.275905472723</v>
      </c>
      <c r="E18" s="80">
        <v>1.3265840460813472E-2</v>
      </c>
      <c r="G18" s="51" t="s">
        <v>15</v>
      </c>
      <c r="H18" s="52">
        <f t="shared" ref="H18:M18" si="7">H26*100</f>
        <v>1.37</v>
      </c>
      <c r="I18" s="52">
        <f t="shared" si="7"/>
        <v>1.37</v>
      </c>
      <c r="J18" s="52">
        <f t="shared" si="7"/>
        <v>37.880000000000003</v>
      </c>
      <c r="K18" s="52">
        <f t="shared" si="7"/>
        <v>6.17</v>
      </c>
      <c r="L18" s="52">
        <f t="shared" si="7"/>
        <v>8.86</v>
      </c>
      <c r="M18" s="53">
        <f t="shared" si="7"/>
        <v>8.08</v>
      </c>
      <c r="P18" s="9"/>
      <c r="Q18" s="9"/>
      <c r="R18" s="9"/>
      <c r="S18" s="9"/>
    </row>
    <row r="19" spans="1:19" x14ac:dyDescent="0.25">
      <c r="A19" s="33">
        <f t="shared" si="2"/>
        <v>41274</v>
      </c>
      <c r="B19" s="78">
        <v>11332.5</v>
      </c>
      <c r="C19" s="79">
        <f t="shared" si="0"/>
        <v>3.051300587890271E-2</v>
      </c>
      <c r="D19" s="78">
        <f t="shared" si="1"/>
        <v>10529.36692254507</v>
      </c>
      <c r="E19" s="80">
        <v>2.3135228251507156E-2</v>
      </c>
      <c r="G19" s="51" t="s">
        <v>61</v>
      </c>
      <c r="H19" s="52">
        <f t="shared" ref="H19:M21" si="8">H29*100</f>
        <v>7.6300000000000008</v>
      </c>
      <c r="I19" s="52">
        <f t="shared" si="8"/>
        <v>7.6300000000000008</v>
      </c>
      <c r="J19" s="52">
        <f t="shared" si="8"/>
        <v>46.67</v>
      </c>
      <c r="K19" s="52">
        <f t="shared" si="8"/>
        <v>8.57</v>
      </c>
      <c r="L19" s="52">
        <f t="shared" si="8"/>
        <v>10.42</v>
      </c>
      <c r="M19" s="53">
        <f t="shared" si="8"/>
        <v>7.1400000000000006</v>
      </c>
      <c r="N19" s="35"/>
      <c r="P19" s="181" t="s">
        <v>17</v>
      </c>
      <c r="Q19" s="182"/>
      <c r="R19" s="57" t="str">
        <f>R9</f>
        <v>CAXAX</v>
      </c>
      <c r="S19" s="58" t="str">
        <f>S9</f>
        <v>MSCI ACWI, G</v>
      </c>
    </row>
    <row r="20" spans="1:19" x14ac:dyDescent="0.25">
      <c r="A20" s="33">
        <f t="shared" si="2"/>
        <v>41305</v>
      </c>
      <c r="B20" s="78">
        <v>11704.4</v>
      </c>
      <c r="C20" s="79">
        <f t="shared" si="0"/>
        <v>3.2817118905801967E-2</v>
      </c>
      <c r="D20" s="78">
        <f t="shared" si="1"/>
        <v>11017.426915099188</v>
      </c>
      <c r="E20" s="80">
        <v>4.6352263734783739E-2</v>
      </c>
      <c r="G20" s="54" t="str">
        <f>S9</f>
        <v>MSCI ACWI, G</v>
      </c>
      <c r="H20" s="55">
        <f t="shared" si="8"/>
        <v>4.6813506990498137</v>
      </c>
      <c r="I20" s="55">
        <f t="shared" si="8"/>
        <v>4.6813506990498137</v>
      </c>
      <c r="J20" s="55">
        <f t="shared" si="8"/>
        <v>55.31</v>
      </c>
      <c r="K20" s="55">
        <f t="shared" si="8"/>
        <v>12.659999999999998</v>
      </c>
      <c r="L20" s="55">
        <f t="shared" si="8"/>
        <v>13.809160521929375</v>
      </c>
      <c r="M20" s="132">
        <f t="shared" si="8"/>
        <v>9.5500000000000007</v>
      </c>
      <c r="N20" s="35"/>
      <c r="P20" s="183" t="str">
        <f>P11</f>
        <v>QTD</v>
      </c>
      <c r="Q20" s="184"/>
      <c r="R20" s="101">
        <f>($R$17-R11)/R11</f>
        <v>7.5558318588302809E-2</v>
      </c>
      <c r="S20" s="102">
        <f>($S$17-S11)/S11</f>
        <v>4.6813506990498133E-2</v>
      </c>
    </row>
    <row r="21" spans="1:19" x14ac:dyDescent="0.25">
      <c r="A21" s="33">
        <f t="shared" si="2"/>
        <v>41333</v>
      </c>
      <c r="B21" s="78">
        <v>11580.43</v>
      </c>
      <c r="C21" s="79">
        <f t="shared" si="0"/>
        <v>-1.059174327603285E-2</v>
      </c>
      <c r="D21" s="78">
        <f t="shared" si="1"/>
        <v>11020.795291364544</v>
      </c>
      <c r="E21" s="80">
        <v>3.0573166414571418E-4</v>
      </c>
      <c r="G21" s="60" t="s">
        <v>106</v>
      </c>
      <c r="H21" s="55">
        <f>H31*100</f>
        <v>9.0399999999999991</v>
      </c>
      <c r="I21" s="55">
        <f t="shared" si="8"/>
        <v>9.0399999999999991</v>
      </c>
      <c r="J21" s="55">
        <f t="shared" si="8"/>
        <v>49.88</v>
      </c>
      <c r="K21" s="55">
        <f t="shared" si="8"/>
        <v>7.03</v>
      </c>
      <c r="L21" s="55">
        <f t="shared" si="8"/>
        <v>9.85</v>
      </c>
      <c r="M21" s="55">
        <f t="shared" si="8"/>
        <v>5.94</v>
      </c>
      <c r="P21" s="183" t="str">
        <f t="shared" ref="P21:P23" si="9">P12</f>
        <v>YTD</v>
      </c>
      <c r="Q21" s="184"/>
      <c r="R21" s="101">
        <f>($R$17-R12)/R12</f>
        <v>7.5558318588302809E-2</v>
      </c>
      <c r="S21" s="102">
        <f>($S$17-S12)/S12</f>
        <v>4.6813506990498133E-2</v>
      </c>
    </row>
    <row r="22" spans="1:19" x14ac:dyDescent="0.25">
      <c r="A22" s="33">
        <f t="shared" si="2"/>
        <v>41364</v>
      </c>
      <c r="B22" s="78">
        <v>11735.39</v>
      </c>
      <c r="C22" s="79">
        <f t="shared" si="0"/>
        <v>1.3381195689624592E-2</v>
      </c>
      <c r="D22" s="78">
        <f t="shared" si="1"/>
        <v>11227.507224280671</v>
      </c>
      <c r="E22" s="80">
        <v>1.8756535027748766E-2</v>
      </c>
      <c r="N22" s="35"/>
      <c r="P22" s="183" t="str">
        <f t="shared" si="9"/>
        <v>1YR</v>
      </c>
      <c r="Q22" s="184"/>
      <c r="R22" s="101">
        <f>($R$17-R13)/R13</f>
        <v>0.46292441784831534</v>
      </c>
      <c r="S22" s="102">
        <f>($S$17-S13)/S13</f>
        <v>0.55301444060045823</v>
      </c>
    </row>
    <row r="23" spans="1:19" x14ac:dyDescent="0.25">
      <c r="A23" s="33">
        <f t="shared" si="2"/>
        <v>41394</v>
      </c>
      <c r="B23" s="78">
        <v>11704.4</v>
      </c>
      <c r="C23" s="79">
        <f t="shared" si="0"/>
        <v>-2.6407303038075147E-3</v>
      </c>
      <c r="D23" s="78">
        <f t="shared" si="1"/>
        <v>11555.835268672326</v>
      </c>
      <c r="E23" s="80">
        <v>2.9243182643571286E-2</v>
      </c>
      <c r="G23" s="103"/>
      <c r="H23" s="56" t="str">
        <f t="shared" ref="H23:M23" si="10">H13</f>
        <v>QTD</v>
      </c>
      <c r="I23" s="56" t="str">
        <f t="shared" si="10"/>
        <v>YTD</v>
      </c>
      <c r="J23" s="56" t="str">
        <f t="shared" si="10"/>
        <v>1YR</v>
      </c>
      <c r="K23" s="56" t="str">
        <f t="shared" si="10"/>
        <v>3YRS</v>
      </c>
      <c r="L23" s="56" t="str">
        <f t="shared" si="10"/>
        <v>5YRS</v>
      </c>
      <c r="M23" s="56" t="str">
        <f t="shared" si="10"/>
        <v>Since Inception*</v>
      </c>
      <c r="P23" s="183" t="str">
        <f t="shared" si="9"/>
        <v>3YRS</v>
      </c>
      <c r="Q23" s="184"/>
      <c r="R23" s="101">
        <f>R17/R14-1</f>
        <v>0.26974538474566701</v>
      </c>
      <c r="S23" s="102">
        <f>S17/S14-1</f>
        <v>0.42971784183968609</v>
      </c>
    </row>
    <row r="24" spans="1:19" x14ac:dyDescent="0.25">
      <c r="A24" s="33">
        <f t="shared" si="2"/>
        <v>41425</v>
      </c>
      <c r="B24" s="78">
        <v>11652.74</v>
      </c>
      <c r="C24" s="79">
        <f t="shared" si="0"/>
        <v>-4.4137247530843249E-3</v>
      </c>
      <c r="D24" s="78">
        <f t="shared" si="1"/>
        <v>11543.425461378903</v>
      </c>
      <c r="E24" s="80">
        <v>-1.0738996364083597E-3</v>
      </c>
      <c r="G24" s="59" t="s">
        <v>13</v>
      </c>
      <c r="H24" s="104">
        <f>R20</f>
        <v>7.5558318588302809E-2</v>
      </c>
      <c r="I24" s="104">
        <f>R21</f>
        <v>7.5558318588302809E-2</v>
      </c>
      <c r="J24" s="66">
        <v>0.46300000000000002</v>
      </c>
      <c r="K24" s="104">
        <f>R24</f>
        <v>8.2859757643265919E-2</v>
      </c>
      <c r="L24" s="104">
        <f>R26</f>
        <v>0.10161698089845328</v>
      </c>
      <c r="M24" s="66">
        <v>8.7400000000000005E-2</v>
      </c>
      <c r="P24" s="183" t="s">
        <v>30</v>
      </c>
      <c r="Q24" s="184"/>
      <c r="R24" s="106">
        <f>(1+R23)^(12/36)-1</f>
        <v>8.2859757643265919E-2</v>
      </c>
      <c r="S24" s="102">
        <f>(1+S23)^(12/36)-1</f>
        <v>0.12654906717807224</v>
      </c>
    </row>
    <row r="25" spans="1:19" x14ac:dyDescent="0.25">
      <c r="A25" s="33">
        <f t="shared" si="2"/>
        <v>41455</v>
      </c>
      <c r="B25" s="78">
        <v>11404.81</v>
      </c>
      <c r="C25" s="79">
        <f t="shared" si="0"/>
        <v>-2.1276540968046986E-2</v>
      </c>
      <c r="D25" s="78">
        <f t="shared" si="1"/>
        <v>11201.446628964488</v>
      </c>
      <c r="E25" s="80">
        <v>-2.9625420422956905E-2</v>
      </c>
      <c r="G25" s="59" t="s">
        <v>14</v>
      </c>
      <c r="H25" s="105">
        <v>7.3899999999999993E-2</v>
      </c>
      <c r="I25" s="66">
        <v>7.3899999999999993E-2</v>
      </c>
      <c r="J25" s="66">
        <v>0.45250000000000001</v>
      </c>
      <c r="K25" s="66">
        <v>7.4899999999999994E-2</v>
      </c>
      <c r="L25" s="66">
        <v>9.3100000000000002E-2</v>
      </c>
      <c r="M25" s="66">
        <v>7.9200000000000007E-2</v>
      </c>
      <c r="N25" s="35"/>
      <c r="P25" s="183" t="str">
        <f>P15</f>
        <v>5YRS</v>
      </c>
      <c r="Q25" s="184"/>
      <c r="R25" s="101">
        <f>R17/R15-1</f>
        <v>0.62238196054952222</v>
      </c>
      <c r="S25" s="102">
        <f>S17/S15-1</f>
        <v>0.90935243577591041</v>
      </c>
    </row>
    <row r="26" spans="1:19" x14ac:dyDescent="0.25">
      <c r="A26" s="33">
        <f t="shared" si="2"/>
        <v>41486</v>
      </c>
      <c r="B26" s="78">
        <v>12086.62</v>
      </c>
      <c r="C26" s="79">
        <f t="shared" si="0"/>
        <v>5.9782670645105229E-2</v>
      </c>
      <c r="D26" s="78">
        <f t="shared" si="1"/>
        <v>11741.2732462283</v>
      </c>
      <c r="E26" s="80">
        <v>4.8192580400101104E-2</v>
      </c>
      <c r="G26" s="59" t="s">
        <v>15</v>
      </c>
      <c r="H26" s="66">
        <v>1.37E-2</v>
      </c>
      <c r="I26" s="66">
        <v>1.37E-2</v>
      </c>
      <c r="J26" s="66">
        <v>0.37880000000000003</v>
      </c>
      <c r="K26" s="66">
        <v>6.1699999999999998E-2</v>
      </c>
      <c r="L26" s="66">
        <v>8.8599999999999998E-2</v>
      </c>
      <c r="M26" s="66">
        <v>8.0799999999999997E-2</v>
      </c>
      <c r="P26" s="183" t="s">
        <v>54</v>
      </c>
      <c r="Q26" s="184"/>
      <c r="R26" s="106">
        <f>(1+R25)^(12/60)-1</f>
        <v>0.10161698089845328</v>
      </c>
      <c r="S26" s="102">
        <f>(1+S25)^(12/60)-1</f>
        <v>0.13809160521929376</v>
      </c>
    </row>
    <row r="27" spans="1:19" x14ac:dyDescent="0.25">
      <c r="A27" s="33">
        <f t="shared" si="2"/>
        <v>41517</v>
      </c>
      <c r="B27" s="78">
        <v>12024.64</v>
      </c>
      <c r="C27" s="79">
        <f t="shared" si="0"/>
        <v>-5.1279844985613332E-3</v>
      </c>
      <c r="D27" s="78">
        <f t="shared" si="1"/>
        <v>11501.586682503939</v>
      </c>
      <c r="E27" s="80">
        <v>-2.0414018028356185E-2</v>
      </c>
      <c r="G27" s="60" t="str">
        <f>G16</f>
        <v>MSCI ACWI, G</v>
      </c>
      <c r="H27" s="104">
        <f>S20</f>
        <v>4.6813506990498133E-2</v>
      </c>
      <c r="I27" s="104">
        <f>S21</f>
        <v>4.6813506990498133E-2</v>
      </c>
      <c r="J27" s="66">
        <v>0.55310000000000004</v>
      </c>
      <c r="K27" s="66">
        <v>0.12659999999999999</v>
      </c>
      <c r="L27" s="104">
        <f>S26</f>
        <v>0.13809160521929376</v>
      </c>
      <c r="M27" s="104">
        <f>S28</f>
        <v>0.1020578366451923</v>
      </c>
      <c r="N27" s="35"/>
      <c r="P27" s="183" t="s">
        <v>18</v>
      </c>
      <c r="Q27" s="184"/>
      <c r="R27" s="101">
        <f>($R$17-R16)/R16</f>
        <v>1.2491000000000001</v>
      </c>
      <c r="S27" s="102">
        <f>($S$17-S16)/S16</f>
        <v>1.5604488263329255</v>
      </c>
    </row>
    <row r="28" spans="1:19" ht="15.75" thickBot="1" x14ac:dyDescent="0.3">
      <c r="A28" s="33">
        <f t="shared" si="2"/>
        <v>41547</v>
      </c>
      <c r="B28" s="78">
        <v>12675.46</v>
      </c>
      <c r="C28" s="79">
        <f t="shared" si="0"/>
        <v>5.4123865662506265E-2</v>
      </c>
      <c r="D28" s="78">
        <f t="shared" si="1"/>
        <v>12100.093959969501</v>
      </c>
      <c r="E28" s="80">
        <v>5.2036931424079391E-2</v>
      </c>
      <c r="G28" s="60" t="s">
        <v>104</v>
      </c>
      <c r="H28" s="104">
        <v>9.0399999999999994E-2</v>
      </c>
      <c r="I28" s="104">
        <v>9.0399999999999994E-2</v>
      </c>
      <c r="J28" s="104">
        <v>0.49880000000000002</v>
      </c>
      <c r="K28" s="104">
        <v>7.0300000000000001E-2</v>
      </c>
      <c r="L28" s="104">
        <v>9.8500000000000004E-2</v>
      </c>
      <c r="M28" s="104">
        <v>7.7499999999999999E-2</v>
      </c>
      <c r="N28" s="157" t="s">
        <v>107</v>
      </c>
      <c r="P28" s="179" t="s">
        <v>9</v>
      </c>
      <c r="Q28" s="180"/>
      <c r="R28" s="108">
        <f>POWER(R17/R16,12/H3)-1</f>
        <v>8.7387523996118377E-2</v>
      </c>
      <c r="S28" s="109">
        <f>POWER(S17/S16,12/H3)-1</f>
        <v>0.1020578366451923</v>
      </c>
    </row>
    <row r="29" spans="1:19" x14ac:dyDescent="0.25">
      <c r="A29" s="33">
        <f t="shared" si="2"/>
        <v>41578</v>
      </c>
      <c r="B29" s="78">
        <v>13026.69</v>
      </c>
      <c r="C29" s="79">
        <f t="shared" si="0"/>
        <v>2.7709448020032612E-2</v>
      </c>
      <c r="D29" s="78">
        <f t="shared" si="1"/>
        <v>12589.04036733029</v>
      </c>
      <c r="E29" s="80">
        <v>4.0408480213323994E-2</v>
      </c>
      <c r="G29" s="59" t="s">
        <v>61</v>
      </c>
      <c r="H29" s="66">
        <v>7.6300000000000007E-2</v>
      </c>
      <c r="I29" s="66">
        <v>7.6300000000000007E-2</v>
      </c>
      <c r="J29" s="66">
        <v>0.4667</v>
      </c>
      <c r="K29" s="66">
        <v>8.5699999999999998E-2</v>
      </c>
      <c r="L29" s="66">
        <v>0.1042</v>
      </c>
      <c r="M29" s="66">
        <v>7.1400000000000005E-2</v>
      </c>
      <c r="N29" s="107"/>
    </row>
    <row r="30" spans="1:19" ht="14.85" customHeight="1" outlineLevel="1" x14ac:dyDescent="0.25">
      <c r="A30" s="33">
        <f t="shared" si="2"/>
        <v>41608</v>
      </c>
      <c r="B30" s="78">
        <v>12995.7</v>
      </c>
      <c r="C30" s="79">
        <f t="shared" si="0"/>
        <v>-2.3789619619412061E-3</v>
      </c>
      <c r="D30" s="78">
        <f t="shared" si="1"/>
        <v>12772.705515272921</v>
      </c>
      <c r="E30" s="80">
        <v>1.4589288983396953E-2</v>
      </c>
      <c r="G30" s="60" t="str">
        <f>S9</f>
        <v>MSCI ACWI, G</v>
      </c>
      <c r="H30" s="104">
        <f>H27</f>
        <v>4.6813506990498133E-2</v>
      </c>
      <c r="I30" s="104">
        <f>I27</f>
        <v>4.6813506990498133E-2</v>
      </c>
      <c r="J30" s="104">
        <f>J27</f>
        <v>0.55310000000000004</v>
      </c>
      <c r="K30" s="104">
        <f>K27</f>
        <v>0.12659999999999999</v>
      </c>
      <c r="L30" s="104">
        <f>L27</f>
        <v>0.13809160521929376</v>
      </c>
      <c r="M30" s="66">
        <v>9.5500000000000002E-2</v>
      </c>
      <c r="N30" s="157"/>
    </row>
    <row r="31" spans="1:19" ht="14.85" customHeight="1" outlineLevel="1" x14ac:dyDescent="0.25">
      <c r="A31" s="33">
        <f t="shared" si="2"/>
        <v>41639</v>
      </c>
      <c r="B31" s="78">
        <v>13236.12</v>
      </c>
      <c r="C31" s="79">
        <f t="shared" si="0"/>
        <v>1.8499965373161897E-2</v>
      </c>
      <c r="D31" s="78">
        <f t="shared" si="1"/>
        <v>12997.500310245176</v>
      </c>
      <c r="E31" s="80">
        <v>1.7599622468666309E-2</v>
      </c>
      <c r="G31" s="60" t="s">
        <v>104</v>
      </c>
      <c r="H31" s="104">
        <f>H28</f>
        <v>9.0399999999999994E-2</v>
      </c>
      <c r="I31" s="104">
        <f t="shared" ref="I31:L31" si="11">I28</f>
        <v>9.0399999999999994E-2</v>
      </c>
      <c r="J31" s="104">
        <f t="shared" si="11"/>
        <v>0.49880000000000002</v>
      </c>
      <c r="K31" s="104">
        <f t="shared" si="11"/>
        <v>7.0300000000000001E-2</v>
      </c>
      <c r="L31" s="104">
        <f t="shared" si="11"/>
        <v>9.8500000000000004E-2</v>
      </c>
      <c r="M31" s="66">
        <v>5.9400000000000001E-2</v>
      </c>
      <c r="N31" s="157" t="s">
        <v>107</v>
      </c>
    </row>
    <row r="32" spans="1:19" ht="14.85" customHeight="1" outlineLevel="1" x14ac:dyDescent="0.25">
      <c r="A32" s="33">
        <f t="shared" si="2"/>
        <v>41670</v>
      </c>
      <c r="B32" s="78">
        <v>12907.34</v>
      </c>
      <c r="C32" s="79">
        <f t="shared" si="0"/>
        <v>-2.4839605564168421E-2</v>
      </c>
      <c r="D32" s="78">
        <f t="shared" si="1"/>
        <v>12480.543194993523</v>
      </c>
      <c r="E32" s="80">
        <v>-3.9773579758575983E-2</v>
      </c>
      <c r="M32" s="75"/>
    </row>
    <row r="33" spans="1:14" ht="14.85" customHeight="1" outlineLevel="1" x14ac:dyDescent="0.25">
      <c r="A33" s="33">
        <f t="shared" si="2"/>
        <v>41698</v>
      </c>
      <c r="B33" s="78">
        <v>13575.51</v>
      </c>
      <c r="C33" s="79">
        <f t="shared" si="0"/>
        <v>5.1766669197526483E-2</v>
      </c>
      <c r="D33" s="78">
        <f t="shared" si="1"/>
        <v>13089.687450139161</v>
      </c>
      <c r="E33" s="80">
        <v>4.8807511470333464E-2</v>
      </c>
      <c r="G33" s="82"/>
      <c r="H33" s="39" t="s">
        <v>27</v>
      </c>
      <c r="I33" s="40" t="s">
        <v>28</v>
      </c>
      <c r="J33" s="110"/>
      <c r="K33" s="110"/>
      <c r="L33" s="110"/>
      <c r="M33" s="111"/>
      <c r="N33" s="35" t="s">
        <v>108</v>
      </c>
    </row>
    <row r="34" spans="1:14" ht="14.85" customHeight="1" outlineLevel="1" x14ac:dyDescent="0.25">
      <c r="A34" s="33">
        <f t="shared" si="2"/>
        <v>41729</v>
      </c>
      <c r="B34" s="78">
        <v>13766.42</v>
      </c>
      <c r="C34" s="79">
        <f t="shared" si="0"/>
        <v>1.4062823422471782E-2</v>
      </c>
      <c r="D34" s="78">
        <f t="shared" si="1"/>
        <v>13154.750296948952</v>
      </c>
      <c r="E34" s="80">
        <v>4.9705424256787367E-3</v>
      </c>
      <c r="G34" s="61" t="s">
        <v>8</v>
      </c>
      <c r="H34" s="42">
        <f>R27</f>
        <v>1.2491000000000001</v>
      </c>
      <c r="I34" s="42">
        <f>S27</f>
        <v>1.5604488263329255</v>
      </c>
      <c r="J34" s="110"/>
      <c r="K34" s="110"/>
      <c r="L34" s="110"/>
      <c r="M34" s="111"/>
    </row>
    <row r="35" spans="1:14" ht="14.85" customHeight="1" outlineLevel="1" x14ac:dyDescent="0.25">
      <c r="A35" s="33">
        <f t="shared" si="2"/>
        <v>41759</v>
      </c>
      <c r="B35" s="78">
        <v>13883.08</v>
      </c>
      <c r="C35" s="79">
        <f t="shared" si="0"/>
        <v>8.4742438484370908E-3</v>
      </c>
      <c r="D35" s="78">
        <f t="shared" si="1"/>
        <v>13287.003386104556</v>
      </c>
      <c r="E35" s="80">
        <v>1.0053637368265145E-2</v>
      </c>
      <c r="G35" s="61" t="s">
        <v>7</v>
      </c>
      <c r="H35" s="62">
        <f>H37/$H$3</f>
        <v>0.62017227007502085</v>
      </c>
      <c r="I35" s="63">
        <f>I37/$H$3</f>
        <v>0.6632397888302306</v>
      </c>
      <c r="J35" s="110"/>
      <c r="K35" s="110"/>
      <c r="L35" s="110"/>
      <c r="M35" s="111"/>
    </row>
    <row r="36" spans="1:14" ht="14.85" customHeight="1" outlineLevel="1" x14ac:dyDescent="0.25">
      <c r="A36" s="33">
        <f t="shared" si="2"/>
        <v>41790</v>
      </c>
      <c r="B36" s="78">
        <v>14158.83</v>
      </c>
      <c r="C36" s="79">
        <f t="shared" si="0"/>
        <v>1.9862307211368169E-2</v>
      </c>
      <c r="D36" s="78">
        <f t="shared" si="1"/>
        <v>13581.115818958633</v>
      </c>
      <c r="E36" s="80">
        <v>2.2135347174040643E-2</v>
      </c>
      <c r="G36" s="61" t="s">
        <v>9</v>
      </c>
      <c r="H36" s="42">
        <f>M24</f>
        <v>8.7400000000000005E-2</v>
      </c>
      <c r="I36" s="47">
        <f>M27</f>
        <v>0.1020578366451923</v>
      </c>
      <c r="J36" s="110"/>
      <c r="K36" s="110"/>
      <c r="L36" s="110"/>
      <c r="M36" s="111"/>
    </row>
    <row r="37" spans="1:14" ht="14.85" customHeight="1" outlineLevel="1" x14ac:dyDescent="0.25">
      <c r="A37" s="33">
        <f t="shared" si="2"/>
        <v>41820</v>
      </c>
      <c r="B37" s="78">
        <v>14381.56</v>
      </c>
      <c r="C37" s="79">
        <f t="shared" si="0"/>
        <v>1.5730819566305954E-2</v>
      </c>
      <c r="D37" s="78">
        <f t="shared" si="1"/>
        <v>13842.608186927149</v>
      </c>
      <c r="E37" s="80">
        <v>1.9254115159189178E-2</v>
      </c>
      <c r="G37" s="64" t="s">
        <v>10</v>
      </c>
      <c r="H37" s="112">
        <f>COUNTIF(C2:C162,"&gt;0")</f>
        <v>72</v>
      </c>
      <c r="I37" s="112">
        <f>COUNTIF(E2:E162,"&gt;0")</f>
        <v>77</v>
      </c>
      <c r="J37" s="110"/>
      <c r="K37" s="110"/>
      <c r="L37" s="110"/>
      <c r="M37" s="111"/>
    </row>
    <row r="38" spans="1:14" ht="14.85" customHeight="1" outlineLevel="1" x14ac:dyDescent="0.25">
      <c r="A38" s="33">
        <f t="shared" si="2"/>
        <v>41851</v>
      </c>
      <c r="B38" s="78">
        <v>14020.96</v>
      </c>
      <c r="C38" s="79">
        <f t="shared" si="0"/>
        <v>-2.5073775028578327E-2</v>
      </c>
      <c r="D38" s="78">
        <f t="shared" si="1"/>
        <v>13678.976013615327</v>
      </c>
      <c r="E38" s="80">
        <v>-1.182090622678722E-2</v>
      </c>
      <c r="G38" s="107"/>
      <c r="H38" s="107"/>
      <c r="I38" s="113"/>
      <c r="J38" s="113"/>
      <c r="K38" s="113"/>
      <c r="L38" s="113"/>
      <c r="M38" s="107"/>
    </row>
    <row r="39" spans="1:14" ht="14.85" customHeight="1" outlineLevel="1" x14ac:dyDescent="0.25">
      <c r="A39" s="33">
        <f t="shared" si="2"/>
        <v>41882</v>
      </c>
      <c r="B39" s="78">
        <v>14392.16</v>
      </c>
      <c r="C39" s="79">
        <f t="shared" si="0"/>
        <v>2.6474649382068005E-2</v>
      </c>
      <c r="D39" s="78">
        <f t="shared" si="1"/>
        <v>13986.739234492168</v>
      </c>
      <c r="E39" s="80">
        <v>2.2498995580554348E-2</v>
      </c>
      <c r="G39" s="107"/>
      <c r="H39" s="114" t="s">
        <v>64</v>
      </c>
      <c r="I39" s="114" t="s">
        <v>65</v>
      </c>
      <c r="J39" s="113"/>
      <c r="K39" s="113"/>
      <c r="L39" s="113"/>
      <c r="M39" s="107"/>
    </row>
    <row r="40" spans="1:14" ht="14.85" customHeight="1" outlineLevel="1" x14ac:dyDescent="0.25">
      <c r="A40" s="33">
        <f t="shared" si="2"/>
        <v>41912</v>
      </c>
      <c r="B40" s="78">
        <v>14052.78</v>
      </c>
      <c r="C40" s="79">
        <f t="shared" si="0"/>
        <v>-2.3580894042311895E-2</v>
      </c>
      <c r="D40" s="78">
        <f t="shared" si="1"/>
        <v>13538.567908238332</v>
      </c>
      <c r="E40" s="80">
        <v>-3.2042588250206117E-2</v>
      </c>
      <c r="G40" s="115">
        <v>40753</v>
      </c>
      <c r="H40" s="111">
        <f>VLOOKUP(G40,A:B,2,0)</f>
        <v>10000</v>
      </c>
      <c r="I40" s="110">
        <f>VLOOKUP(G40,A:D,4,0)</f>
        <v>10000</v>
      </c>
      <c r="J40" s="65"/>
      <c r="K40" s="39" t="s">
        <v>27</v>
      </c>
      <c r="L40" s="40" t="s">
        <v>28</v>
      </c>
      <c r="M40" s="111"/>
    </row>
    <row r="41" spans="1:14" ht="14.85" customHeight="1" outlineLevel="1" x14ac:dyDescent="0.25">
      <c r="A41" s="33">
        <f t="shared" si="2"/>
        <v>41943</v>
      </c>
      <c r="B41" s="78">
        <v>13904.29</v>
      </c>
      <c r="C41" s="79">
        <f t="shared" si="0"/>
        <v>-1.056659251763703E-2</v>
      </c>
      <c r="D41" s="78">
        <f t="shared" si="1"/>
        <v>13636.959951779028</v>
      </c>
      <c r="E41" s="80">
        <v>7.2675370251549243E-3</v>
      </c>
      <c r="G41" s="115">
        <v>40908</v>
      </c>
      <c r="H41" s="111">
        <f>VLOOKUP(G41,A:B,2,0)</f>
        <v>9597.16</v>
      </c>
      <c r="I41" s="110">
        <f>VLOOKUP(G41,A:D,4,0)</f>
        <v>9014.8385838637041</v>
      </c>
      <c r="J41" s="65" t="s">
        <v>81</v>
      </c>
      <c r="K41" s="42">
        <f>H41/H40-1</f>
        <v>-4.0283999999999986E-2</v>
      </c>
      <c r="L41" s="47">
        <f>I41/I40-1</f>
        <v>-9.8516141613629538E-2</v>
      </c>
      <c r="M41" s="111"/>
    </row>
    <row r="42" spans="1:14" ht="14.85" customHeight="1" outlineLevel="1" x14ac:dyDescent="0.25">
      <c r="A42" s="33">
        <f t="shared" si="2"/>
        <v>41973</v>
      </c>
      <c r="B42" s="78">
        <v>14084.59</v>
      </c>
      <c r="C42" s="79">
        <f t="shared" si="0"/>
        <v>1.2967220908079335E-2</v>
      </c>
      <c r="D42" s="78">
        <f t="shared" si="1"/>
        <v>13870.973460740681</v>
      </c>
      <c r="E42" s="80">
        <v>1.7160240243363267E-2</v>
      </c>
      <c r="G42" s="115">
        <v>41274</v>
      </c>
      <c r="H42" s="111">
        <f>VLOOKUP(G42,A:B,2,0)</f>
        <v>11332.5</v>
      </c>
      <c r="I42" s="110">
        <f>VLOOKUP(G42,A:D,4,0)</f>
        <v>10529.36692254507</v>
      </c>
      <c r="J42" s="65">
        <v>2012</v>
      </c>
      <c r="K42" s="42">
        <f t="shared" ref="K42:L51" si="12">H42/H41-1</f>
        <v>0.18081807534729033</v>
      </c>
      <c r="L42" s="47">
        <f t="shared" si="12"/>
        <v>0.16800393313667628</v>
      </c>
      <c r="M42" s="111"/>
    </row>
    <row r="43" spans="1:14" ht="14.85" customHeight="1" outlineLevel="1" x14ac:dyDescent="0.25">
      <c r="A43" s="33">
        <f t="shared" si="2"/>
        <v>42004</v>
      </c>
      <c r="B43" s="78">
        <v>13743.58</v>
      </c>
      <c r="C43" s="79">
        <f t="shared" si="0"/>
        <v>-2.4211567393868094E-2</v>
      </c>
      <c r="D43" s="78">
        <f t="shared" si="1"/>
        <v>13609.126526849497</v>
      </c>
      <c r="E43" s="80">
        <v>-1.8877329311622892E-2</v>
      </c>
      <c r="G43" s="115">
        <v>41639</v>
      </c>
      <c r="H43" s="111">
        <f t="shared" ref="H43:H51" si="13">VLOOKUP(G43,A:B,2,0)</f>
        <v>13236.12</v>
      </c>
      <c r="I43" s="110">
        <f t="shared" ref="I43:I51" si="14">VLOOKUP(G43,A:D,4,0)</f>
        <v>12997.500310245176</v>
      </c>
      <c r="J43" s="65">
        <v>2013</v>
      </c>
      <c r="K43" s="42">
        <f t="shared" si="12"/>
        <v>0.16797882197220382</v>
      </c>
      <c r="L43" s="47">
        <f t="shared" si="12"/>
        <v>0.23440472782987865</v>
      </c>
      <c r="M43" s="111"/>
    </row>
    <row r="44" spans="1:14" ht="14.85" customHeight="1" outlineLevel="1" x14ac:dyDescent="0.25">
      <c r="A44" s="33">
        <f t="shared" si="2"/>
        <v>42035</v>
      </c>
      <c r="B44" s="78">
        <v>13620.87</v>
      </c>
      <c r="C44" s="79">
        <f t="shared" si="0"/>
        <v>-8.9285324493326712E-3</v>
      </c>
      <c r="D44" s="78">
        <f t="shared" si="1"/>
        <v>13399.400783590683</v>
      </c>
      <c r="E44" s="80">
        <v>-1.5410668924640047E-2</v>
      </c>
      <c r="G44" s="115">
        <v>42004</v>
      </c>
      <c r="H44" s="111">
        <f t="shared" si="13"/>
        <v>13743.58</v>
      </c>
      <c r="I44" s="110">
        <f t="shared" si="14"/>
        <v>13609.126526849497</v>
      </c>
      <c r="J44" s="65">
        <v>2014</v>
      </c>
      <c r="K44" s="42">
        <f t="shared" si="12"/>
        <v>3.8339029866758523E-2</v>
      </c>
      <c r="L44" s="47">
        <f t="shared" si="12"/>
        <v>4.7057218850167004E-2</v>
      </c>
      <c r="M44" s="116"/>
    </row>
    <row r="45" spans="1:14" ht="14.85" customHeight="1" outlineLevel="1" x14ac:dyDescent="0.25">
      <c r="A45" s="33">
        <f t="shared" si="2"/>
        <v>42063</v>
      </c>
      <c r="B45" s="78">
        <v>14200.95</v>
      </c>
      <c r="C45" s="79">
        <f t="shared" si="0"/>
        <v>4.2587588017505507E-2</v>
      </c>
      <c r="D45" s="78">
        <f t="shared" si="1"/>
        <v>14151.435105571996</v>
      </c>
      <c r="E45" s="80">
        <v>5.6124474081130415E-2</v>
      </c>
      <c r="G45" s="115">
        <v>42369</v>
      </c>
      <c r="H45" s="111">
        <f t="shared" si="13"/>
        <v>13501.7</v>
      </c>
      <c r="I45" s="110">
        <f t="shared" si="14"/>
        <v>13358.625702483727</v>
      </c>
      <c r="J45" s="65">
        <v>2015</v>
      </c>
      <c r="K45" s="42">
        <f t="shared" si="12"/>
        <v>-1.7599490089190706E-2</v>
      </c>
      <c r="L45" s="47">
        <f t="shared" si="12"/>
        <v>-1.8406826027486556E-2</v>
      </c>
      <c r="M45" s="116"/>
    </row>
    <row r="46" spans="1:14" ht="14.85" customHeight="1" outlineLevel="1" x14ac:dyDescent="0.25">
      <c r="A46" s="33">
        <f t="shared" si="2"/>
        <v>42094</v>
      </c>
      <c r="B46" s="78">
        <v>13609.71</v>
      </c>
      <c r="C46" s="79">
        <f t="shared" si="0"/>
        <v>-4.1633834356152311E-2</v>
      </c>
      <c r="D46" s="78">
        <f t="shared" si="1"/>
        <v>13940.645664545173</v>
      </c>
      <c r="E46" s="80">
        <v>-1.4895269593104832E-2</v>
      </c>
      <c r="G46" s="115">
        <v>42735</v>
      </c>
      <c r="H46" s="111">
        <f t="shared" si="13"/>
        <v>14896.21</v>
      </c>
      <c r="I46" s="110">
        <f t="shared" si="14"/>
        <v>14492.172957257073</v>
      </c>
      <c r="J46" s="65">
        <v>2016</v>
      </c>
      <c r="K46" s="42">
        <f t="shared" si="12"/>
        <v>0.10328403089981242</v>
      </c>
      <c r="L46" s="47">
        <f t="shared" si="12"/>
        <v>8.4855080157129503E-2</v>
      </c>
      <c r="M46" s="116"/>
    </row>
    <row r="47" spans="1:14" ht="14.85" customHeight="1" outlineLevel="1" x14ac:dyDescent="0.25">
      <c r="A47" s="33">
        <f t="shared" si="2"/>
        <v>42124</v>
      </c>
      <c r="B47" s="78">
        <v>13888.6</v>
      </c>
      <c r="C47" s="79">
        <f t="shared" si="0"/>
        <v>2.0491986971067133E-2</v>
      </c>
      <c r="D47" s="78">
        <f t="shared" si="1"/>
        <v>14351.942134841411</v>
      </c>
      <c r="E47" s="80">
        <v>2.950340179309463E-2</v>
      </c>
      <c r="G47" s="115">
        <v>43100</v>
      </c>
      <c r="H47" s="111">
        <f t="shared" si="13"/>
        <v>17441.580000000002</v>
      </c>
      <c r="I47" s="110">
        <f t="shared" si="14"/>
        <v>18060.701685960954</v>
      </c>
      <c r="J47" s="65">
        <v>2017</v>
      </c>
      <c r="K47" s="42">
        <f t="shared" si="12"/>
        <v>0.17087366518060643</v>
      </c>
      <c r="L47" s="47">
        <f t="shared" si="12"/>
        <v>0.24623834805372735</v>
      </c>
      <c r="M47" s="116"/>
    </row>
    <row r="48" spans="1:14" ht="14.85" customHeight="1" outlineLevel="1" x14ac:dyDescent="0.25">
      <c r="A48" s="33">
        <f t="shared" si="2"/>
        <v>42155</v>
      </c>
      <c r="B48" s="78">
        <v>14089.4</v>
      </c>
      <c r="C48" s="79">
        <f t="shared" si="0"/>
        <v>1.445790072433506E-2</v>
      </c>
      <c r="D48" s="78">
        <f t="shared" si="1"/>
        <v>14344.318967504025</v>
      </c>
      <c r="E48" s="80">
        <v>-5.3115928602298634E-4</v>
      </c>
      <c r="G48" s="115">
        <v>43465</v>
      </c>
      <c r="H48" s="111">
        <f t="shared" si="13"/>
        <v>16907.79</v>
      </c>
      <c r="I48" s="110">
        <f t="shared" si="14"/>
        <v>16447.958586700224</v>
      </c>
      <c r="J48" s="65">
        <v>2018</v>
      </c>
      <c r="K48" s="42">
        <f t="shared" si="12"/>
        <v>-3.0604452119590175E-2</v>
      </c>
      <c r="L48" s="47">
        <f t="shared" si="12"/>
        <v>-8.9295705521472368E-2</v>
      </c>
      <c r="M48" s="116"/>
    </row>
    <row r="49" spans="1:14" ht="14.85" customHeight="1" outlineLevel="1" x14ac:dyDescent="0.25">
      <c r="A49" s="33">
        <f t="shared" si="2"/>
        <v>42185</v>
      </c>
      <c r="B49" s="78">
        <v>13866.29</v>
      </c>
      <c r="C49" s="79">
        <f t="shared" si="0"/>
        <v>-1.5835308813717974E-2</v>
      </c>
      <c r="D49" s="78">
        <f t="shared" si="1"/>
        <v>14012.977112769682</v>
      </c>
      <c r="E49" s="80">
        <v>-2.3099169468064118E-2</v>
      </c>
      <c r="G49" s="115">
        <v>43830</v>
      </c>
      <c r="H49" s="111">
        <f t="shared" si="13"/>
        <v>19829</v>
      </c>
      <c r="I49" s="110">
        <f t="shared" si="14"/>
        <v>20937.826865459945</v>
      </c>
      <c r="J49" s="65">
        <v>2019</v>
      </c>
      <c r="K49" s="42">
        <f t="shared" si="12"/>
        <v>0.17277302355896307</v>
      </c>
      <c r="L49" s="47">
        <f t="shared" si="12"/>
        <v>0.27297419646899024</v>
      </c>
      <c r="M49" s="116"/>
      <c r="N49" s="111"/>
    </row>
    <row r="50" spans="1:14" ht="14.85" customHeight="1" outlineLevel="1" x14ac:dyDescent="0.25">
      <c r="A50" s="33">
        <f t="shared" si="2"/>
        <v>42216</v>
      </c>
      <c r="B50" s="78">
        <v>14044.77</v>
      </c>
      <c r="C50" s="79">
        <f t="shared" si="0"/>
        <v>1.2871503480743618E-2</v>
      </c>
      <c r="D50" s="78">
        <f t="shared" si="1"/>
        <v>14139.734430123914</v>
      </c>
      <c r="E50" s="80">
        <v>9.0457092974711717E-3</v>
      </c>
      <c r="G50" s="115">
        <v>44196</v>
      </c>
      <c r="H50" s="111">
        <f t="shared" si="13"/>
        <v>20911</v>
      </c>
      <c r="I50" s="110">
        <f t="shared" si="14"/>
        <v>24459.45537800714</v>
      </c>
      <c r="J50" s="65">
        <v>2020</v>
      </c>
      <c r="K50" s="42">
        <f t="shared" si="12"/>
        <v>5.4566543950779201E-2</v>
      </c>
      <c r="L50" s="47">
        <f t="shared" si="12"/>
        <v>0.16819455692207685</v>
      </c>
      <c r="M50" s="116"/>
      <c r="N50" s="111"/>
    </row>
    <row r="51" spans="1:14" ht="14.85" customHeight="1" outlineLevel="1" x14ac:dyDescent="0.25">
      <c r="A51" s="33">
        <f t="shared" si="2"/>
        <v>42247</v>
      </c>
      <c r="B51" s="78">
        <v>13219.27</v>
      </c>
      <c r="C51" s="79">
        <f t="shared" si="0"/>
        <v>-5.8776327415828056E-2</v>
      </c>
      <c r="D51" s="78">
        <f t="shared" si="1"/>
        <v>13176.201535270438</v>
      </c>
      <c r="E51" s="80">
        <v>-6.8143634494345462E-2</v>
      </c>
      <c r="G51" s="117">
        <f>H1</f>
        <v>44286</v>
      </c>
      <c r="H51" s="111">
        <f t="shared" si="13"/>
        <v>22491</v>
      </c>
      <c r="I51" s="110">
        <f t="shared" si="14"/>
        <v>25604.488263329255</v>
      </c>
      <c r="J51" s="65">
        <v>2021</v>
      </c>
      <c r="K51" s="42">
        <f t="shared" si="12"/>
        <v>7.5558318588302864E-2</v>
      </c>
      <c r="L51" s="47">
        <f t="shared" si="12"/>
        <v>4.6813506990498244E-2</v>
      </c>
      <c r="M51" s="116"/>
      <c r="N51" s="111"/>
    </row>
    <row r="52" spans="1:14" ht="14.85" customHeight="1" outlineLevel="1" x14ac:dyDescent="0.25">
      <c r="A52" s="33">
        <f t="shared" si="2"/>
        <v>42277</v>
      </c>
      <c r="B52" s="78">
        <v>12951.54</v>
      </c>
      <c r="C52" s="79">
        <f t="shared" si="0"/>
        <v>-2.0253009432442126E-2</v>
      </c>
      <c r="D52" s="78">
        <f t="shared" si="1"/>
        <v>12704.806141081774</v>
      </c>
      <c r="E52" s="80">
        <v>-3.5776273831788274E-2</v>
      </c>
      <c r="H52" s="116"/>
      <c r="I52" s="116"/>
      <c r="J52" s="116"/>
      <c r="K52" s="116"/>
      <c r="L52" s="116"/>
      <c r="M52" s="116"/>
      <c r="N52" s="111"/>
    </row>
    <row r="53" spans="1:14" ht="14.85" customHeight="1" outlineLevel="1" x14ac:dyDescent="0.25">
      <c r="A53" s="33">
        <f t="shared" si="2"/>
        <v>42308</v>
      </c>
      <c r="B53" s="78">
        <v>13810.51</v>
      </c>
      <c r="C53" s="79">
        <f t="shared" si="0"/>
        <v>6.6321842807882225E-2</v>
      </c>
      <c r="D53" s="78">
        <f t="shared" si="1"/>
        <v>13705.213891892843</v>
      </c>
      <c r="E53" s="80">
        <v>7.8742464835900972E-2</v>
      </c>
      <c r="H53" s="116"/>
      <c r="I53" s="116"/>
      <c r="J53" s="116"/>
      <c r="K53" s="116"/>
      <c r="L53" s="116"/>
      <c r="M53" s="116"/>
      <c r="N53" s="111"/>
    </row>
    <row r="54" spans="1:14" ht="14.85" customHeight="1" outlineLevel="1" x14ac:dyDescent="0.25">
      <c r="A54" s="33">
        <f t="shared" si="2"/>
        <v>42338</v>
      </c>
      <c r="B54" s="78">
        <v>13788.2</v>
      </c>
      <c r="C54" s="79">
        <f t="shared" si="0"/>
        <v>-1.6154363596999621E-3</v>
      </c>
      <c r="D54" s="78">
        <f t="shared" si="1"/>
        <v>13598.134983246753</v>
      </c>
      <c r="E54" s="80">
        <v>-7.8130052905946989E-3</v>
      </c>
      <c r="H54" s="116"/>
      <c r="I54" s="116"/>
      <c r="J54" s="116"/>
      <c r="K54" s="116"/>
      <c r="L54" s="116"/>
      <c r="M54" s="118"/>
    </row>
    <row r="55" spans="1:14" ht="14.85" customHeight="1" outlineLevel="1" x14ac:dyDescent="0.25">
      <c r="A55" s="33">
        <f t="shared" si="2"/>
        <v>42369</v>
      </c>
      <c r="B55" s="78">
        <v>13501.7</v>
      </c>
      <c r="C55" s="79">
        <f t="shared" si="0"/>
        <v>-2.0778636805384276E-2</v>
      </c>
      <c r="D55" s="78">
        <f t="shared" si="1"/>
        <v>13358.625702483727</v>
      </c>
      <c r="E55" s="80">
        <v>-1.7613391914266696E-2</v>
      </c>
      <c r="H55" s="116"/>
      <c r="I55" s="116"/>
      <c r="J55" s="116"/>
      <c r="K55" s="116"/>
      <c r="L55" s="116"/>
      <c r="M55" s="118"/>
    </row>
    <row r="56" spans="1:14" ht="14.85" customHeight="1" outlineLevel="1" x14ac:dyDescent="0.25">
      <c r="A56" s="33">
        <f t="shared" si="2"/>
        <v>42400</v>
      </c>
      <c r="B56" s="78">
        <v>13151.74</v>
      </c>
      <c r="C56" s="79">
        <f t="shared" si="0"/>
        <v>-2.5919699000866658E-2</v>
      </c>
      <c r="D56" s="78">
        <f t="shared" si="1"/>
        <v>12556.065736522056</v>
      </c>
      <c r="E56" s="80">
        <v>-6.0078033761545746E-2</v>
      </c>
      <c r="H56" s="116"/>
      <c r="I56" s="118"/>
      <c r="J56" s="118"/>
      <c r="K56" s="118"/>
      <c r="L56" s="118"/>
      <c r="M56" s="118"/>
    </row>
    <row r="57" spans="1:14" ht="14.85" customHeight="1" outlineLevel="1" x14ac:dyDescent="0.25">
      <c r="A57" s="33">
        <f t="shared" si="2"/>
        <v>42429</v>
      </c>
      <c r="B57" s="78">
        <v>13050.14</v>
      </c>
      <c r="C57" s="79">
        <f t="shared" si="0"/>
        <v>-7.7252135458882876E-3</v>
      </c>
      <c r="D57" s="78">
        <f t="shared" si="1"/>
        <v>12476.820252805495</v>
      </c>
      <c r="E57" s="80">
        <v>-6.3113307447935085E-3</v>
      </c>
      <c r="H57" s="116"/>
      <c r="I57" s="118"/>
      <c r="J57" s="118"/>
      <c r="K57" s="118"/>
      <c r="L57" s="118"/>
      <c r="M57" s="118"/>
    </row>
    <row r="58" spans="1:14" ht="14.85" customHeight="1" outlineLevel="1" x14ac:dyDescent="0.25">
      <c r="A58" s="33">
        <f t="shared" si="2"/>
        <v>42460</v>
      </c>
      <c r="B58" s="78">
        <v>13862.95</v>
      </c>
      <c r="C58" s="79">
        <f t="shared" si="0"/>
        <v>6.2283623010940925E-2</v>
      </c>
      <c r="D58" s="78">
        <f t="shared" si="1"/>
        <v>13410.037761270756</v>
      </c>
      <c r="E58" s="80">
        <v>7.4796101054306785E-2</v>
      </c>
      <c r="H58" s="116"/>
      <c r="I58" s="118"/>
      <c r="J58" s="118"/>
      <c r="K58" s="118"/>
      <c r="L58" s="118"/>
      <c r="M58" s="118"/>
    </row>
    <row r="59" spans="1:14" ht="14.85" customHeight="1" outlineLevel="1" x14ac:dyDescent="0.25">
      <c r="A59" s="33">
        <f t="shared" si="2"/>
        <v>42490</v>
      </c>
      <c r="B59" s="78">
        <v>14088.73</v>
      </c>
      <c r="C59" s="79">
        <f t="shared" si="0"/>
        <v>1.6286576810851772E-2</v>
      </c>
      <c r="D59" s="78">
        <f t="shared" si="1"/>
        <v>13615.863279380212</v>
      </c>
      <c r="E59" s="80">
        <v>1.5348615848338243E-2</v>
      </c>
      <c r="H59" s="116"/>
      <c r="I59" s="118"/>
      <c r="J59" s="118"/>
      <c r="K59" s="118"/>
      <c r="L59" s="118"/>
      <c r="M59" s="118"/>
    </row>
    <row r="60" spans="1:14" ht="14.85" customHeight="1" outlineLevel="1" x14ac:dyDescent="0.25">
      <c r="A60" s="33">
        <f t="shared" si="2"/>
        <v>42521</v>
      </c>
      <c r="B60" s="78">
        <v>14032.28</v>
      </c>
      <c r="C60" s="79">
        <f t="shared" si="0"/>
        <v>-4.006748656550263E-3</v>
      </c>
      <c r="D60" s="78">
        <f t="shared" si="1"/>
        <v>13644.583119116414</v>
      </c>
      <c r="E60" s="80">
        <v>2.1092926057575401E-3</v>
      </c>
      <c r="H60" s="116"/>
      <c r="I60" s="118"/>
      <c r="J60" s="118"/>
      <c r="K60" s="118"/>
      <c r="L60" s="118"/>
      <c r="M60" s="118"/>
    </row>
    <row r="61" spans="1:14" ht="14.85" customHeight="1" outlineLevel="1" x14ac:dyDescent="0.25">
      <c r="A61" s="33">
        <f t="shared" si="2"/>
        <v>42551</v>
      </c>
      <c r="B61" s="78">
        <v>14043.57</v>
      </c>
      <c r="C61" s="79">
        <f t="shared" si="0"/>
        <v>8.045734549195771E-4</v>
      </c>
      <c r="D61" s="78">
        <f t="shared" si="1"/>
        <v>13569.060577587881</v>
      </c>
      <c r="E61" s="80">
        <v>-5.5349834340284731E-3</v>
      </c>
      <c r="H61" s="116"/>
      <c r="I61" s="118"/>
      <c r="J61" s="118"/>
      <c r="K61" s="118"/>
      <c r="L61" s="118"/>
      <c r="M61" s="118"/>
    </row>
    <row r="62" spans="1:14" ht="14.85" customHeight="1" outlineLevel="1" x14ac:dyDescent="0.25">
      <c r="A62" s="33">
        <f t="shared" si="2"/>
        <v>42582</v>
      </c>
      <c r="B62" s="78">
        <v>14393.53</v>
      </c>
      <c r="C62" s="79">
        <f t="shared" si="0"/>
        <v>2.4919589534569964E-2</v>
      </c>
      <c r="D62" s="78">
        <f t="shared" si="1"/>
        <v>14157.994575141376</v>
      </c>
      <c r="E62" s="80">
        <v>4.34027097296803E-2</v>
      </c>
      <c r="H62" s="116"/>
      <c r="I62" s="118"/>
      <c r="J62" s="118"/>
      <c r="K62" s="118"/>
      <c r="L62" s="118"/>
      <c r="M62" s="118"/>
    </row>
    <row r="63" spans="1:14" ht="14.85" customHeight="1" outlineLevel="1" x14ac:dyDescent="0.25">
      <c r="A63" s="33">
        <f t="shared" si="2"/>
        <v>42613</v>
      </c>
      <c r="B63" s="78">
        <v>14641.89</v>
      </c>
      <c r="C63" s="79">
        <f t="shared" si="0"/>
        <v>1.7254974978340831E-2</v>
      </c>
      <c r="D63" s="78">
        <f t="shared" si="1"/>
        <v>14212.420444271092</v>
      </c>
      <c r="E63" s="80">
        <v>3.8441792614667403E-3</v>
      </c>
      <c r="H63" s="116"/>
      <c r="I63" s="118"/>
      <c r="J63" s="118"/>
      <c r="K63" s="118"/>
      <c r="L63" s="118"/>
      <c r="M63" s="118"/>
    </row>
    <row r="64" spans="1:14" ht="14.85" customHeight="1" outlineLevel="1" x14ac:dyDescent="0.25">
      <c r="A64" s="33">
        <f t="shared" si="2"/>
        <v>42643</v>
      </c>
      <c r="B64" s="78">
        <v>14540.29</v>
      </c>
      <c r="C64" s="79">
        <f t="shared" si="0"/>
        <v>-6.9389948975165927E-3</v>
      </c>
      <c r="D64" s="78">
        <f t="shared" si="1"/>
        <v>14305.848564894422</v>
      </c>
      <c r="E64" s="80">
        <v>6.5736952399961801E-3</v>
      </c>
      <c r="H64" s="116"/>
      <c r="I64" s="118"/>
      <c r="J64" s="118"/>
      <c r="K64" s="118"/>
      <c r="L64" s="118"/>
      <c r="M64" s="118"/>
    </row>
    <row r="65" spans="1:13" ht="14.85" customHeight="1" outlineLevel="1" x14ac:dyDescent="0.25">
      <c r="A65" s="33">
        <f t="shared" si="2"/>
        <v>42674</v>
      </c>
      <c r="B65" s="78">
        <v>14224.2</v>
      </c>
      <c r="C65" s="79">
        <f t="shared" si="0"/>
        <v>-2.1738906170372108E-2</v>
      </c>
      <c r="D65" s="78">
        <f t="shared" si="1"/>
        <v>14066.339284131396</v>
      </c>
      <c r="E65" s="80">
        <v>-1.6742053410991997E-2</v>
      </c>
      <c r="H65" s="116"/>
      <c r="I65" s="118"/>
      <c r="J65" s="118"/>
      <c r="K65" s="118"/>
      <c r="L65" s="118"/>
      <c r="M65" s="118"/>
    </row>
    <row r="66" spans="1:13" ht="14.85" customHeight="1" outlineLevel="1" x14ac:dyDescent="0.25">
      <c r="A66" s="33">
        <f t="shared" si="2"/>
        <v>42704</v>
      </c>
      <c r="B66" s="78">
        <v>14382.24</v>
      </c>
      <c r="C66" s="79">
        <f t="shared" si="0"/>
        <v>1.1110642426287454E-2</v>
      </c>
      <c r="D66" s="78">
        <f t="shared" si="1"/>
        <v>14180.154945308201</v>
      </c>
      <c r="E66" s="80">
        <v>8.0913490623109041E-3</v>
      </c>
      <c r="H66" s="116"/>
      <c r="I66" s="118"/>
      <c r="J66" s="118"/>
      <c r="K66" s="118"/>
      <c r="L66" s="118"/>
      <c r="M66" s="118"/>
    </row>
    <row r="67" spans="1:13" ht="14.85" customHeight="1" outlineLevel="1" x14ac:dyDescent="0.25">
      <c r="A67" s="33">
        <f t="shared" si="2"/>
        <v>42735</v>
      </c>
      <c r="B67" s="78">
        <v>14896.21</v>
      </c>
      <c r="C67" s="79">
        <f t="shared" si="0"/>
        <v>3.5736436048904752E-2</v>
      </c>
      <c r="D67" s="78">
        <f t="shared" si="1"/>
        <v>14492.172957257073</v>
      </c>
      <c r="E67" s="80">
        <v>2.2003850673868008E-2</v>
      </c>
      <c r="H67" s="116"/>
      <c r="I67" s="118"/>
      <c r="J67" s="118"/>
      <c r="K67" s="118"/>
      <c r="L67" s="118"/>
      <c r="M67" s="118"/>
    </row>
    <row r="68" spans="1:13" x14ac:dyDescent="0.25">
      <c r="A68" s="33">
        <f t="shared" si="2"/>
        <v>42766</v>
      </c>
      <c r="B68" s="78">
        <v>15297.57</v>
      </c>
      <c r="C68" s="79">
        <f t="shared" ref="C68:C118" si="15">B68/B67-1</f>
        <v>2.6943766233155975E-2</v>
      </c>
      <c r="D68" s="78">
        <f t="shared" ref="D68:D118" si="16">D67*(1+E68)</f>
        <v>14891.414186182559</v>
      </c>
      <c r="E68" s="80">
        <v>2.7548748562620684E-2</v>
      </c>
      <c r="H68" s="116"/>
      <c r="I68" s="118"/>
      <c r="J68" s="118"/>
      <c r="K68" s="118"/>
      <c r="L68" s="118"/>
      <c r="M68" s="118"/>
    </row>
    <row r="69" spans="1:13" x14ac:dyDescent="0.25">
      <c r="A69" s="33">
        <f t="shared" ref="A69:A118" si="17">EOMONTH(A68,1)</f>
        <v>42794</v>
      </c>
      <c r="B69" s="78">
        <v>15607.19</v>
      </c>
      <c r="C69" s="79">
        <f t="shared" si="15"/>
        <v>2.0239815866180066E-2</v>
      </c>
      <c r="D69" s="78">
        <f t="shared" si="16"/>
        <v>15315.829595617559</v>
      </c>
      <c r="E69" s="80">
        <v>2.8500678587585426E-2</v>
      </c>
      <c r="J69" s="118"/>
      <c r="K69" s="118"/>
      <c r="L69" s="118"/>
      <c r="M69" s="118"/>
    </row>
    <row r="70" spans="1:13" x14ac:dyDescent="0.25">
      <c r="A70" s="33">
        <f t="shared" si="17"/>
        <v>42825</v>
      </c>
      <c r="B70" s="78">
        <v>15848.01</v>
      </c>
      <c r="C70" s="79">
        <f t="shared" si="15"/>
        <v>1.5430067808490877E-2</v>
      </c>
      <c r="D70" s="78">
        <f t="shared" si="16"/>
        <v>15513.500097505623</v>
      </c>
      <c r="E70" s="80">
        <v>1.2906287619224077E-2</v>
      </c>
      <c r="J70" s="118"/>
      <c r="K70" s="118"/>
      <c r="L70" s="118"/>
      <c r="M70" s="118"/>
    </row>
    <row r="71" spans="1:13" x14ac:dyDescent="0.25">
      <c r="A71" s="33">
        <f t="shared" si="17"/>
        <v>42855</v>
      </c>
      <c r="B71" s="119">
        <v>16042.96</v>
      </c>
      <c r="C71" s="79">
        <f t="shared" si="15"/>
        <v>1.2301228987109392E-2</v>
      </c>
      <c r="D71" s="78">
        <f t="shared" si="16"/>
        <v>15762.405375219381</v>
      </c>
      <c r="E71" s="120">
        <v>1.6044430731255721E-2</v>
      </c>
      <c r="J71" s="118"/>
      <c r="K71" s="118"/>
      <c r="L71" s="118"/>
      <c r="M71" s="118"/>
    </row>
    <row r="72" spans="1:13" x14ac:dyDescent="0.25">
      <c r="A72" s="33">
        <f t="shared" si="17"/>
        <v>42886</v>
      </c>
      <c r="B72" s="119">
        <v>16857.150000000001</v>
      </c>
      <c r="C72" s="79">
        <f t="shared" si="15"/>
        <v>5.0750609613188669E-2</v>
      </c>
      <c r="D72" s="78">
        <f t="shared" si="16"/>
        <v>16124.417182264604</v>
      </c>
      <c r="E72" s="120">
        <v>2.2966787011730716E-2</v>
      </c>
      <c r="J72" s="118"/>
      <c r="K72" s="118"/>
      <c r="L72" s="118"/>
      <c r="M72" s="110"/>
    </row>
    <row r="73" spans="1:13" x14ac:dyDescent="0.25">
      <c r="A73" s="33">
        <f t="shared" si="17"/>
        <v>42916</v>
      </c>
      <c r="B73" s="119">
        <v>16673.669999999998</v>
      </c>
      <c r="C73" s="79">
        <f t="shared" si="15"/>
        <v>-1.0884402167626428E-2</v>
      </c>
      <c r="D73" s="78">
        <f t="shared" si="16"/>
        <v>16204.371797826501</v>
      </c>
      <c r="E73" s="120">
        <v>4.9586049937879739E-3</v>
      </c>
      <c r="J73" s="118"/>
      <c r="K73" s="118"/>
      <c r="L73" s="118"/>
      <c r="M73" s="110"/>
    </row>
    <row r="74" spans="1:13" x14ac:dyDescent="0.25">
      <c r="A74" s="33">
        <f t="shared" si="17"/>
        <v>42947</v>
      </c>
      <c r="B74" s="119">
        <v>16731</v>
      </c>
      <c r="C74" s="79">
        <f t="shared" si="15"/>
        <v>3.4383552031438391E-3</v>
      </c>
      <c r="D74" s="78">
        <f t="shared" si="16"/>
        <v>16663.180101760412</v>
      </c>
      <c r="E74" s="120">
        <v>2.8313859349700321E-2</v>
      </c>
      <c r="H74" s="116"/>
      <c r="I74" s="118"/>
      <c r="J74" s="110"/>
      <c r="K74" s="110"/>
      <c r="L74" s="110"/>
      <c r="M74" s="110"/>
    </row>
    <row r="75" spans="1:13" x14ac:dyDescent="0.25">
      <c r="A75" s="33">
        <f t="shared" si="17"/>
        <v>42978</v>
      </c>
      <c r="B75" s="119">
        <v>16776.87</v>
      </c>
      <c r="C75" s="79">
        <f t="shared" si="15"/>
        <v>2.7416173570018465E-3</v>
      </c>
      <c r="D75" s="78">
        <f t="shared" si="16"/>
        <v>16735.156984062254</v>
      </c>
      <c r="E75" s="120">
        <v>4.3195165546003889E-3</v>
      </c>
      <c r="H75" s="111"/>
      <c r="I75" s="110"/>
      <c r="J75" s="110"/>
      <c r="K75" s="110"/>
      <c r="L75" s="110"/>
      <c r="M75" s="110"/>
    </row>
    <row r="76" spans="1:13" x14ac:dyDescent="0.25">
      <c r="A76" s="33">
        <f t="shared" si="17"/>
        <v>43008</v>
      </c>
      <c r="B76" s="119">
        <v>17017.689999999999</v>
      </c>
      <c r="C76" s="79">
        <f t="shared" si="15"/>
        <v>1.4354286586234499E-2</v>
      </c>
      <c r="D76" s="78">
        <f t="shared" si="16"/>
        <v>17064.72600918325</v>
      </c>
      <c r="E76" s="120">
        <v>1.9693213839276247E-2</v>
      </c>
      <c r="H76" s="111"/>
      <c r="I76" s="110"/>
      <c r="J76" s="110"/>
      <c r="K76" s="110"/>
      <c r="L76" s="110"/>
      <c r="M76" s="110"/>
    </row>
    <row r="77" spans="1:13" x14ac:dyDescent="0.25">
      <c r="A77" s="33">
        <f t="shared" si="17"/>
        <v>43039</v>
      </c>
      <c r="B77" s="119">
        <v>16983.29</v>
      </c>
      <c r="C77" s="79">
        <f t="shared" si="15"/>
        <v>-2.0214259397132173E-3</v>
      </c>
      <c r="D77" s="78">
        <f t="shared" si="16"/>
        <v>17423.014874040447</v>
      </c>
      <c r="E77" s="120">
        <v>2.099587562462979E-2</v>
      </c>
      <c r="H77" s="111"/>
      <c r="I77" s="110"/>
      <c r="J77" s="110"/>
      <c r="K77" s="110"/>
      <c r="L77" s="110"/>
      <c r="M77" s="110"/>
    </row>
    <row r="78" spans="1:13" x14ac:dyDescent="0.25">
      <c r="A78" s="33">
        <f t="shared" si="17"/>
        <v>43069</v>
      </c>
      <c r="B78" s="119">
        <v>17040.62</v>
      </c>
      <c r="C78" s="79">
        <f t="shared" si="15"/>
        <v>3.375671027227245E-3</v>
      </c>
      <c r="D78" s="78">
        <f t="shared" si="16"/>
        <v>17768.184799758888</v>
      </c>
      <c r="E78" s="120">
        <v>1.9811147968009202E-2</v>
      </c>
      <c r="H78" s="111"/>
      <c r="I78" s="110"/>
      <c r="J78" s="110"/>
      <c r="K78" s="110"/>
      <c r="L78" s="110"/>
      <c r="M78" s="110"/>
    </row>
    <row r="79" spans="1:13" x14ac:dyDescent="0.25">
      <c r="A79" s="33">
        <f t="shared" si="17"/>
        <v>43100</v>
      </c>
      <c r="B79" s="119">
        <v>17441.580000000002</v>
      </c>
      <c r="C79" s="79">
        <f t="shared" si="15"/>
        <v>2.352966030578707E-2</v>
      </c>
      <c r="D79" s="78">
        <f t="shared" si="16"/>
        <v>18060.701685960954</v>
      </c>
      <c r="E79" s="120">
        <v>1.6462958343726575E-2</v>
      </c>
      <c r="H79" s="111"/>
      <c r="I79" s="110"/>
      <c r="J79" s="110"/>
      <c r="K79" s="110"/>
      <c r="L79" s="110"/>
      <c r="M79" s="110"/>
    </row>
    <row r="80" spans="1:13" x14ac:dyDescent="0.25">
      <c r="A80" s="33">
        <f t="shared" si="17"/>
        <v>43131</v>
      </c>
      <c r="B80" s="119">
        <v>18244.04</v>
      </c>
      <c r="C80" s="79">
        <f t="shared" si="15"/>
        <v>4.6008446482486143E-2</v>
      </c>
      <c r="D80" s="78">
        <f t="shared" si="16"/>
        <v>19083.447089900183</v>
      </c>
      <c r="E80" s="120">
        <v>5.6628220858895739E-2</v>
      </c>
      <c r="H80" s="111"/>
      <c r="I80" s="110"/>
      <c r="J80" s="110"/>
      <c r="K80" s="110"/>
      <c r="L80" s="110"/>
      <c r="M80" s="110"/>
    </row>
    <row r="81" spans="1:13" x14ac:dyDescent="0.25">
      <c r="A81" s="33">
        <f t="shared" si="17"/>
        <v>43159</v>
      </c>
      <c r="B81" s="119">
        <v>17807.41</v>
      </c>
      <c r="C81" s="79">
        <f t="shared" si="15"/>
        <v>-2.3932747352012007E-2</v>
      </c>
      <c r="D81" s="78">
        <f t="shared" si="16"/>
        <v>18289.219423121238</v>
      </c>
      <c r="E81" s="120">
        <v>-4.1618668945784254E-2</v>
      </c>
      <c r="H81" s="111"/>
      <c r="I81" s="110"/>
      <c r="J81" s="110"/>
      <c r="K81" s="110"/>
      <c r="L81" s="110"/>
      <c r="M81" s="110"/>
    </row>
    <row r="82" spans="1:13" x14ac:dyDescent="0.25">
      <c r="A82" s="33">
        <f t="shared" si="17"/>
        <v>43190</v>
      </c>
      <c r="B82" s="119">
        <v>17713</v>
      </c>
      <c r="C82" s="79">
        <f t="shared" si="15"/>
        <v>-5.3017255176356359E-3</v>
      </c>
      <c r="D82" s="78">
        <f t="shared" si="16"/>
        <v>17908.770188097213</v>
      </c>
      <c r="E82" s="120">
        <v>-2.0801830095769969E-2</v>
      </c>
      <c r="H82" s="111"/>
      <c r="I82" s="110"/>
      <c r="J82" s="110"/>
      <c r="K82" s="110"/>
      <c r="L82" s="110"/>
      <c r="M82" s="110"/>
    </row>
    <row r="83" spans="1:13" x14ac:dyDescent="0.25">
      <c r="A83" s="33">
        <f t="shared" si="17"/>
        <v>43220</v>
      </c>
      <c r="B83" s="119">
        <v>17831.009999999998</v>
      </c>
      <c r="C83" s="79">
        <f t="shared" si="15"/>
        <v>6.6623383955286553E-3</v>
      </c>
      <c r="D83" s="78">
        <f t="shared" si="16"/>
        <v>18089.95337458116</v>
      </c>
      <c r="E83" s="120">
        <v>1.0117008849908071E-2</v>
      </c>
      <c r="H83" s="111"/>
      <c r="I83" s="110"/>
      <c r="J83" s="110"/>
      <c r="K83" s="110"/>
      <c r="L83" s="110"/>
      <c r="M83" s="110"/>
    </row>
    <row r="84" spans="1:13" x14ac:dyDescent="0.25">
      <c r="A84" s="33">
        <f t="shared" si="17"/>
        <v>43251</v>
      </c>
      <c r="B84" s="119">
        <v>17689.400000000001</v>
      </c>
      <c r="C84" s="79">
        <f t="shared" si="15"/>
        <v>-7.9417823219209982E-3</v>
      </c>
      <c r="D84" s="78">
        <f t="shared" si="16"/>
        <v>18128.069211268095</v>
      </c>
      <c r="E84" s="120">
        <v>2.1070168561347913E-3</v>
      </c>
      <c r="H84" s="111"/>
      <c r="I84" s="110"/>
      <c r="J84" s="110"/>
      <c r="K84" s="110"/>
      <c r="L84" s="110"/>
      <c r="M84" s="110"/>
    </row>
    <row r="85" spans="1:13" x14ac:dyDescent="0.25">
      <c r="A85" s="33">
        <f t="shared" si="17"/>
        <v>43281</v>
      </c>
      <c r="B85" s="119">
        <v>18090.63</v>
      </c>
      <c r="C85" s="79">
        <f t="shared" si="15"/>
        <v>2.268194511967625E-2</v>
      </c>
      <c r="D85" s="78">
        <f t="shared" si="16"/>
        <v>18037.123052103452</v>
      </c>
      <c r="E85" s="120">
        <v>-5.0168695907290006E-3</v>
      </c>
      <c r="H85" s="111"/>
      <c r="I85" s="110"/>
      <c r="J85" s="110"/>
      <c r="K85" s="110"/>
      <c r="L85" s="110"/>
      <c r="M85" s="110"/>
    </row>
    <row r="86" spans="1:13" x14ac:dyDescent="0.25">
      <c r="A86" s="33">
        <f t="shared" si="17"/>
        <v>43312</v>
      </c>
      <c r="B86" s="119">
        <v>18173.23</v>
      </c>
      <c r="C86" s="79">
        <f t="shared" si="15"/>
        <v>4.565899584480837E-3</v>
      </c>
      <c r="D86" s="78">
        <f t="shared" si="16"/>
        <v>18586.877515202006</v>
      </c>
      <c r="E86" s="120">
        <v>3.047905486426461E-2</v>
      </c>
      <c r="H86" s="111"/>
      <c r="I86" s="110"/>
      <c r="J86" s="110"/>
      <c r="K86" s="110"/>
      <c r="L86" s="110"/>
      <c r="M86" s="110"/>
    </row>
    <row r="87" spans="1:13" x14ac:dyDescent="0.25">
      <c r="A87" s="33">
        <f t="shared" si="17"/>
        <v>43343</v>
      </c>
      <c r="B87" s="119">
        <v>18480.060000000001</v>
      </c>
      <c r="C87" s="79">
        <f t="shared" si="15"/>
        <v>1.6883624980259526E-2</v>
      </c>
      <c r="D87" s="78">
        <f t="shared" si="16"/>
        <v>18741.290974524432</v>
      </c>
      <c r="E87" s="120">
        <v>8.307660024989838E-3</v>
      </c>
      <c r="H87" s="111"/>
      <c r="I87" s="110"/>
      <c r="J87" s="110"/>
      <c r="K87" s="110"/>
      <c r="L87" s="110"/>
      <c r="M87" s="110"/>
    </row>
    <row r="88" spans="1:13" x14ac:dyDescent="0.25">
      <c r="A88" s="33">
        <f t="shared" si="17"/>
        <v>43373</v>
      </c>
      <c r="B88" s="119">
        <v>18515.46</v>
      </c>
      <c r="C88" s="79">
        <f t="shared" si="15"/>
        <v>1.9155781961746055E-3</v>
      </c>
      <c r="D88" s="78">
        <f t="shared" si="16"/>
        <v>18830.464304075726</v>
      </c>
      <c r="E88" s="120">
        <v>4.7581209678944081E-3</v>
      </c>
      <c r="H88" s="111"/>
      <c r="I88" s="110"/>
      <c r="J88" s="110"/>
      <c r="K88" s="110"/>
      <c r="L88" s="110"/>
      <c r="M88" s="110"/>
    </row>
    <row r="89" spans="1:13" x14ac:dyDescent="0.25">
      <c r="A89" s="33">
        <f t="shared" si="17"/>
        <v>43404</v>
      </c>
      <c r="B89" s="119">
        <v>17583.189999999999</v>
      </c>
      <c r="C89" s="79">
        <f t="shared" si="15"/>
        <v>-5.0350895953975794E-2</v>
      </c>
      <c r="D89" s="78">
        <f t="shared" si="16"/>
        <v>17423.54672292445</v>
      </c>
      <c r="E89" s="120">
        <v>-7.4714970296656968E-2</v>
      </c>
      <c r="H89" s="111"/>
      <c r="I89" s="110"/>
      <c r="J89" s="110"/>
      <c r="K89" s="110"/>
      <c r="L89" s="110"/>
      <c r="M89" s="110"/>
    </row>
    <row r="90" spans="1:13" x14ac:dyDescent="0.25">
      <c r="A90" s="33">
        <f t="shared" si="17"/>
        <v>43434</v>
      </c>
      <c r="B90" s="119">
        <v>17960.82</v>
      </c>
      <c r="C90" s="79">
        <f t="shared" si="15"/>
        <v>2.1476762748966483E-2</v>
      </c>
      <c r="D90" s="78">
        <f t="shared" si="16"/>
        <v>17686.634637544976</v>
      </c>
      <c r="E90" s="120">
        <v>1.5099561461523692E-2</v>
      </c>
      <c r="H90" s="111"/>
      <c r="I90" s="110"/>
      <c r="J90" s="110"/>
      <c r="K90" s="110"/>
      <c r="L90" s="110"/>
      <c r="M90" s="110"/>
    </row>
    <row r="91" spans="1:13" x14ac:dyDescent="0.25">
      <c r="A91" s="33">
        <f t="shared" si="17"/>
        <v>43465</v>
      </c>
      <c r="B91" s="119">
        <v>16907.79</v>
      </c>
      <c r="C91" s="79">
        <f t="shared" si="15"/>
        <v>-5.8629283072821781E-2</v>
      </c>
      <c r="D91" s="78">
        <f t="shared" si="16"/>
        <v>16447.958586700224</v>
      </c>
      <c r="E91" s="120">
        <v>-7.003458126597506E-2</v>
      </c>
      <c r="H91" s="111"/>
      <c r="I91" s="110"/>
      <c r="J91" s="110"/>
      <c r="K91" s="110"/>
      <c r="L91" s="110"/>
      <c r="M91" s="110"/>
    </row>
    <row r="92" spans="1:13" x14ac:dyDescent="0.25">
      <c r="A92" s="33">
        <f t="shared" si="17"/>
        <v>43496</v>
      </c>
      <c r="B92" s="119">
        <v>17954.830000000002</v>
      </c>
      <c r="C92" s="79">
        <f t="shared" si="15"/>
        <v>6.1926484774178059E-2</v>
      </c>
      <c r="D92" s="78">
        <f t="shared" si="16"/>
        <v>17751.874767316105</v>
      </c>
      <c r="E92" s="120">
        <v>7.9275259220936034E-2</v>
      </c>
      <c r="H92" s="111"/>
      <c r="I92" s="110"/>
      <c r="J92" s="110"/>
      <c r="K92" s="110"/>
      <c r="L92" s="110"/>
      <c r="M92" s="110"/>
    </row>
    <row r="93" spans="1:13" x14ac:dyDescent="0.25">
      <c r="A93" s="33">
        <f t="shared" si="17"/>
        <v>43524</v>
      </c>
      <c r="B93" s="119">
        <v>18433.11</v>
      </c>
      <c r="C93" s="79">
        <f t="shared" si="15"/>
        <v>2.6637957585786021E-2</v>
      </c>
      <c r="D93" s="78">
        <f t="shared" si="16"/>
        <v>18234.616271030183</v>
      </c>
      <c r="E93" s="120">
        <v>2.7193832203169732E-2</v>
      </c>
      <c r="H93" s="111"/>
      <c r="I93" s="110"/>
      <c r="J93" s="110"/>
      <c r="K93" s="110"/>
      <c r="L93" s="110"/>
      <c r="M93" s="110"/>
    </row>
    <row r="94" spans="1:13" x14ac:dyDescent="0.25">
      <c r="A94" s="33">
        <f t="shared" si="17"/>
        <v>43555</v>
      </c>
      <c r="B94" s="119">
        <v>18446.03</v>
      </c>
      <c r="C94" s="79">
        <f t="shared" si="15"/>
        <v>7.0091265120209023E-4</v>
      </c>
      <c r="D94" s="78">
        <f t="shared" si="16"/>
        <v>18475.366532522552</v>
      </c>
      <c r="E94" s="120">
        <v>1.3202924476938716E-2</v>
      </c>
      <c r="H94" s="111"/>
      <c r="I94" s="110"/>
      <c r="J94" s="110"/>
      <c r="K94" s="110"/>
      <c r="L94" s="110"/>
      <c r="M94" s="110"/>
    </row>
    <row r="95" spans="1:13" x14ac:dyDescent="0.25">
      <c r="A95" s="33">
        <f t="shared" si="17"/>
        <v>43585</v>
      </c>
      <c r="B95" s="119">
        <v>18743.34</v>
      </c>
      <c r="C95" s="79">
        <f t="shared" si="15"/>
        <v>1.611783131654887E-2</v>
      </c>
      <c r="D95" s="78">
        <f t="shared" si="16"/>
        <v>19108.975836332364</v>
      </c>
      <c r="E95" s="120">
        <v>3.4294816435411768E-2</v>
      </c>
      <c r="H95" s="111"/>
      <c r="I95" s="110"/>
      <c r="J95" s="110"/>
      <c r="K95" s="110"/>
      <c r="L95" s="110"/>
      <c r="M95" s="110"/>
    </row>
    <row r="96" spans="1:13" x14ac:dyDescent="0.25">
      <c r="A96" s="33">
        <f t="shared" si="17"/>
        <v>43616</v>
      </c>
      <c r="B96" s="119">
        <v>18019.46</v>
      </c>
      <c r="C96" s="79">
        <f t="shared" si="15"/>
        <v>-3.8620651388706628E-2</v>
      </c>
      <c r="D96" s="78">
        <f t="shared" si="16"/>
        <v>17991.384048079133</v>
      </c>
      <c r="E96" s="120">
        <v>-5.8485174601996537E-2</v>
      </c>
      <c r="H96" s="111"/>
      <c r="I96" s="110"/>
      <c r="J96" s="110"/>
      <c r="K96" s="110"/>
      <c r="L96" s="110"/>
      <c r="M96" s="110"/>
    </row>
    <row r="97" spans="1:13" x14ac:dyDescent="0.25">
      <c r="A97" s="33">
        <f t="shared" si="17"/>
        <v>43646</v>
      </c>
      <c r="B97" s="119">
        <v>19066.5</v>
      </c>
      <c r="C97" s="79">
        <f t="shared" si="15"/>
        <v>5.8106069771236335E-2</v>
      </c>
      <c r="D97" s="78">
        <f t="shared" si="16"/>
        <v>19177.761625330182</v>
      </c>
      <c r="E97" s="120">
        <v>6.5941429190808254E-2</v>
      </c>
      <c r="H97" s="111"/>
      <c r="I97" s="110"/>
      <c r="J97" s="110"/>
      <c r="K97" s="110"/>
      <c r="L97" s="110"/>
      <c r="M97" s="110"/>
    </row>
    <row r="98" spans="1:13" x14ac:dyDescent="0.25">
      <c r="A98" s="33">
        <f t="shared" si="17"/>
        <v>43677</v>
      </c>
      <c r="B98" s="119">
        <v>19273.330000000002</v>
      </c>
      <c r="C98" s="79">
        <f t="shared" si="15"/>
        <v>1.0847822096347048E-2</v>
      </c>
      <c r="D98" s="78">
        <f t="shared" si="16"/>
        <v>19240.697076603956</v>
      </c>
      <c r="E98" s="120">
        <v>3.2816890992455328E-3</v>
      </c>
      <c r="H98" s="111"/>
      <c r="I98" s="110"/>
      <c r="J98" s="110"/>
      <c r="K98" s="110"/>
      <c r="L98" s="110"/>
      <c r="M98" s="110"/>
    </row>
    <row r="99" spans="1:13" x14ac:dyDescent="0.25">
      <c r="A99" s="33">
        <f t="shared" si="17"/>
        <v>43708</v>
      </c>
      <c r="B99" s="119">
        <v>18976.02</v>
      </c>
      <c r="C99" s="79">
        <f t="shared" si="15"/>
        <v>-1.5425979838460724E-2</v>
      </c>
      <c r="D99" s="78">
        <f t="shared" si="16"/>
        <v>18792.880316272793</v>
      </c>
      <c r="E99" s="120">
        <v>-2.3274456146170186E-2</v>
      </c>
      <c r="H99" s="111"/>
      <c r="I99" s="110"/>
      <c r="J99" s="110"/>
      <c r="K99" s="110"/>
      <c r="L99" s="110"/>
      <c r="M99" s="110"/>
    </row>
    <row r="100" spans="1:13" x14ac:dyDescent="0.25">
      <c r="A100" s="33">
        <f t="shared" si="17"/>
        <v>43738</v>
      </c>
      <c r="B100" s="119">
        <v>19156.990000000002</v>
      </c>
      <c r="C100" s="79">
        <f t="shared" si="15"/>
        <v>9.5367732538225169E-3</v>
      </c>
      <c r="D100" s="78">
        <f t="shared" si="16"/>
        <v>19197.085468115649</v>
      </c>
      <c r="E100" s="120">
        <v>2.1508419414178581E-2</v>
      </c>
      <c r="H100" s="111"/>
      <c r="I100" s="110"/>
      <c r="J100" s="110"/>
      <c r="K100" s="110"/>
      <c r="L100" s="110"/>
      <c r="M100" s="110"/>
    </row>
    <row r="101" spans="1:13" x14ac:dyDescent="0.25">
      <c r="A101" s="33">
        <f t="shared" si="17"/>
        <v>43769</v>
      </c>
      <c r="B101" s="119">
        <v>18937</v>
      </c>
      <c r="C101" s="79">
        <f t="shared" si="15"/>
        <v>-1.1483536818675644E-2</v>
      </c>
      <c r="D101" s="78">
        <f t="shared" si="16"/>
        <v>19727.338805467396</v>
      </c>
      <c r="E101" s="120">
        <v>2.7621554231888057E-2</v>
      </c>
      <c r="H101" s="111"/>
      <c r="I101" s="110"/>
      <c r="J101" s="110"/>
      <c r="K101" s="110"/>
      <c r="L101" s="110"/>
      <c r="M101" s="110"/>
    </row>
    <row r="102" spans="1:13" x14ac:dyDescent="0.25">
      <c r="A102" s="33">
        <f t="shared" si="17"/>
        <v>43799</v>
      </c>
      <c r="B102" s="119">
        <v>19144</v>
      </c>
      <c r="C102" s="79">
        <f t="shared" si="15"/>
        <v>1.0930981676083862E-2</v>
      </c>
      <c r="D102" s="78">
        <f t="shared" si="16"/>
        <v>20217.348910596193</v>
      </c>
      <c r="E102" s="120">
        <v>2.4839138718142362E-2</v>
      </c>
      <c r="H102" s="111"/>
      <c r="I102" s="110"/>
      <c r="J102" s="110"/>
      <c r="K102" s="110"/>
      <c r="L102" s="110"/>
      <c r="M102" s="110"/>
    </row>
    <row r="103" spans="1:13" x14ac:dyDescent="0.25">
      <c r="A103" s="33">
        <f t="shared" si="17"/>
        <v>43830</v>
      </c>
      <c r="B103" s="119">
        <v>19829</v>
      </c>
      <c r="C103" s="79">
        <f t="shared" si="15"/>
        <v>3.5781445883827923E-2</v>
      </c>
      <c r="D103" s="78">
        <f t="shared" si="16"/>
        <v>20937.826865459945</v>
      </c>
      <c r="E103" s="120">
        <v>3.5636618730269909E-2</v>
      </c>
      <c r="H103" s="111"/>
      <c r="I103" s="110"/>
      <c r="J103" s="110"/>
      <c r="K103" s="110"/>
      <c r="L103" s="110"/>
      <c r="M103" s="110"/>
    </row>
    <row r="104" spans="1:13" x14ac:dyDescent="0.25">
      <c r="A104" s="33">
        <f t="shared" si="17"/>
        <v>43861</v>
      </c>
      <c r="B104" s="119">
        <v>19428</v>
      </c>
      <c r="C104" s="79">
        <f t="shared" si="15"/>
        <v>-2.0222905844974548E-2</v>
      </c>
      <c r="D104" s="78">
        <f t="shared" si="16"/>
        <v>20711.79108975835</v>
      </c>
      <c r="E104" s="120">
        <v>-1.0795570006096322E-2</v>
      </c>
      <c r="H104" s="111"/>
      <c r="I104" s="110"/>
      <c r="J104" s="110"/>
      <c r="K104" s="110"/>
      <c r="L104" s="110"/>
      <c r="M104" s="110"/>
    </row>
    <row r="105" spans="1:13" x14ac:dyDescent="0.25">
      <c r="A105" s="33">
        <f t="shared" si="17"/>
        <v>43890</v>
      </c>
      <c r="B105" s="119">
        <v>17635</v>
      </c>
      <c r="C105" s="79">
        <f t="shared" si="15"/>
        <v>-9.2289479102326544E-2</v>
      </c>
      <c r="D105" s="78">
        <f t="shared" si="16"/>
        <v>19046.926799865254</v>
      </c>
      <c r="E105" s="120">
        <v>-8.0382439291614149E-2</v>
      </c>
      <c r="H105" s="111"/>
      <c r="I105" s="110"/>
      <c r="J105" s="110"/>
      <c r="K105" s="110"/>
      <c r="L105" s="110"/>
      <c r="M105" s="110"/>
    </row>
    <row r="106" spans="1:13" x14ac:dyDescent="0.25">
      <c r="A106" s="33">
        <f t="shared" si="17"/>
        <v>43921</v>
      </c>
      <c r="B106" s="119">
        <v>15374</v>
      </c>
      <c r="C106" s="79">
        <f t="shared" si="15"/>
        <v>-0.12821094414516587</v>
      </c>
      <c r="D106" s="78">
        <f t="shared" si="16"/>
        <v>16486.960838193831</v>
      </c>
      <c r="E106" s="120">
        <v>-0.13440309760047664</v>
      </c>
      <c r="H106" s="111"/>
      <c r="I106" s="110"/>
      <c r="J106" s="110"/>
      <c r="K106" s="110"/>
      <c r="L106" s="110"/>
      <c r="M106" s="110"/>
    </row>
    <row r="107" spans="1:13" x14ac:dyDescent="0.25">
      <c r="A107" s="33">
        <f t="shared" si="17"/>
        <v>43951</v>
      </c>
      <c r="B107" s="129">
        <v>16591</v>
      </c>
      <c r="C107" s="79">
        <f t="shared" si="15"/>
        <v>7.9159620137895237E-2</v>
      </c>
      <c r="D107" s="78">
        <f t="shared" si="16"/>
        <v>18261.563281153034</v>
      </c>
      <c r="E107" s="120">
        <v>0.10763672337039498</v>
      </c>
      <c r="H107" s="111"/>
      <c r="I107" s="110"/>
      <c r="J107" s="110"/>
      <c r="K107" s="110"/>
      <c r="L107" s="110"/>
      <c r="M107" s="110"/>
    </row>
    <row r="108" spans="1:13" x14ac:dyDescent="0.25">
      <c r="A108" s="33">
        <f t="shared" si="17"/>
        <v>43982</v>
      </c>
      <c r="B108" s="129">
        <v>17488</v>
      </c>
      <c r="C108" s="79">
        <f t="shared" si="15"/>
        <v>5.4065457175577203E-2</v>
      </c>
      <c r="D108" s="78">
        <f t="shared" si="16"/>
        <v>19066.782491534723</v>
      </c>
      <c r="E108" s="120">
        <v>4.4093662628145402E-2</v>
      </c>
      <c r="H108" s="111"/>
      <c r="I108" s="110"/>
      <c r="J108" s="110"/>
      <c r="K108" s="110"/>
      <c r="L108" s="110"/>
      <c r="M108" s="110"/>
    </row>
    <row r="109" spans="1:13" x14ac:dyDescent="0.25">
      <c r="A109" s="33">
        <f t="shared" si="17"/>
        <v>44012</v>
      </c>
      <c r="B109" s="129">
        <v>17769</v>
      </c>
      <c r="C109" s="79">
        <f t="shared" si="15"/>
        <v>1.6068161024702654E-2</v>
      </c>
      <c r="D109" s="78">
        <f t="shared" si="16"/>
        <v>19684.259045863084</v>
      </c>
      <c r="E109" s="120">
        <v>3.2384937238493672E-2</v>
      </c>
      <c r="H109" s="111"/>
      <c r="I109" s="110"/>
      <c r="J109" s="110"/>
      <c r="K109" s="110"/>
      <c r="L109" s="110"/>
      <c r="M109" s="110"/>
    </row>
    <row r="110" spans="1:13" x14ac:dyDescent="0.25">
      <c r="A110" s="33">
        <f t="shared" si="17"/>
        <v>44043</v>
      </c>
      <c r="B110" s="129">
        <v>18411</v>
      </c>
      <c r="C110" s="79">
        <f t="shared" si="15"/>
        <v>3.6130339355056496E-2</v>
      </c>
      <c r="D110" s="78">
        <f t="shared" si="16"/>
        <v>20733.242328079828</v>
      </c>
      <c r="E110" s="120">
        <v>5.3290463195626581E-2</v>
      </c>
      <c r="H110" s="111"/>
      <c r="I110" s="110"/>
      <c r="J110" s="110"/>
      <c r="K110" s="110"/>
      <c r="L110" s="110"/>
      <c r="M110" s="110"/>
    </row>
    <row r="111" spans="1:13" x14ac:dyDescent="0.25">
      <c r="A111" s="33">
        <f t="shared" si="17"/>
        <v>44074</v>
      </c>
      <c r="B111" s="129">
        <v>19093</v>
      </c>
      <c r="C111" s="79">
        <f t="shared" si="15"/>
        <v>3.7043072076476058E-2</v>
      </c>
      <c r="D111" s="78">
        <f t="shared" si="16"/>
        <v>22010.034215611515</v>
      </c>
      <c r="E111" s="120">
        <v>6.1581872595126042E-2</v>
      </c>
      <c r="H111" s="111"/>
      <c r="I111" s="110"/>
      <c r="J111" s="110"/>
      <c r="K111" s="110"/>
      <c r="L111" s="110"/>
      <c r="M111" s="110"/>
    </row>
    <row r="112" spans="1:13" x14ac:dyDescent="0.25">
      <c r="A112" s="33">
        <f t="shared" si="17"/>
        <v>44104</v>
      </c>
      <c r="B112" s="129">
        <v>18371</v>
      </c>
      <c r="C112" s="79">
        <f t="shared" si="15"/>
        <v>-3.7814905986487179E-2</v>
      </c>
      <c r="D112" s="78">
        <f t="shared" si="16"/>
        <v>21308.52553761056</v>
      </c>
      <c r="E112" s="120">
        <v>-3.1872221148269819E-2</v>
      </c>
      <c r="H112" s="111"/>
      <c r="I112" s="110"/>
      <c r="J112" s="110"/>
      <c r="K112" s="110"/>
      <c r="L112" s="110"/>
      <c r="M112" s="110"/>
    </row>
    <row r="113" spans="1:13" x14ac:dyDescent="0.25">
      <c r="A113" s="33">
        <f t="shared" si="17"/>
        <v>44135</v>
      </c>
      <c r="B113" s="129">
        <v>18010</v>
      </c>
      <c r="C113" s="79">
        <f t="shared" si="15"/>
        <v>-1.9650536171139321E-2</v>
      </c>
      <c r="D113" s="78">
        <f t="shared" si="16"/>
        <v>20795.536959976966</v>
      </c>
      <c r="E113" s="120">
        <v>-2.4074334788117713E-2</v>
      </c>
      <c r="H113" s="111"/>
      <c r="I113" s="110"/>
      <c r="J113" s="110"/>
      <c r="K113" s="110"/>
      <c r="L113" s="110"/>
      <c r="M113" s="110"/>
    </row>
    <row r="114" spans="1:13" x14ac:dyDescent="0.25">
      <c r="A114" s="33">
        <f t="shared" si="17"/>
        <v>44165</v>
      </c>
      <c r="B114" s="129">
        <v>19883</v>
      </c>
      <c r="C114" s="79">
        <f t="shared" si="15"/>
        <v>0.10399777901166019</v>
      </c>
      <c r="D114" s="78">
        <f t="shared" si="16"/>
        <v>23366.479714549994</v>
      </c>
      <c r="E114" s="120">
        <v>0.12362954414310434</v>
      </c>
      <c r="H114" s="111"/>
      <c r="I114" s="110"/>
      <c r="J114" s="110"/>
      <c r="K114" s="110"/>
      <c r="L114" s="110"/>
      <c r="M114" s="110"/>
    </row>
    <row r="115" spans="1:13" x14ac:dyDescent="0.25">
      <c r="A115" s="33">
        <f t="shared" si="17"/>
        <v>44196</v>
      </c>
      <c r="B115" s="129">
        <v>20911</v>
      </c>
      <c r="C115" s="79">
        <f t="shared" si="15"/>
        <v>5.1702459387416466E-2</v>
      </c>
      <c r="D115" s="78">
        <f t="shared" si="16"/>
        <v>24459.45537800714</v>
      </c>
      <c r="E115" s="120">
        <v>4.6775366970513987E-2</v>
      </c>
      <c r="H115" s="111"/>
      <c r="I115" s="110"/>
      <c r="J115" s="110"/>
      <c r="K115" s="110"/>
      <c r="L115" s="110"/>
      <c r="M115" s="110"/>
    </row>
    <row r="116" spans="1:13" x14ac:dyDescent="0.25">
      <c r="A116" s="33">
        <f t="shared" si="17"/>
        <v>44227</v>
      </c>
      <c r="B116" s="129">
        <v>21006</v>
      </c>
      <c r="C116" s="79">
        <f t="shared" si="15"/>
        <v>4.5430634594232355E-3</v>
      </c>
      <c r="D116" s="78">
        <f t="shared" si="16"/>
        <v>24354.152771739708</v>
      </c>
      <c r="E116" s="120">
        <v>-4.3051901458981412E-3</v>
      </c>
      <c r="H116" s="111"/>
      <c r="I116" s="110"/>
      <c r="J116" s="110"/>
      <c r="K116" s="110"/>
      <c r="L116" s="110"/>
      <c r="M116" s="110"/>
    </row>
    <row r="117" spans="1:13" x14ac:dyDescent="0.25">
      <c r="A117" s="33">
        <f t="shared" si="17"/>
        <v>44255</v>
      </c>
      <c r="B117" s="129">
        <v>21524</v>
      </c>
      <c r="C117" s="79">
        <f t="shared" si="15"/>
        <v>2.4659621060649339E-2</v>
      </c>
      <c r="D117" s="78">
        <f t="shared" si="16"/>
        <v>24925.516913153733</v>
      </c>
      <c r="E117" s="120">
        <v>2.3460645367923805E-2</v>
      </c>
      <c r="H117" s="111"/>
      <c r="I117" s="110"/>
      <c r="J117" s="110"/>
      <c r="K117" s="110"/>
      <c r="L117" s="110"/>
      <c r="M117" s="110"/>
    </row>
    <row r="118" spans="1:13" x14ac:dyDescent="0.25">
      <c r="A118" s="33">
        <f t="shared" si="17"/>
        <v>44286</v>
      </c>
      <c r="B118" s="129">
        <v>22491</v>
      </c>
      <c r="C118" s="79">
        <f t="shared" si="15"/>
        <v>4.4926593569968309E-2</v>
      </c>
      <c r="D118" s="78">
        <f t="shared" si="16"/>
        <v>25604.488263329255</v>
      </c>
      <c r="E118" s="120">
        <v>2.7240010810656967E-2</v>
      </c>
      <c r="H118" s="111"/>
      <c r="I118" s="110"/>
      <c r="J118" s="110"/>
      <c r="K118" s="110"/>
      <c r="L118" s="110"/>
      <c r="M118" s="110"/>
    </row>
    <row r="119" spans="1:13" x14ac:dyDescent="0.25">
      <c r="B119" s="78"/>
      <c r="C119" s="79"/>
      <c r="D119" s="121"/>
      <c r="E119" s="80"/>
      <c r="H119" s="111"/>
      <c r="I119" s="110"/>
      <c r="J119" s="110"/>
      <c r="K119" s="110"/>
      <c r="L119" s="110"/>
      <c r="M119" s="110"/>
    </row>
    <row r="120" spans="1:13" x14ac:dyDescent="0.25">
      <c r="C120" s="79"/>
      <c r="E120" s="80"/>
      <c r="H120" s="111"/>
      <c r="I120" s="110"/>
      <c r="J120" s="110"/>
      <c r="K120" s="110"/>
      <c r="L120" s="110"/>
      <c r="M120" s="110"/>
    </row>
    <row r="121" spans="1:13" x14ac:dyDescent="0.25">
      <c r="C121" s="79"/>
      <c r="E121" s="80"/>
      <c r="H121" s="111"/>
      <c r="I121" s="110"/>
      <c r="J121" s="110"/>
      <c r="K121" s="110"/>
      <c r="L121" s="110"/>
      <c r="M121" s="110"/>
    </row>
    <row r="122" spans="1:13" x14ac:dyDescent="0.25">
      <c r="C122" s="79"/>
      <c r="E122" s="80"/>
      <c r="G122" s="1" t="s">
        <v>102</v>
      </c>
      <c r="H122" s="111"/>
      <c r="I122" s="110"/>
      <c r="J122" s="110"/>
      <c r="K122" s="110"/>
      <c r="L122" s="110"/>
      <c r="M122" s="110"/>
    </row>
    <row r="123" spans="1:13" x14ac:dyDescent="0.25">
      <c r="C123" s="79"/>
      <c r="E123" s="80"/>
      <c r="H123" s="111"/>
      <c r="I123" s="110"/>
      <c r="J123" s="110"/>
      <c r="K123" s="110"/>
      <c r="L123" s="110"/>
      <c r="M123" s="110"/>
    </row>
    <row r="124" spans="1:13" x14ac:dyDescent="0.25">
      <c r="C124" s="79"/>
      <c r="E124" s="80"/>
      <c r="H124" s="111"/>
      <c r="I124" s="110"/>
      <c r="J124" s="110"/>
      <c r="K124" s="110"/>
      <c r="L124" s="110"/>
      <c r="M124" s="110"/>
    </row>
    <row r="125" spans="1:13" x14ac:dyDescent="0.25">
      <c r="C125" s="79"/>
      <c r="E125" s="80"/>
      <c r="H125" s="111"/>
      <c r="I125" s="110"/>
      <c r="J125" s="110"/>
      <c r="K125" s="110"/>
      <c r="L125" s="110"/>
      <c r="M125" s="110"/>
    </row>
    <row r="126" spans="1:13" x14ac:dyDescent="0.25">
      <c r="C126" s="79"/>
      <c r="E126" s="80"/>
      <c r="H126" s="111"/>
      <c r="I126" s="110"/>
      <c r="J126" s="110"/>
      <c r="K126" s="110"/>
      <c r="L126" s="110"/>
      <c r="M126" s="110"/>
    </row>
    <row r="127" spans="1:13" x14ac:dyDescent="0.25">
      <c r="C127" s="79"/>
      <c r="E127" s="80"/>
      <c r="H127" s="111"/>
      <c r="I127" s="110"/>
      <c r="J127" s="110"/>
      <c r="K127" s="110"/>
      <c r="L127" s="110"/>
      <c r="M127" s="110"/>
    </row>
    <row r="128" spans="1:13" x14ac:dyDescent="0.25">
      <c r="C128" s="79"/>
      <c r="E128" s="80"/>
      <c r="H128" s="111"/>
      <c r="I128" s="110"/>
      <c r="J128" s="110"/>
      <c r="K128" s="110"/>
      <c r="L128" s="110"/>
      <c r="M128" s="110"/>
    </row>
    <row r="129" spans="8:13" x14ac:dyDescent="0.25">
      <c r="H129" s="111"/>
      <c r="I129" s="110"/>
      <c r="J129" s="110"/>
      <c r="K129" s="110"/>
      <c r="L129" s="110"/>
      <c r="M129" s="110"/>
    </row>
    <row r="130" spans="8:13" x14ac:dyDescent="0.25">
      <c r="H130" s="111"/>
      <c r="I130" s="110"/>
      <c r="J130" s="110"/>
      <c r="K130" s="110"/>
      <c r="L130" s="110"/>
      <c r="M130" s="110"/>
    </row>
    <row r="131" spans="8:13" x14ac:dyDescent="0.25">
      <c r="H131" s="111"/>
      <c r="I131" s="110"/>
      <c r="J131" s="110"/>
      <c r="K131" s="110"/>
      <c r="L131" s="110"/>
      <c r="M131" s="110"/>
    </row>
    <row r="132" spans="8:13" x14ac:dyDescent="0.25">
      <c r="H132" s="111"/>
      <c r="I132" s="110"/>
      <c r="J132" s="110"/>
      <c r="K132" s="110"/>
      <c r="L132" s="110"/>
      <c r="M132" s="110"/>
    </row>
    <row r="133" spans="8:13" x14ac:dyDescent="0.25">
      <c r="H133" s="111"/>
      <c r="I133" s="110"/>
      <c r="J133" s="110"/>
      <c r="K133" s="110"/>
      <c r="L133" s="110"/>
      <c r="M133" s="110"/>
    </row>
    <row r="134" spans="8:13" x14ac:dyDescent="0.25">
      <c r="H134" s="111"/>
      <c r="I134" s="110"/>
      <c r="J134" s="110"/>
      <c r="K134" s="110"/>
      <c r="L134" s="110"/>
      <c r="M134" s="110"/>
    </row>
    <row r="135" spans="8:13" x14ac:dyDescent="0.25">
      <c r="H135" s="111"/>
      <c r="I135" s="110"/>
      <c r="J135" s="110"/>
      <c r="K135" s="110"/>
      <c r="L135" s="110"/>
      <c r="M135" s="110"/>
    </row>
    <row r="136" spans="8:13" x14ac:dyDescent="0.25">
      <c r="H136" s="111"/>
      <c r="I136" s="110"/>
      <c r="J136" s="110"/>
      <c r="K136" s="110"/>
      <c r="L136" s="110"/>
      <c r="M136" s="110"/>
    </row>
    <row r="137" spans="8:13" x14ac:dyDescent="0.25">
      <c r="H137" s="111"/>
      <c r="I137" s="110"/>
      <c r="J137" s="110"/>
      <c r="K137" s="110"/>
      <c r="L137" s="110"/>
      <c r="M137" s="110"/>
    </row>
    <row r="138" spans="8:13" x14ac:dyDescent="0.25">
      <c r="H138" s="111"/>
      <c r="I138" s="110"/>
      <c r="J138" s="110"/>
      <c r="K138" s="110"/>
      <c r="L138" s="110"/>
      <c r="M138" s="110"/>
    </row>
    <row r="139" spans="8:13" x14ac:dyDescent="0.25">
      <c r="H139" s="111"/>
      <c r="I139" s="110"/>
      <c r="J139" s="110"/>
      <c r="K139" s="110"/>
      <c r="L139" s="110"/>
      <c r="M139" s="110"/>
    </row>
    <row r="140" spans="8:13" x14ac:dyDescent="0.25">
      <c r="H140" s="111"/>
      <c r="I140" s="110"/>
      <c r="J140" s="110"/>
      <c r="K140" s="110"/>
      <c r="L140" s="110"/>
    </row>
    <row r="141" spans="8:13" x14ac:dyDescent="0.25">
      <c r="H141" s="111"/>
      <c r="I141" s="110"/>
      <c r="J141" s="110"/>
      <c r="K141" s="110"/>
      <c r="L141" s="110"/>
    </row>
    <row r="142" spans="8:13" x14ac:dyDescent="0.25">
      <c r="H142" s="111"/>
      <c r="I142" s="110"/>
    </row>
  </sheetData>
  <mergeCells count="18">
    <mergeCell ref="P28:Q28"/>
    <mergeCell ref="P19:Q19"/>
    <mergeCell ref="P26:Q26"/>
    <mergeCell ref="P27:Q27"/>
    <mergeCell ref="P20:Q20"/>
    <mergeCell ref="P21:Q21"/>
    <mergeCell ref="P22:Q22"/>
    <mergeCell ref="P23:Q23"/>
    <mergeCell ref="P25:Q25"/>
    <mergeCell ref="P24:Q24"/>
    <mergeCell ref="S9:S10"/>
    <mergeCell ref="R9:R10"/>
    <mergeCell ref="I2:M2"/>
    <mergeCell ref="G5:M5"/>
    <mergeCell ref="P1:R1"/>
    <mergeCell ref="P2:R2"/>
    <mergeCell ref="P3:R3"/>
    <mergeCell ref="P4:R4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05F1-4658-4B81-A27F-4522903CE05F}">
  <sheetPr>
    <tabColor rgb="FFFF0000"/>
  </sheetPr>
  <dimension ref="A1:C14"/>
  <sheetViews>
    <sheetView zoomScaleNormal="100" workbookViewId="0">
      <selection activeCell="B2" sqref="B2:B4"/>
    </sheetView>
  </sheetViews>
  <sheetFormatPr defaultRowHeight="15" x14ac:dyDescent="0.25"/>
  <cols>
    <col min="1" max="1" width="23.140625" bestFit="1" customWidth="1"/>
  </cols>
  <sheetData>
    <row r="1" spans="1:3" x14ac:dyDescent="0.25">
      <c r="A1" t="s">
        <v>69</v>
      </c>
      <c r="B1" t="s">
        <v>70</v>
      </c>
      <c r="C1" t="s">
        <v>68</v>
      </c>
    </row>
    <row r="2" spans="1:3" x14ac:dyDescent="0.25">
      <c r="A2" t="str">
        <f>'CAX Portfolio'!D17</f>
        <v>CONSUMER STAPLES</v>
      </c>
      <c r="B2" s="72">
        <f>'CAX Portfolio'!E17*100</f>
        <v>23</v>
      </c>
      <c r="C2">
        <v>1</v>
      </c>
    </row>
    <row r="3" spans="1:3" x14ac:dyDescent="0.25">
      <c r="A3" t="str">
        <f>'CAX Portfolio'!D18</f>
        <v>INFORMATION TECHNOLOGY</v>
      </c>
      <c r="B3" s="72">
        <f>'CAX Portfolio'!E18*100</f>
        <v>18.899999999999999</v>
      </c>
      <c r="C3">
        <v>2</v>
      </c>
    </row>
    <row r="4" spans="1:3" x14ac:dyDescent="0.25">
      <c r="A4" t="str">
        <f>'CAX Portfolio'!D19</f>
        <v>HEALTH CARE</v>
      </c>
      <c r="B4" s="72">
        <f>'CAX Portfolio'!E19*100</f>
        <v>12.7</v>
      </c>
      <c r="C4">
        <v>3</v>
      </c>
    </row>
    <row r="5" spans="1:3" x14ac:dyDescent="0.25">
      <c r="A5" t="str">
        <f>'CAX Portfolio'!D20</f>
        <v>COMMUNICATION SERVICES</v>
      </c>
      <c r="B5" s="72">
        <f>'CAX Portfolio'!E20*100</f>
        <v>10.5</v>
      </c>
      <c r="C5">
        <v>4</v>
      </c>
    </row>
    <row r="6" spans="1:3" x14ac:dyDescent="0.25">
      <c r="A6" t="str">
        <f>'CAX Portfolio'!D21</f>
        <v>MATERIALS</v>
      </c>
      <c r="B6" s="72">
        <f>'CAX Portfolio'!E21*100</f>
        <v>9.5</v>
      </c>
      <c r="C6">
        <v>5</v>
      </c>
    </row>
    <row r="7" spans="1:3" x14ac:dyDescent="0.25">
      <c r="A7" t="str">
        <f>'CAX Portfolio'!D22</f>
        <v>INDUSTRIALS</v>
      </c>
      <c r="B7" s="72">
        <f>'CAX Portfolio'!E22*100</f>
        <v>9.1</v>
      </c>
      <c r="C7">
        <v>6</v>
      </c>
    </row>
    <row r="8" spans="1:3" x14ac:dyDescent="0.25">
      <c r="A8" t="str">
        <f>'CAX Portfolio'!D23</f>
        <v>UTILITIES</v>
      </c>
      <c r="B8" s="72">
        <f>'CAX Portfolio'!E23*100</f>
        <v>6.7</v>
      </c>
      <c r="C8">
        <v>7</v>
      </c>
    </row>
    <row r="9" spans="1:3" x14ac:dyDescent="0.25">
      <c r="A9" t="str">
        <f>'CAX Portfolio'!D24</f>
        <v>CONSUMER DISCRETIONARY</v>
      </c>
      <c r="B9" s="72">
        <f>'CAX Portfolio'!E24*100</f>
        <v>5</v>
      </c>
      <c r="C9">
        <v>8</v>
      </c>
    </row>
    <row r="10" spans="1:3" x14ac:dyDescent="0.25">
      <c r="A10" t="str">
        <f>'CAX Portfolio'!D25</f>
        <v>FINANCIALS</v>
      </c>
      <c r="B10" s="72">
        <f>'CAX Portfolio'!E25*100</f>
        <v>4.5</v>
      </c>
      <c r="C10">
        <v>9</v>
      </c>
    </row>
    <row r="11" spans="1:3" x14ac:dyDescent="0.25">
      <c r="B11" s="72"/>
    </row>
    <row r="12" spans="1:3" x14ac:dyDescent="0.25">
      <c r="B12" s="72"/>
    </row>
    <row r="13" spans="1:3" x14ac:dyDescent="0.25">
      <c r="B13" s="72"/>
    </row>
    <row r="14" spans="1:3" x14ac:dyDescent="0.25">
      <c r="B14" s="7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C4F0-1265-4E0D-AD07-6DF818CD739C}">
  <sheetPr>
    <tabColor rgb="FFFF0000"/>
  </sheetPr>
  <dimension ref="A1:C4"/>
  <sheetViews>
    <sheetView workbookViewId="0">
      <selection activeCell="B2" sqref="B2:B4"/>
    </sheetView>
  </sheetViews>
  <sheetFormatPr defaultRowHeight="15" x14ac:dyDescent="0.25"/>
  <cols>
    <col min="1" max="1" width="22.7109375" bestFit="1" customWidth="1"/>
  </cols>
  <sheetData>
    <row r="1" spans="1:3" x14ac:dyDescent="0.25">
      <c r="A1" t="s">
        <v>69</v>
      </c>
      <c r="B1" t="s">
        <v>70</v>
      </c>
      <c r="C1" t="s">
        <v>68</v>
      </c>
    </row>
    <row r="2" spans="1:3" x14ac:dyDescent="0.25">
      <c r="A2" t="str">
        <f>'CAX Portfolio'!A17</f>
        <v>U.S.</v>
      </c>
      <c r="B2" s="72">
        <f>'CAX Portfolio'!B17*100</f>
        <v>56.499999999999993</v>
      </c>
      <c r="C2">
        <v>1</v>
      </c>
    </row>
    <row r="3" spans="1:3" x14ac:dyDescent="0.25">
      <c r="A3" t="str">
        <f>'CAX Portfolio'!A18</f>
        <v>Intl. Developed Markets</v>
      </c>
      <c r="B3" s="72">
        <f>'CAX Portfolio'!B18*100</f>
        <v>36.6</v>
      </c>
      <c r="C3">
        <v>2</v>
      </c>
    </row>
    <row r="4" spans="1:3" x14ac:dyDescent="0.25">
      <c r="A4" t="str">
        <f>'CAX Portfolio'!A19</f>
        <v>Intl. Emerging Markets</v>
      </c>
      <c r="B4" s="72">
        <f>'CAX Portfolio'!B19*100</f>
        <v>6.9</v>
      </c>
      <c r="C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39"/>
  <sheetViews>
    <sheetView zoomScale="145" zoomScaleNormal="145" workbookViewId="0">
      <selection sqref="A1:XFD1048576"/>
    </sheetView>
  </sheetViews>
  <sheetFormatPr defaultColWidth="9.140625" defaultRowHeight="15" x14ac:dyDescent="0.25"/>
  <cols>
    <col min="1" max="1" width="27.7109375" style="1" bestFit="1" customWidth="1"/>
    <col min="2" max="2" width="8.28515625" style="2" customWidth="1"/>
    <col min="3" max="3" width="4.85546875" style="2" bestFit="1" customWidth="1"/>
    <col min="4" max="4" width="25.7109375" style="1" customWidth="1"/>
    <col min="5" max="5" width="11.5703125" style="3" bestFit="1" customWidth="1"/>
    <col min="6" max="6" width="9.140625" style="1"/>
    <col min="7" max="7" width="3.7109375" style="1" bestFit="1" customWidth="1"/>
    <col min="8" max="8" width="14.7109375" style="9" bestFit="1" customWidth="1"/>
    <col min="9" max="9" width="13.5703125" style="10" bestFit="1" customWidth="1"/>
    <col min="10" max="10" width="7.7109375" style="143" bestFit="1" customWidth="1"/>
    <col min="11" max="11" width="13.28515625" style="1" bestFit="1" customWidth="1"/>
    <col min="12" max="16384" width="9.140625" style="1"/>
  </cols>
  <sheetData>
    <row r="1" spans="1:11" ht="15.75" thickBot="1" x14ac:dyDescent="0.3">
      <c r="A1" s="2"/>
      <c r="H1" s="25" t="s">
        <v>59</v>
      </c>
    </row>
    <row r="2" spans="1:11" x14ac:dyDescent="0.25">
      <c r="A2" s="164" t="s">
        <v>55</v>
      </c>
      <c r="B2" s="165"/>
      <c r="C2" s="165"/>
      <c r="D2" s="165"/>
      <c r="E2" s="166"/>
      <c r="F2" s="23"/>
    </row>
    <row r="3" spans="1:11" ht="6.75" customHeight="1" x14ac:dyDescent="0.25">
      <c r="A3" s="14"/>
      <c r="B3" s="6"/>
      <c r="E3" s="15"/>
    </row>
    <row r="4" spans="1:11" x14ac:dyDescent="0.25">
      <c r="A4" s="16" t="s">
        <v>19</v>
      </c>
      <c r="B4" s="17"/>
      <c r="D4" s="18" t="s">
        <v>26</v>
      </c>
      <c r="E4" s="19"/>
    </row>
    <row r="5" spans="1:11" x14ac:dyDescent="0.25">
      <c r="A5" s="20" t="s">
        <v>31</v>
      </c>
      <c r="B5" s="126">
        <v>41</v>
      </c>
      <c r="D5" s="7" t="s">
        <v>60</v>
      </c>
      <c r="E5" s="21">
        <v>5.04E-2</v>
      </c>
      <c r="G5" s="13" t="s">
        <v>51</v>
      </c>
      <c r="H5" s="24" t="s">
        <v>44</v>
      </c>
      <c r="I5" s="144">
        <v>1271575</v>
      </c>
      <c r="J5" s="145">
        <v>0.02</v>
      </c>
    </row>
    <row r="6" spans="1:11" x14ac:dyDescent="0.25">
      <c r="A6" s="20" t="s">
        <v>72</v>
      </c>
      <c r="B6" s="127">
        <v>23.62</v>
      </c>
      <c r="D6" s="7" t="s">
        <v>103</v>
      </c>
      <c r="E6" s="21">
        <v>4.5400000000000003E-2</v>
      </c>
      <c r="G6" s="13" t="s">
        <v>51</v>
      </c>
      <c r="H6" s="24" t="s">
        <v>82</v>
      </c>
      <c r="I6" s="144">
        <v>2261356</v>
      </c>
      <c r="J6" s="145">
        <v>3.6000000000000004E-2</v>
      </c>
      <c r="K6" s="133"/>
    </row>
    <row r="7" spans="1:11" x14ac:dyDescent="0.25">
      <c r="A7" s="20" t="s">
        <v>32</v>
      </c>
      <c r="B7" s="67">
        <v>174.2</v>
      </c>
      <c r="D7" s="7" t="s">
        <v>43</v>
      </c>
      <c r="E7" s="21">
        <v>4.4500000000000005E-2</v>
      </c>
      <c r="G7" s="13" t="s">
        <v>51</v>
      </c>
      <c r="H7" s="24" t="s">
        <v>45</v>
      </c>
      <c r="I7" s="144">
        <v>2501280</v>
      </c>
      <c r="J7" s="145">
        <v>3.9E-2</v>
      </c>
      <c r="K7" s="133"/>
    </row>
    <row r="8" spans="1:11" x14ac:dyDescent="0.25">
      <c r="A8" s="26" t="s">
        <v>33</v>
      </c>
      <c r="B8" s="146">
        <v>0.2248</v>
      </c>
      <c r="D8" s="7" t="s">
        <v>75</v>
      </c>
      <c r="E8" s="21">
        <v>4.0999999999999995E-2</v>
      </c>
      <c r="G8" s="13" t="s">
        <v>51</v>
      </c>
      <c r="H8" s="24" t="s">
        <v>46</v>
      </c>
      <c r="I8" s="144">
        <v>4488246</v>
      </c>
      <c r="J8" s="145">
        <v>7.0999999999999994E-2</v>
      </c>
      <c r="K8" s="133"/>
    </row>
    <row r="9" spans="1:11" x14ac:dyDescent="0.25">
      <c r="A9" s="4"/>
      <c r="D9" s="7" t="s">
        <v>92</v>
      </c>
      <c r="E9" s="21">
        <v>4.0099999999999997E-2</v>
      </c>
      <c r="G9" s="13" t="s">
        <v>51</v>
      </c>
      <c r="H9" s="24" t="s">
        <v>83</v>
      </c>
      <c r="I9" s="144">
        <v>1420558</v>
      </c>
      <c r="J9" s="145">
        <v>2.2000000000000002E-2</v>
      </c>
      <c r="K9" s="133"/>
    </row>
    <row r="10" spans="1:11" x14ac:dyDescent="0.25">
      <c r="A10" s="16" t="s">
        <v>38</v>
      </c>
      <c r="B10" s="17"/>
      <c r="D10" s="7" t="s">
        <v>73</v>
      </c>
      <c r="E10" s="21">
        <v>3.6799999999999999E-2</v>
      </c>
      <c r="G10" s="13" t="s">
        <v>51</v>
      </c>
      <c r="H10" s="24" t="s">
        <v>47</v>
      </c>
      <c r="I10" s="144">
        <v>5243888</v>
      </c>
      <c r="J10" s="145">
        <v>8.3000000000000004E-2</v>
      </c>
      <c r="K10" s="133"/>
    </row>
    <row r="11" spans="1:11" x14ac:dyDescent="0.25">
      <c r="A11" s="20" t="s">
        <v>34</v>
      </c>
      <c r="B11" s="68">
        <v>0</v>
      </c>
      <c r="D11" s="7" t="s">
        <v>66</v>
      </c>
      <c r="E11" s="21">
        <v>3.5299999999999998E-2</v>
      </c>
      <c r="G11" s="13" t="s">
        <v>51</v>
      </c>
      <c r="H11" s="24" t="s">
        <v>48</v>
      </c>
      <c r="I11" s="144">
        <v>4427525</v>
      </c>
      <c r="J11" s="145">
        <v>7.0000000000000007E-2</v>
      </c>
      <c r="K11" s="133"/>
    </row>
    <row r="12" spans="1:11" x14ac:dyDescent="0.25">
      <c r="A12" s="20" t="s">
        <v>35</v>
      </c>
      <c r="B12" s="68">
        <v>7.8E-2</v>
      </c>
      <c r="D12" s="7" t="s">
        <v>109</v>
      </c>
      <c r="E12" s="21">
        <v>3.5099999999999999E-2</v>
      </c>
      <c r="G12" s="13" t="s">
        <v>56</v>
      </c>
      <c r="H12" s="24" t="s">
        <v>74</v>
      </c>
      <c r="I12" s="144">
        <v>643717.69999999995</v>
      </c>
      <c r="J12" s="145">
        <v>0.01</v>
      </c>
      <c r="K12" s="133"/>
    </row>
    <row r="13" spans="1:11" x14ac:dyDescent="0.25">
      <c r="A13" s="20" t="s">
        <v>36</v>
      </c>
      <c r="B13" s="68">
        <v>0.128</v>
      </c>
      <c r="D13" s="7" t="s">
        <v>71</v>
      </c>
      <c r="E13" s="21">
        <v>3.4000000000000002E-2</v>
      </c>
      <c r="G13" s="13" t="s">
        <v>51</v>
      </c>
      <c r="H13" s="24" t="s">
        <v>85</v>
      </c>
      <c r="I13" s="144">
        <v>1575838</v>
      </c>
      <c r="J13" s="145">
        <v>2.5000000000000001E-2</v>
      </c>
      <c r="K13" s="133"/>
    </row>
    <row r="14" spans="1:11" x14ac:dyDescent="0.25">
      <c r="A14" s="20" t="s">
        <v>37</v>
      </c>
      <c r="B14" s="68">
        <v>0.79300000000000004</v>
      </c>
      <c r="D14" s="7" t="s">
        <v>84</v>
      </c>
      <c r="E14" s="21">
        <v>3.32E-2</v>
      </c>
      <c r="G14" s="13" t="s">
        <v>56</v>
      </c>
      <c r="H14" s="24" t="s">
        <v>63</v>
      </c>
      <c r="I14" s="144">
        <v>1088289</v>
      </c>
      <c r="J14" s="145">
        <v>1.7000000000000001E-2</v>
      </c>
      <c r="K14" s="133"/>
    </row>
    <row r="15" spans="1:11" ht="15.75" thickBot="1" x14ac:dyDescent="0.3">
      <c r="A15" s="4"/>
      <c r="E15" s="15"/>
      <c r="F15" s="8"/>
      <c r="G15" s="13" t="s">
        <v>56</v>
      </c>
      <c r="H15" s="24" t="s">
        <v>62</v>
      </c>
      <c r="I15" s="144">
        <v>991366.5</v>
      </c>
      <c r="J15" s="145">
        <v>1.6E-2</v>
      </c>
      <c r="K15" s="133"/>
    </row>
    <row r="16" spans="1:11" x14ac:dyDescent="0.25">
      <c r="A16" s="16" t="s">
        <v>39</v>
      </c>
      <c r="B16" s="17"/>
      <c r="D16" s="134" t="s">
        <v>25</v>
      </c>
      <c r="E16" s="135"/>
      <c r="G16" s="13" t="s">
        <v>52</v>
      </c>
      <c r="H16" s="24" t="s">
        <v>49</v>
      </c>
      <c r="I16" s="144">
        <v>35801345</v>
      </c>
      <c r="J16" s="145">
        <v>0.56499999999999995</v>
      </c>
      <c r="K16" s="133"/>
    </row>
    <row r="17" spans="1:11" ht="24" customHeight="1" x14ac:dyDescent="0.25">
      <c r="A17" s="20" t="s">
        <v>40</v>
      </c>
      <c r="B17" s="68">
        <f>SUMIF(G:G,"us",J:J)</f>
        <v>0.56499999999999995</v>
      </c>
      <c r="D17" s="137" t="s">
        <v>93</v>
      </c>
      <c r="E17" s="147">
        <v>0.23</v>
      </c>
      <c r="F17" s="35"/>
      <c r="G17" s="13" t="s">
        <v>56</v>
      </c>
      <c r="H17" s="24" t="s">
        <v>50</v>
      </c>
      <c r="I17" s="144">
        <v>1616722</v>
      </c>
      <c r="J17" s="145">
        <v>2.6000000000000002E-2</v>
      </c>
      <c r="K17" s="133"/>
    </row>
    <row r="18" spans="1:11" x14ac:dyDescent="0.25">
      <c r="A18" s="20" t="s">
        <v>41</v>
      </c>
      <c r="B18" s="68">
        <f>SUMIF(G:G,"d",J:J)</f>
        <v>0.36599999999999999</v>
      </c>
      <c r="D18" s="141" t="s">
        <v>94</v>
      </c>
      <c r="E18" s="148">
        <v>0.18899999999999997</v>
      </c>
      <c r="H18" s="138"/>
      <c r="I18" s="139">
        <f>SUM(I5:I17)</f>
        <v>63331706.200000003</v>
      </c>
      <c r="J18" s="149"/>
      <c r="K18" s="133"/>
    </row>
    <row r="19" spans="1:11" x14ac:dyDescent="0.25">
      <c r="A19" s="20" t="s">
        <v>42</v>
      </c>
      <c r="B19" s="140">
        <f>SUMIF(G:G, "em",J:J)</f>
        <v>6.9000000000000006E-2</v>
      </c>
      <c r="C19" s="131" t="s">
        <v>91</v>
      </c>
      <c r="D19" s="141" t="s">
        <v>95</v>
      </c>
      <c r="E19" s="148">
        <v>0.127</v>
      </c>
      <c r="H19" s="12"/>
      <c r="I19" s="12"/>
    </row>
    <row r="20" spans="1:11" x14ac:dyDescent="0.25">
      <c r="A20" s="4"/>
      <c r="D20" s="141" t="s">
        <v>96</v>
      </c>
      <c r="E20" s="148">
        <v>0.105</v>
      </c>
      <c r="H20" s="12"/>
      <c r="I20" s="12"/>
    </row>
    <row r="21" spans="1:11" ht="15.75" thickBot="1" x14ac:dyDescent="0.3">
      <c r="A21" s="4"/>
      <c r="D21" s="141" t="s">
        <v>98</v>
      </c>
      <c r="E21" s="148">
        <v>9.5000000000000001E-2</v>
      </c>
      <c r="H21" s="12"/>
      <c r="I21" s="12"/>
    </row>
    <row r="22" spans="1:11" x14ac:dyDescent="0.25">
      <c r="A22" s="4"/>
      <c r="D22" s="136" t="s">
        <v>97</v>
      </c>
      <c r="E22" s="150">
        <v>9.0999999999999998E-2</v>
      </c>
      <c r="H22" s="12"/>
      <c r="I22" s="12"/>
    </row>
    <row r="23" spans="1:11" x14ac:dyDescent="0.25">
      <c r="A23" s="4"/>
      <c r="D23" s="141" t="s">
        <v>99</v>
      </c>
      <c r="E23" s="148">
        <v>6.7000000000000004E-2</v>
      </c>
    </row>
    <row r="24" spans="1:11" x14ac:dyDescent="0.25">
      <c r="A24" s="4"/>
      <c r="D24" s="142" t="s">
        <v>101</v>
      </c>
      <c r="E24" s="151">
        <v>0.05</v>
      </c>
      <c r="H24" s="11"/>
      <c r="I24" s="11"/>
    </row>
    <row r="25" spans="1:11" x14ac:dyDescent="0.25">
      <c r="A25" s="4"/>
      <c r="D25" s="152" t="s">
        <v>100</v>
      </c>
      <c r="E25" s="153">
        <v>4.4999999999999998E-2</v>
      </c>
      <c r="G25" s="11"/>
      <c r="H25" s="143"/>
      <c r="I25" s="1"/>
      <c r="J25" s="1"/>
    </row>
    <row r="26" spans="1:11" x14ac:dyDescent="0.25">
      <c r="A26" s="4"/>
      <c r="E26" s="154"/>
      <c r="F26" s="11"/>
      <c r="G26" s="12"/>
      <c r="H26" s="143"/>
      <c r="I26" s="1"/>
      <c r="J26" s="1"/>
    </row>
    <row r="27" spans="1:11" ht="15.75" thickBot="1" x14ac:dyDescent="0.3">
      <c r="A27" s="5"/>
      <c r="B27" s="22"/>
      <c r="C27" s="22"/>
      <c r="D27" s="155"/>
      <c r="E27" s="156"/>
      <c r="F27" s="12"/>
      <c r="H27" s="11"/>
      <c r="I27" s="11"/>
    </row>
    <row r="28" spans="1:11" x14ac:dyDescent="0.25">
      <c r="H28" s="11"/>
      <c r="I28" s="11"/>
    </row>
    <row r="29" spans="1:11" x14ac:dyDescent="0.25">
      <c r="H29" s="12"/>
      <c r="I29" s="12"/>
    </row>
    <row r="30" spans="1:11" x14ac:dyDescent="0.25">
      <c r="H30" s="12"/>
      <c r="I30" s="12"/>
    </row>
    <row r="31" spans="1:11" x14ac:dyDescent="0.25">
      <c r="H31" s="12"/>
      <c r="I31" s="12"/>
    </row>
    <row r="32" spans="1:11" x14ac:dyDescent="0.25">
      <c r="H32" s="12"/>
      <c r="I32" s="12"/>
    </row>
    <row r="33" spans="8:9" x14ac:dyDescent="0.25">
      <c r="H33" s="11"/>
      <c r="I33" s="12"/>
    </row>
    <row r="34" spans="8:9" x14ac:dyDescent="0.25">
      <c r="I34" s="12"/>
    </row>
    <row r="35" spans="8:9" x14ac:dyDescent="0.25">
      <c r="H35" s="11"/>
      <c r="I35" s="12"/>
    </row>
    <row r="36" spans="8:9" x14ac:dyDescent="0.25">
      <c r="H36" s="11"/>
      <c r="I36" s="12"/>
    </row>
    <row r="37" spans="8:9" x14ac:dyDescent="0.25">
      <c r="I37" s="12"/>
    </row>
    <row r="38" spans="8:9" x14ac:dyDescent="0.25">
      <c r="I38" s="12"/>
    </row>
    <row r="39" spans="8:9" x14ac:dyDescent="0.25">
      <c r="I39" s="12"/>
    </row>
  </sheetData>
  <sortState xmlns:xlrd2="http://schemas.microsoft.com/office/spreadsheetml/2017/richdata2" ref="D17:E25">
    <sortCondition descending="1" ref="E17:E25"/>
  </sortState>
  <mergeCells count="1">
    <mergeCell ref="A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F274-22EB-45FB-B557-BF19DA646FF4}">
  <sheetPr>
    <tabColor rgb="FFFF0000"/>
  </sheetPr>
  <dimension ref="A1:C118"/>
  <sheetViews>
    <sheetView topLeftCell="A94" workbookViewId="0">
      <selection activeCell="A119" sqref="A119"/>
    </sheetView>
  </sheetViews>
  <sheetFormatPr defaultRowHeight="15" x14ac:dyDescent="0.25"/>
  <cols>
    <col min="1" max="1" width="10.7109375" style="73" bestFit="1" customWidth="1"/>
    <col min="2" max="2" width="9.140625" style="69"/>
    <col min="3" max="3" width="10.7109375" style="69" bestFit="1" customWidth="1"/>
  </cols>
  <sheetData>
    <row r="1" spans="1:3" x14ac:dyDescent="0.25">
      <c r="A1" s="73" t="s">
        <v>0</v>
      </c>
      <c r="B1" s="69" t="s">
        <v>27</v>
      </c>
      <c r="C1" s="69" t="s">
        <v>65</v>
      </c>
    </row>
    <row r="2" spans="1:3" x14ac:dyDescent="0.25">
      <c r="A2" s="73">
        <f>'CAX Fact Sheet Backup'!A2</f>
        <v>40753</v>
      </c>
      <c r="B2" s="69">
        <f>'CAX Fact Sheet Backup'!B2</f>
        <v>10000</v>
      </c>
      <c r="C2" s="69">
        <f>'CAX Fact Sheet Backup'!D2</f>
        <v>10000</v>
      </c>
    </row>
    <row r="3" spans="1:3" x14ac:dyDescent="0.25">
      <c r="A3" s="73">
        <f>'CAX Fact Sheet Backup'!A3</f>
        <v>40786</v>
      </c>
      <c r="B3" s="69">
        <f>'CAX Fact Sheet Backup'!B3</f>
        <v>9959</v>
      </c>
      <c r="C3" s="69">
        <f>'CAX Fact Sheet Backup'!D3</f>
        <v>9273.4944244508661</v>
      </c>
    </row>
    <row r="4" spans="1:3" x14ac:dyDescent="0.25">
      <c r="A4" s="73">
        <f>'CAX Fact Sheet Backup'!A4</f>
        <v>40816</v>
      </c>
      <c r="B4" s="69">
        <f>'CAX Fact Sheet Backup'!B4</f>
        <v>9160.7999999999993</v>
      </c>
      <c r="C4" s="69">
        <f>'CAX Fact Sheet Backup'!D4</f>
        <v>8401.4395376460361</v>
      </c>
    </row>
    <row r="5" spans="1:3" x14ac:dyDescent="0.25">
      <c r="A5" s="73">
        <f>'CAX Fact Sheet Backup'!A5</f>
        <v>40847</v>
      </c>
      <c r="B5" s="69">
        <f>'CAX Fact Sheet Backup'!B5</f>
        <v>9832.9</v>
      </c>
      <c r="C5" s="69">
        <f>'CAX Fact Sheet Backup'!D5</f>
        <v>9303.1006789937419</v>
      </c>
    </row>
    <row r="6" spans="1:3" x14ac:dyDescent="0.25">
      <c r="A6" s="73">
        <f>'CAX Fact Sheet Backup'!A6</f>
        <v>40877</v>
      </c>
      <c r="B6" s="69">
        <f>'CAX Fact Sheet Backup'!B6</f>
        <v>9658.5</v>
      </c>
      <c r="C6" s="69">
        <f>'CAX Fact Sheet Backup'!D6</f>
        <v>9029.9076355771449</v>
      </c>
    </row>
    <row r="7" spans="1:3" x14ac:dyDescent="0.25">
      <c r="A7" s="73">
        <f>'CAX Fact Sheet Backup'!A7</f>
        <v>40908</v>
      </c>
      <c r="B7" s="69">
        <f>'CAX Fact Sheet Backup'!B7</f>
        <v>9597.16</v>
      </c>
      <c r="C7" s="69">
        <f>'CAX Fact Sheet Backup'!D7</f>
        <v>9014.8385838637041</v>
      </c>
    </row>
    <row r="8" spans="1:3" x14ac:dyDescent="0.25">
      <c r="A8" s="73">
        <f>'CAX Fact Sheet Backup'!A8</f>
        <v>40939</v>
      </c>
      <c r="B8" s="69">
        <f>'CAX Fact Sheet Backup'!B8</f>
        <v>9921.07</v>
      </c>
      <c r="C8" s="69">
        <f>'CAX Fact Sheet Backup'!D8</f>
        <v>9541.5462619887603</v>
      </c>
    </row>
    <row r="9" spans="1:3" x14ac:dyDescent="0.25">
      <c r="A9" s="73">
        <f>'CAX Fact Sheet Backup'!A9</f>
        <v>40968</v>
      </c>
      <c r="B9" s="69">
        <f>'CAX Fact Sheet Backup'!B9</f>
        <v>10177.129999999999</v>
      </c>
      <c r="C9" s="69">
        <f>'CAX Fact Sheet Backup'!D9</f>
        <v>10026.41516123885</v>
      </c>
    </row>
    <row r="10" spans="1:3" x14ac:dyDescent="0.25">
      <c r="A10" s="73">
        <f>'CAX Fact Sheet Backup'!A10</f>
        <v>40999</v>
      </c>
      <c r="B10" s="69">
        <f>'CAX Fact Sheet Backup'!B10</f>
        <v>10431.39</v>
      </c>
      <c r="C10" s="69">
        <f>'CAX Fact Sheet Backup'!D10</f>
        <v>10097.860194656689</v>
      </c>
    </row>
    <row r="11" spans="1:3" x14ac:dyDescent="0.25">
      <c r="A11" s="73">
        <f>'CAX Fact Sheet Backup'!A11</f>
        <v>41029</v>
      </c>
      <c r="B11" s="69">
        <f>'CAX Fact Sheet Backup'!B11</f>
        <v>10346.540000000001</v>
      </c>
      <c r="C11" s="69">
        <f>'CAX Fact Sheet Backup'!D11</f>
        <v>9988.8311734359195</v>
      </c>
    </row>
    <row r="12" spans="1:3" x14ac:dyDescent="0.25">
      <c r="A12" s="73">
        <f>'CAX Fact Sheet Backup'!A12</f>
        <v>41060</v>
      </c>
      <c r="B12" s="69">
        <f>'CAX Fact Sheet Backup'!B12</f>
        <v>9646.1</v>
      </c>
      <c r="C12" s="69">
        <f>'CAX Fact Sheet Backup'!D12</f>
        <v>9102.2390838016527</v>
      </c>
    </row>
    <row r="13" spans="1:3" x14ac:dyDescent="0.25">
      <c r="A13" s="73">
        <f>'CAX Fact Sheet Backup'!A13</f>
        <v>41090</v>
      </c>
      <c r="B13" s="69">
        <f>'CAX Fact Sheet Backup'!B13</f>
        <v>10026.34</v>
      </c>
      <c r="C13" s="69">
        <f>'CAX Fact Sheet Backup'!D13</f>
        <v>9556.2607477795282</v>
      </c>
    </row>
    <row r="14" spans="1:3" x14ac:dyDescent="0.25">
      <c r="A14" s="73">
        <f>'CAX Fact Sheet Backup'!A14</f>
        <v>41121</v>
      </c>
      <c r="B14" s="69">
        <f>'CAX Fact Sheet Backup'!B14</f>
        <v>10296.51</v>
      </c>
      <c r="C14" s="69">
        <f>'CAX Fact Sheet Backup'!D14</f>
        <v>9690.2866665484762</v>
      </c>
    </row>
    <row r="15" spans="1:3" x14ac:dyDescent="0.25">
      <c r="A15" s="73">
        <f>'CAX Fact Sheet Backup'!A15</f>
        <v>41152</v>
      </c>
      <c r="B15" s="69">
        <f>'CAX Fact Sheet Backup'!B15</f>
        <v>10606.7</v>
      </c>
      <c r="C15" s="69">
        <f>'CAX Fact Sheet Backup'!D15</f>
        <v>9905.8627475313315</v>
      </c>
    </row>
    <row r="16" spans="1:3" x14ac:dyDescent="0.25">
      <c r="A16" s="73">
        <f>'CAX Fact Sheet Backup'!A16</f>
        <v>41182</v>
      </c>
      <c r="B16" s="69">
        <f>'CAX Fact Sheet Backup'!B16</f>
        <v>10866.87</v>
      </c>
      <c r="C16" s="69">
        <f>'CAX Fact Sheet Backup'!D16</f>
        <v>10221.958267590901</v>
      </c>
    </row>
    <row r="17" spans="1:3" x14ac:dyDescent="0.25">
      <c r="A17" s="73">
        <f>'CAX Fact Sheet Backup'!A17</f>
        <v>41213</v>
      </c>
      <c r="B17" s="69">
        <f>'CAX Fact Sheet Backup'!B17</f>
        <v>10896.89</v>
      </c>
      <c r="C17" s="69">
        <f>'CAX Fact Sheet Backup'!D17</f>
        <v>10156.540854858436</v>
      </c>
    </row>
    <row r="18" spans="1:3" x14ac:dyDescent="0.25">
      <c r="A18" s="73">
        <f>'CAX Fact Sheet Backup'!A18</f>
        <v>41243</v>
      </c>
      <c r="B18" s="69">
        <f>'CAX Fact Sheet Backup'!B18</f>
        <v>10996.95</v>
      </c>
      <c r="C18" s="69">
        <f>'CAX Fact Sheet Backup'!D18</f>
        <v>10291.275905472723</v>
      </c>
    </row>
    <row r="19" spans="1:3" x14ac:dyDescent="0.25">
      <c r="A19" s="73">
        <f>'CAX Fact Sheet Backup'!A19</f>
        <v>41274</v>
      </c>
      <c r="B19" s="69">
        <f>'CAX Fact Sheet Backup'!B19</f>
        <v>11332.5</v>
      </c>
      <c r="C19" s="69">
        <f>'CAX Fact Sheet Backup'!D19</f>
        <v>10529.36692254507</v>
      </c>
    </row>
    <row r="20" spans="1:3" x14ac:dyDescent="0.25">
      <c r="A20" s="73">
        <f>'CAX Fact Sheet Backup'!A20</f>
        <v>41305</v>
      </c>
      <c r="B20" s="69">
        <f>'CAX Fact Sheet Backup'!B20</f>
        <v>11704.4</v>
      </c>
      <c r="C20" s="69">
        <f>'CAX Fact Sheet Backup'!D20</f>
        <v>11017.426915099188</v>
      </c>
    </row>
    <row r="21" spans="1:3" x14ac:dyDescent="0.25">
      <c r="A21" s="73">
        <f>'CAX Fact Sheet Backup'!A21</f>
        <v>41333</v>
      </c>
      <c r="B21" s="69">
        <f>'CAX Fact Sheet Backup'!B21</f>
        <v>11580.43</v>
      </c>
      <c r="C21" s="69">
        <f>'CAX Fact Sheet Backup'!D21</f>
        <v>11020.795291364544</v>
      </c>
    </row>
    <row r="22" spans="1:3" x14ac:dyDescent="0.25">
      <c r="A22" s="73">
        <f>'CAX Fact Sheet Backup'!A22</f>
        <v>41364</v>
      </c>
      <c r="B22" s="69">
        <f>'CAX Fact Sheet Backup'!B22</f>
        <v>11735.39</v>
      </c>
      <c r="C22" s="69">
        <f>'CAX Fact Sheet Backup'!D22</f>
        <v>11227.507224280671</v>
      </c>
    </row>
    <row r="23" spans="1:3" x14ac:dyDescent="0.25">
      <c r="A23" s="73">
        <f>'CAX Fact Sheet Backup'!A23</f>
        <v>41394</v>
      </c>
      <c r="B23" s="69">
        <f>'CAX Fact Sheet Backup'!B23</f>
        <v>11704.4</v>
      </c>
      <c r="C23" s="69">
        <f>'CAX Fact Sheet Backup'!D23</f>
        <v>11555.835268672326</v>
      </c>
    </row>
    <row r="24" spans="1:3" x14ac:dyDescent="0.25">
      <c r="A24" s="73">
        <f>'CAX Fact Sheet Backup'!A24</f>
        <v>41425</v>
      </c>
      <c r="B24" s="69">
        <f>'CAX Fact Sheet Backup'!B24</f>
        <v>11652.74</v>
      </c>
      <c r="C24" s="69">
        <f>'CAX Fact Sheet Backup'!D24</f>
        <v>11543.425461378903</v>
      </c>
    </row>
    <row r="25" spans="1:3" x14ac:dyDescent="0.25">
      <c r="A25" s="73">
        <f>'CAX Fact Sheet Backup'!A25</f>
        <v>41455</v>
      </c>
      <c r="B25" s="69">
        <f>'CAX Fact Sheet Backup'!B25</f>
        <v>11404.81</v>
      </c>
      <c r="C25" s="69">
        <f>'CAX Fact Sheet Backup'!D25</f>
        <v>11201.446628964488</v>
      </c>
    </row>
    <row r="26" spans="1:3" x14ac:dyDescent="0.25">
      <c r="A26" s="73">
        <f>'CAX Fact Sheet Backup'!A26</f>
        <v>41486</v>
      </c>
      <c r="B26" s="69">
        <f>'CAX Fact Sheet Backup'!B26</f>
        <v>12086.62</v>
      </c>
      <c r="C26" s="69">
        <f>'CAX Fact Sheet Backup'!D26</f>
        <v>11741.2732462283</v>
      </c>
    </row>
    <row r="27" spans="1:3" x14ac:dyDescent="0.25">
      <c r="A27" s="73">
        <f>'CAX Fact Sheet Backup'!A27</f>
        <v>41517</v>
      </c>
      <c r="B27" s="69">
        <f>'CAX Fact Sheet Backup'!B27</f>
        <v>12024.64</v>
      </c>
      <c r="C27" s="69">
        <f>'CAX Fact Sheet Backup'!D27</f>
        <v>11501.586682503939</v>
      </c>
    </row>
    <row r="28" spans="1:3" x14ac:dyDescent="0.25">
      <c r="A28" s="73">
        <f>'CAX Fact Sheet Backup'!A28</f>
        <v>41547</v>
      </c>
      <c r="B28" s="69">
        <f>'CAX Fact Sheet Backup'!B28</f>
        <v>12675.46</v>
      </c>
      <c r="C28" s="69">
        <f>'CAX Fact Sheet Backup'!D28</f>
        <v>12100.093959969501</v>
      </c>
    </row>
    <row r="29" spans="1:3" x14ac:dyDescent="0.25">
      <c r="A29" s="73">
        <f>'CAX Fact Sheet Backup'!A29</f>
        <v>41578</v>
      </c>
      <c r="B29" s="69">
        <f>'CAX Fact Sheet Backup'!B29</f>
        <v>13026.69</v>
      </c>
      <c r="C29" s="69">
        <f>'CAX Fact Sheet Backup'!D29</f>
        <v>12589.04036733029</v>
      </c>
    </row>
    <row r="30" spans="1:3" x14ac:dyDescent="0.25">
      <c r="A30" s="73">
        <f>'CAX Fact Sheet Backup'!A30</f>
        <v>41608</v>
      </c>
      <c r="B30" s="69">
        <f>'CAX Fact Sheet Backup'!B30</f>
        <v>12995.7</v>
      </c>
      <c r="C30" s="69">
        <f>'CAX Fact Sheet Backup'!D30</f>
        <v>12772.705515272921</v>
      </c>
    </row>
    <row r="31" spans="1:3" x14ac:dyDescent="0.25">
      <c r="A31" s="73">
        <f>'CAX Fact Sheet Backup'!A31</f>
        <v>41639</v>
      </c>
      <c r="B31" s="69">
        <f>'CAX Fact Sheet Backup'!B31</f>
        <v>13236.12</v>
      </c>
      <c r="C31" s="69">
        <f>'CAX Fact Sheet Backup'!D31</f>
        <v>12997.500310245176</v>
      </c>
    </row>
    <row r="32" spans="1:3" x14ac:dyDescent="0.25">
      <c r="A32" s="73">
        <f>'CAX Fact Sheet Backup'!A32</f>
        <v>41670</v>
      </c>
      <c r="B32" s="69">
        <f>'CAX Fact Sheet Backup'!B32</f>
        <v>12907.34</v>
      </c>
      <c r="C32" s="69">
        <f>'CAX Fact Sheet Backup'!D32</f>
        <v>12480.543194993523</v>
      </c>
    </row>
    <row r="33" spans="1:3" x14ac:dyDescent="0.25">
      <c r="A33" s="73">
        <f>'CAX Fact Sheet Backup'!A33</f>
        <v>41698</v>
      </c>
      <c r="B33" s="69">
        <f>'CAX Fact Sheet Backup'!B33</f>
        <v>13575.51</v>
      </c>
      <c r="C33" s="69">
        <f>'CAX Fact Sheet Backup'!D33</f>
        <v>13089.687450139161</v>
      </c>
    </row>
    <row r="34" spans="1:3" x14ac:dyDescent="0.25">
      <c r="A34" s="73">
        <f>'CAX Fact Sheet Backup'!A34</f>
        <v>41729</v>
      </c>
      <c r="B34" s="69">
        <f>'CAX Fact Sheet Backup'!B34</f>
        <v>13766.42</v>
      </c>
      <c r="C34" s="69">
        <f>'CAX Fact Sheet Backup'!D34</f>
        <v>13154.750296948952</v>
      </c>
    </row>
    <row r="35" spans="1:3" x14ac:dyDescent="0.25">
      <c r="A35" s="73">
        <f>'CAX Fact Sheet Backup'!A35</f>
        <v>41759</v>
      </c>
      <c r="B35" s="69">
        <f>'CAX Fact Sheet Backup'!B35</f>
        <v>13883.08</v>
      </c>
      <c r="C35" s="69">
        <f>'CAX Fact Sheet Backup'!D35</f>
        <v>13287.003386104556</v>
      </c>
    </row>
    <row r="36" spans="1:3" x14ac:dyDescent="0.25">
      <c r="A36" s="73">
        <f>'CAX Fact Sheet Backup'!A36</f>
        <v>41790</v>
      </c>
      <c r="B36" s="69">
        <f>'CAX Fact Sheet Backup'!B36</f>
        <v>14158.83</v>
      </c>
      <c r="C36" s="69">
        <f>'CAX Fact Sheet Backup'!D36</f>
        <v>13581.115818958633</v>
      </c>
    </row>
    <row r="37" spans="1:3" x14ac:dyDescent="0.25">
      <c r="A37" s="73">
        <f>'CAX Fact Sheet Backup'!A37</f>
        <v>41820</v>
      </c>
      <c r="B37" s="69">
        <f>'CAX Fact Sheet Backup'!B37</f>
        <v>14381.56</v>
      </c>
      <c r="C37" s="69">
        <f>'CAX Fact Sheet Backup'!D37</f>
        <v>13842.608186927149</v>
      </c>
    </row>
    <row r="38" spans="1:3" x14ac:dyDescent="0.25">
      <c r="A38" s="73">
        <f>'CAX Fact Sheet Backup'!A38</f>
        <v>41851</v>
      </c>
      <c r="B38" s="69">
        <f>'CAX Fact Sheet Backup'!B38</f>
        <v>14020.96</v>
      </c>
      <c r="C38" s="69">
        <f>'CAX Fact Sheet Backup'!D38</f>
        <v>13678.976013615327</v>
      </c>
    </row>
    <row r="39" spans="1:3" x14ac:dyDescent="0.25">
      <c r="A39" s="73">
        <f>'CAX Fact Sheet Backup'!A39</f>
        <v>41882</v>
      </c>
      <c r="B39" s="69">
        <f>'CAX Fact Sheet Backup'!B39</f>
        <v>14392.16</v>
      </c>
      <c r="C39" s="69">
        <f>'CAX Fact Sheet Backup'!D39</f>
        <v>13986.739234492168</v>
      </c>
    </row>
    <row r="40" spans="1:3" x14ac:dyDescent="0.25">
      <c r="A40" s="73">
        <f>'CAX Fact Sheet Backup'!A40</f>
        <v>41912</v>
      </c>
      <c r="B40" s="69">
        <f>'CAX Fact Sheet Backup'!B40</f>
        <v>14052.78</v>
      </c>
      <c r="C40" s="69">
        <f>'CAX Fact Sheet Backup'!D40</f>
        <v>13538.567908238332</v>
      </c>
    </row>
    <row r="41" spans="1:3" x14ac:dyDescent="0.25">
      <c r="A41" s="73">
        <f>'CAX Fact Sheet Backup'!A41</f>
        <v>41943</v>
      </c>
      <c r="B41" s="69">
        <f>'CAX Fact Sheet Backup'!B41</f>
        <v>13904.29</v>
      </c>
      <c r="C41" s="69">
        <f>'CAX Fact Sheet Backup'!D41</f>
        <v>13636.959951779028</v>
      </c>
    </row>
    <row r="42" spans="1:3" x14ac:dyDescent="0.25">
      <c r="A42" s="73">
        <f>'CAX Fact Sheet Backup'!A42</f>
        <v>41973</v>
      </c>
      <c r="B42" s="69">
        <f>'CAX Fact Sheet Backup'!B42</f>
        <v>14084.59</v>
      </c>
      <c r="C42" s="69">
        <f>'CAX Fact Sheet Backup'!D42</f>
        <v>13870.973460740681</v>
      </c>
    </row>
    <row r="43" spans="1:3" x14ac:dyDescent="0.25">
      <c r="A43" s="73">
        <f>'CAX Fact Sheet Backup'!A43</f>
        <v>42004</v>
      </c>
      <c r="B43" s="69">
        <f>'CAX Fact Sheet Backup'!B43</f>
        <v>13743.58</v>
      </c>
      <c r="C43" s="69">
        <f>'CAX Fact Sheet Backup'!D43</f>
        <v>13609.126526849497</v>
      </c>
    </row>
    <row r="44" spans="1:3" x14ac:dyDescent="0.25">
      <c r="A44" s="73">
        <f>'CAX Fact Sheet Backup'!A44</f>
        <v>42035</v>
      </c>
      <c r="B44" s="69">
        <f>'CAX Fact Sheet Backup'!B44</f>
        <v>13620.87</v>
      </c>
      <c r="C44" s="69">
        <f>'CAX Fact Sheet Backup'!D44</f>
        <v>13399.400783590683</v>
      </c>
    </row>
    <row r="45" spans="1:3" x14ac:dyDescent="0.25">
      <c r="A45" s="73">
        <f>'CAX Fact Sheet Backup'!A45</f>
        <v>42063</v>
      </c>
      <c r="B45" s="69">
        <f>'CAX Fact Sheet Backup'!B45</f>
        <v>14200.95</v>
      </c>
      <c r="C45" s="69">
        <f>'CAX Fact Sheet Backup'!D45</f>
        <v>14151.435105571996</v>
      </c>
    </row>
    <row r="46" spans="1:3" x14ac:dyDescent="0.25">
      <c r="A46" s="73">
        <f>'CAX Fact Sheet Backup'!A46</f>
        <v>42094</v>
      </c>
      <c r="B46" s="69">
        <f>'CAX Fact Sheet Backup'!B46</f>
        <v>13609.71</v>
      </c>
      <c r="C46" s="69">
        <f>'CAX Fact Sheet Backup'!D46</f>
        <v>13940.645664545173</v>
      </c>
    </row>
    <row r="47" spans="1:3" x14ac:dyDescent="0.25">
      <c r="A47" s="73">
        <f>'CAX Fact Sheet Backup'!A47</f>
        <v>42124</v>
      </c>
      <c r="B47" s="69">
        <f>'CAX Fact Sheet Backup'!B47</f>
        <v>13888.6</v>
      </c>
      <c r="C47" s="69">
        <f>'CAX Fact Sheet Backup'!D47</f>
        <v>14351.942134841411</v>
      </c>
    </row>
    <row r="48" spans="1:3" x14ac:dyDescent="0.25">
      <c r="A48" s="73">
        <f>'CAX Fact Sheet Backup'!A48</f>
        <v>42155</v>
      </c>
      <c r="B48" s="69">
        <f>'CAX Fact Sheet Backup'!B48</f>
        <v>14089.4</v>
      </c>
      <c r="C48" s="69">
        <f>'CAX Fact Sheet Backup'!D48</f>
        <v>14344.318967504025</v>
      </c>
    </row>
    <row r="49" spans="1:3" x14ac:dyDescent="0.25">
      <c r="A49" s="73">
        <f>'CAX Fact Sheet Backup'!A49</f>
        <v>42185</v>
      </c>
      <c r="B49" s="69">
        <f>'CAX Fact Sheet Backup'!B49</f>
        <v>13866.29</v>
      </c>
      <c r="C49" s="69">
        <f>'CAX Fact Sheet Backup'!D49</f>
        <v>14012.977112769682</v>
      </c>
    </row>
    <row r="50" spans="1:3" x14ac:dyDescent="0.25">
      <c r="A50" s="73">
        <f>'CAX Fact Sheet Backup'!A50</f>
        <v>42216</v>
      </c>
      <c r="B50" s="69">
        <f>'CAX Fact Sheet Backup'!B50</f>
        <v>14044.77</v>
      </c>
      <c r="C50" s="69">
        <f>'CAX Fact Sheet Backup'!D50</f>
        <v>14139.734430123914</v>
      </c>
    </row>
    <row r="51" spans="1:3" x14ac:dyDescent="0.25">
      <c r="A51" s="73">
        <f>'CAX Fact Sheet Backup'!A51</f>
        <v>42247</v>
      </c>
      <c r="B51" s="69">
        <f>'CAX Fact Sheet Backup'!B51</f>
        <v>13219.27</v>
      </c>
      <c r="C51" s="69">
        <f>'CAX Fact Sheet Backup'!D51</f>
        <v>13176.201535270438</v>
      </c>
    </row>
    <row r="52" spans="1:3" x14ac:dyDescent="0.25">
      <c r="A52" s="73">
        <f>'CAX Fact Sheet Backup'!A52</f>
        <v>42277</v>
      </c>
      <c r="B52" s="69">
        <f>'CAX Fact Sheet Backup'!B52</f>
        <v>12951.54</v>
      </c>
      <c r="C52" s="69">
        <f>'CAX Fact Sheet Backup'!D52</f>
        <v>12704.806141081774</v>
      </c>
    </row>
    <row r="53" spans="1:3" x14ac:dyDescent="0.25">
      <c r="A53" s="73">
        <f>'CAX Fact Sheet Backup'!A53</f>
        <v>42308</v>
      </c>
      <c r="B53" s="69">
        <f>'CAX Fact Sheet Backup'!B53</f>
        <v>13810.51</v>
      </c>
      <c r="C53" s="69">
        <f>'CAX Fact Sheet Backup'!D53</f>
        <v>13705.213891892843</v>
      </c>
    </row>
    <row r="54" spans="1:3" x14ac:dyDescent="0.25">
      <c r="A54" s="73">
        <f>'CAX Fact Sheet Backup'!A54</f>
        <v>42338</v>
      </c>
      <c r="B54" s="69">
        <f>'CAX Fact Sheet Backup'!B54</f>
        <v>13788.2</v>
      </c>
      <c r="C54" s="69">
        <f>'CAX Fact Sheet Backup'!D54</f>
        <v>13598.134983246753</v>
      </c>
    </row>
    <row r="55" spans="1:3" x14ac:dyDescent="0.25">
      <c r="A55" s="73">
        <f>'CAX Fact Sheet Backup'!A55</f>
        <v>42369</v>
      </c>
      <c r="B55" s="69">
        <f>'CAX Fact Sheet Backup'!B55</f>
        <v>13501.7</v>
      </c>
      <c r="C55" s="69">
        <f>'CAX Fact Sheet Backup'!D55</f>
        <v>13358.625702483727</v>
      </c>
    </row>
    <row r="56" spans="1:3" x14ac:dyDescent="0.25">
      <c r="A56" s="73">
        <f>'CAX Fact Sheet Backup'!A56</f>
        <v>42400</v>
      </c>
      <c r="B56" s="69">
        <f>'CAX Fact Sheet Backup'!B56</f>
        <v>13151.74</v>
      </c>
      <c r="C56" s="69">
        <f>'CAX Fact Sheet Backup'!D56</f>
        <v>12556.065736522056</v>
      </c>
    </row>
    <row r="57" spans="1:3" x14ac:dyDescent="0.25">
      <c r="A57" s="73">
        <f>'CAX Fact Sheet Backup'!A57</f>
        <v>42429</v>
      </c>
      <c r="B57" s="69">
        <f>'CAX Fact Sheet Backup'!B57</f>
        <v>13050.14</v>
      </c>
      <c r="C57" s="69">
        <f>'CAX Fact Sheet Backup'!D57</f>
        <v>12476.820252805495</v>
      </c>
    </row>
    <row r="58" spans="1:3" x14ac:dyDescent="0.25">
      <c r="A58" s="73">
        <f>'CAX Fact Sheet Backup'!A58</f>
        <v>42460</v>
      </c>
      <c r="B58" s="69">
        <f>'CAX Fact Sheet Backup'!B58</f>
        <v>13862.95</v>
      </c>
      <c r="C58" s="69">
        <f>'CAX Fact Sheet Backup'!D58</f>
        <v>13410.037761270756</v>
      </c>
    </row>
    <row r="59" spans="1:3" x14ac:dyDescent="0.25">
      <c r="A59" s="73">
        <f>'CAX Fact Sheet Backup'!A59</f>
        <v>42490</v>
      </c>
      <c r="B59" s="69">
        <f>'CAX Fact Sheet Backup'!B59</f>
        <v>14088.73</v>
      </c>
      <c r="C59" s="69">
        <f>'CAX Fact Sheet Backup'!D59</f>
        <v>13615.863279380212</v>
      </c>
    </row>
    <row r="60" spans="1:3" x14ac:dyDescent="0.25">
      <c r="A60" s="73">
        <f>'CAX Fact Sheet Backup'!A60</f>
        <v>42521</v>
      </c>
      <c r="B60" s="69">
        <f>'CAX Fact Sheet Backup'!B60</f>
        <v>14032.28</v>
      </c>
      <c r="C60" s="69">
        <f>'CAX Fact Sheet Backup'!D60</f>
        <v>13644.583119116414</v>
      </c>
    </row>
    <row r="61" spans="1:3" x14ac:dyDescent="0.25">
      <c r="A61" s="73">
        <f>'CAX Fact Sheet Backup'!A61</f>
        <v>42551</v>
      </c>
      <c r="B61" s="69">
        <f>'CAX Fact Sheet Backup'!B61</f>
        <v>14043.57</v>
      </c>
      <c r="C61" s="69">
        <f>'CAX Fact Sheet Backup'!D61</f>
        <v>13569.060577587881</v>
      </c>
    </row>
    <row r="62" spans="1:3" x14ac:dyDescent="0.25">
      <c r="A62" s="73">
        <f>'CAX Fact Sheet Backup'!A62</f>
        <v>42582</v>
      </c>
      <c r="B62" s="69">
        <f>'CAX Fact Sheet Backup'!B62</f>
        <v>14393.53</v>
      </c>
      <c r="C62" s="69">
        <f>'CAX Fact Sheet Backup'!D62</f>
        <v>14157.994575141376</v>
      </c>
    </row>
    <row r="63" spans="1:3" x14ac:dyDescent="0.25">
      <c r="A63" s="73">
        <f>'CAX Fact Sheet Backup'!A63</f>
        <v>42613</v>
      </c>
      <c r="B63" s="69">
        <f>'CAX Fact Sheet Backup'!B63</f>
        <v>14641.89</v>
      </c>
      <c r="C63" s="69">
        <f>'CAX Fact Sheet Backup'!D63</f>
        <v>14212.420444271092</v>
      </c>
    </row>
    <row r="64" spans="1:3" x14ac:dyDescent="0.25">
      <c r="A64" s="73">
        <f>'CAX Fact Sheet Backup'!A64</f>
        <v>42643</v>
      </c>
      <c r="B64" s="69">
        <f>'CAX Fact Sheet Backup'!B64</f>
        <v>14540.29</v>
      </c>
      <c r="C64" s="69">
        <f>'CAX Fact Sheet Backup'!D64</f>
        <v>14305.848564894422</v>
      </c>
    </row>
    <row r="65" spans="1:3" x14ac:dyDescent="0.25">
      <c r="A65" s="73">
        <f>'CAX Fact Sheet Backup'!A65</f>
        <v>42674</v>
      </c>
      <c r="B65" s="69">
        <f>'CAX Fact Sheet Backup'!B65</f>
        <v>14224.2</v>
      </c>
      <c r="C65" s="69">
        <f>'CAX Fact Sheet Backup'!D65</f>
        <v>14066.339284131396</v>
      </c>
    </row>
    <row r="66" spans="1:3" x14ac:dyDescent="0.25">
      <c r="A66" s="73">
        <f>'CAX Fact Sheet Backup'!A66</f>
        <v>42704</v>
      </c>
      <c r="B66" s="69">
        <f>'CAX Fact Sheet Backup'!B66</f>
        <v>14382.24</v>
      </c>
      <c r="C66" s="69">
        <f>'CAX Fact Sheet Backup'!D66</f>
        <v>14180.154945308201</v>
      </c>
    </row>
    <row r="67" spans="1:3" x14ac:dyDescent="0.25">
      <c r="A67" s="73">
        <f>'CAX Fact Sheet Backup'!A67</f>
        <v>42735</v>
      </c>
      <c r="B67" s="69">
        <f>'CAX Fact Sheet Backup'!B67</f>
        <v>14896.21</v>
      </c>
      <c r="C67" s="69">
        <f>'CAX Fact Sheet Backup'!D67</f>
        <v>14492.172957257073</v>
      </c>
    </row>
    <row r="68" spans="1:3" x14ac:dyDescent="0.25">
      <c r="A68" s="73">
        <f>'CAX Fact Sheet Backup'!A68</f>
        <v>42766</v>
      </c>
      <c r="B68" s="69">
        <f>'CAX Fact Sheet Backup'!B68</f>
        <v>15297.57</v>
      </c>
      <c r="C68" s="69">
        <f>'CAX Fact Sheet Backup'!D68</f>
        <v>14891.414186182559</v>
      </c>
    </row>
    <row r="69" spans="1:3" x14ac:dyDescent="0.25">
      <c r="A69" s="73">
        <f>'CAX Fact Sheet Backup'!A69</f>
        <v>42794</v>
      </c>
      <c r="B69" s="69">
        <f>'CAX Fact Sheet Backup'!B69</f>
        <v>15607.19</v>
      </c>
      <c r="C69" s="69">
        <f>'CAX Fact Sheet Backup'!D69</f>
        <v>15315.829595617559</v>
      </c>
    </row>
    <row r="70" spans="1:3" x14ac:dyDescent="0.25">
      <c r="A70" s="73">
        <f>'CAX Fact Sheet Backup'!A70</f>
        <v>42825</v>
      </c>
      <c r="B70" s="69">
        <f>'CAX Fact Sheet Backup'!B70</f>
        <v>15848.01</v>
      </c>
      <c r="C70" s="69">
        <f>'CAX Fact Sheet Backup'!D70</f>
        <v>15513.500097505623</v>
      </c>
    </row>
    <row r="71" spans="1:3" x14ac:dyDescent="0.25">
      <c r="A71" s="73">
        <f>'CAX Fact Sheet Backup'!A71</f>
        <v>42855</v>
      </c>
      <c r="B71" s="69">
        <f>'CAX Fact Sheet Backup'!B71</f>
        <v>16042.96</v>
      </c>
      <c r="C71" s="69">
        <f>'CAX Fact Sheet Backup'!D71</f>
        <v>15762.405375219381</v>
      </c>
    </row>
    <row r="72" spans="1:3" x14ac:dyDescent="0.25">
      <c r="A72" s="73">
        <f>'CAX Fact Sheet Backup'!A72</f>
        <v>42886</v>
      </c>
      <c r="B72" s="69">
        <f>'CAX Fact Sheet Backup'!B72</f>
        <v>16857.150000000001</v>
      </c>
      <c r="C72" s="69">
        <f>'CAX Fact Sheet Backup'!D72</f>
        <v>16124.417182264604</v>
      </c>
    </row>
    <row r="73" spans="1:3" x14ac:dyDescent="0.25">
      <c r="A73" s="73">
        <f>'CAX Fact Sheet Backup'!A73</f>
        <v>42916</v>
      </c>
      <c r="B73" s="69">
        <f>'CAX Fact Sheet Backup'!B73</f>
        <v>16673.669999999998</v>
      </c>
      <c r="C73" s="69">
        <f>'CAX Fact Sheet Backup'!D73</f>
        <v>16204.371797826501</v>
      </c>
    </row>
    <row r="74" spans="1:3" x14ac:dyDescent="0.25">
      <c r="A74" s="73">
        <f>'CAX Fact Sheet Backup'!A74</f>
        <v>42947</v>
      </c>
      <c r="B74" s="69">
        <f>'CAX Fact Sheet Backup'!B74</f>
        <v>16731</v>
      </c>
      <c r="C74" s="69">
        <f>'CAX Fact Sheet Backup'!D74</f>
        <v>16663.180101760412</v>
      </c>
    </row>
    <row r="75" spans="1:3" x14ac:dyDescent="0.25">
      <c r="A75" s="73">
        <f>'CAX Fact Sheet Backup'!A75</f>
        <v>42978</v>
      </c>
      <c r="B75" s="69">
        <f>'CAX Fact Sheet Backup'!B75</f>
        <v>16776.87</v>
      </c>
      <c r="C75" s="69">
        <f>'CAX Fact Sheet Backup'!D75</f>
        <v>16735.156984062254</v>
      </c>
    </row>
    <row r="76" spans="1:3" x14ac:dyDescent="0.25">
      <c r="A76" s="73">
        <f>'CAX Fact Sheet Backup'!A76</f>
        <v>43008</v>
      </c>
      <c r="B76" s="69">
        <f>'CAX Fact Sheet Backup'!B76</f>
        <v>17017.689999999999</v>
      </c>
      <c r="C76" s="69">
        <f>'CAX Fact Sheet Backup'!D76</f>
        <v>17064.72600918325</v>
      </c>
    </row>
    <row r="77" spans="1:3" x14ac:dyDescent="0.25">
      <c r="A77" s="73">
        <f>'CAX Fact Sheet Backup'!A77</f>
        <v>43039</v>
      </c>
      <c r="B77" s="69">
        <f>'CAX Fact Sheet Backup'!B77</f>
        <v>16983.29</v>
      </c>
      <c r="C77" s="69">
        <f>'CAX Fact Sheet Backup'!D77</f>
        <v>17423.014874040447</v>
      </c>
    </row>
    <row r="78" spans="1:3" x14ac:dyDescent="0.25">
      <c r="A78" s="73">
        <f>'CAX Fact Sheet Backup'!A78</f>
        <v>43069</v>
      </c>
      <c r="B78" s="69">
        <f>'CAX Fact Sheet Backup'!B78</f>
        <v>17040.62</v>
      </c>
      <c r="C78" s="69">
        <f>'CAX Fact Sheet Backup'!D78</f>
        <v>17768.184799758888</v>
      </c>
    </row>
    <row r="79" spans="1:3" x14ac:dyDescent="0.25">
      <c r="A79" s="73">
        <f>'CAX Fact Sheet Backup'!A79</f>
        <v>43100</v>
      </c>
      <c r="B79" s="69">
        <f>'CAX Fact Sheet Backup'!B79</f>
        <v>17441.580000000002</v>
      </c>
      <c r="C79" s="69">
        <f>'CAX Fact Sheet Backup'!D79</f>
        <v>18060.701685960954</v>
      </c>
    </row>
    <row r="80" spans="1:3" x14ac:dyDescent="0.25">
      <c r="A80" s="73">
        <f>'CAX Fact Sheet Backup'!A80</f>
        <v>43131</v>
      </c>
      <c r="B80" s="69">
        <f>'CAX Fact Sheet Backup'!B80</f>
        <v>18244.04</v>
      </c>
      <c r="C80" s="69">
        <f>'CAX Fact Sheet Backup'!D80</f>
        <v>19083.447089900183</v>
      </c>
    </row>
    <row r="81" spans="1:3" x14ac:dyDescent="0.25">
      <c r="A81" s="73">
        <f>'CAX Fact Sheet Backup'!A81</f>
        <v>43159</v>
      </c>
      <c r="B81" s="69">
        <f>'CAX Fact Sheet Backup'!B81</f>
        <v>17807.41</v>
      </c>
      <c r="C81" s="69">
        <f>'CAX Fact Sheet Backup'!D81</f>
        <v>18289.219423121238</v>
      </c>
    </row>
    <row r="82" spans="1:3" x14ac:dyDescent="0.25">
      <c r="A82" s="73">
        <f>'CAX Fact Sheet Backup'!A82</f>
        <v>43190</v>
      </c>
      <c r="B82" s="69">
        <f>'CAX Fact Sheet Backup'!B82</f>
        <v>17713</v>
      </c>
      <c r="C82" s="69">
        <f>'CAX Fact Sheet Backup'!D82</f>
        <v>17908.770188097213</v>
      </c>
    </row>
    <row r="83" spans="1:3" x14ac:dyDescent="0.25">
      <c r="A83" s="73">
        <f>'CAX Fact Sheet Backup'!A83</f>
        <v>43220</v>
      </c>
      <c r="B83" s="69">
        <f>'CAX Fact Sheet Backup'!B83</f>
        <v>17831.009999999998</v>
      </c>
      <c r="C83" s="69">
        <f>'CAX Fact Sheet Backup'!D83</f>
        <v>18089.95337458116</v>
      </c>
    </row>
    <row r="84" spans="1:3" x14ac:dyDescent="0.25">
      <c r="A84" s="73">
        <f>'CAX Fact Sheet Backup'!A84</f>
        <v>43251</v>
      </c>
      <c r="B84" s="69">
        <f>'CAX Fact Sheet Backup'!B84</f>
        <v>17689.400000000001</v>
      </c>
      <c r="C84" s="69">
        <f>'CAX Fact Sheet Backup'!D84</f>
        <v>18128.069211268095</v>
      </c>
    </row>
    <row r="85" spans="1:3" x14ac:dyDescent="0.25">
      <c r="A85" s="73">
        <f>'CAX Fact Sheet Backup'!A85</f>
        <v>43281</v>
      </c>
      <c r="B85" s="69">
        <f>'CAX Fact Sheet Backup'!B85</f>
        <v>18090.63</v>
      </c>
      <c r="C85" s="69">
        <f>'CAX Fact Sheet Backup'!D85</f>
        <v>18037.123052103452</v>
      </c>
    </row>
    <row r="86" spans="1:3" x14ac:dyDescent="0.25">
      <c r="A86" s="73">
        <f>'CAX Fact Sheet Backup'!A86</f>
        <v>43312</v>
      </c>
      <c r="B86" s="69">
        <f>'CAX Fact Sheet Backup'!B86</f>
        <v>18173.23</v>
      </c>
      <c r="C86" s="69">
        <f>'CAX Fact Sheet Backup'!D86</f>
        <v>18586.877515202006</v>
      </c>
    </row>
    <row r="87" spans="1:3" x14ac:dyDescent="0.25">
      <c r="A87" s="73">
        <f>'CAX Fact Sheet Backup'!A87</f>
        <v>43343</v>
      </c>
      <c r="B87" s="69">
        <f>'CAX Fact Sheet Backup'!B87</f>
        <v>18480.060000000001</v>
      </c>
      <c r="C87" s="69">
        <f>'CAX Fact Sheet Backup'!D87</f>
        <v>18741.290974524432</v>
      </c>
    </row>
    <row r="88" spans="1:3" x14ac:dyDescent="0.25">
      <c r="A88" s="73">
        <f>'CAX Fact Sheet Backup'!A88</f>
        <v>43373</v>
      </c>
      <c r="B88" s="69">
        <f>'CAX Fact Sheet Backup'!B88</f>
        <v>18515.46</v>
      </c>
      <c r="C88" s="69">
        <f>'CAX Fact Sheet Backup'!D88</f>
        <v>18830.464304075726</v>
      </c>
    </row>
    <row r="89" spans="1:3" x14ac:dyDescent="0.25">
      <c r="A89" s="73">
        <f>'CAX Fact Sheet Backup'!A89</f>
        <v>43404</v>
      </c>
      <c r="B89" s="69">
        <f>'CAX Fact Sheet Backup'!B89</f>
        <v>17583.189999999999</v>
      </c>
      <c r="C89" s="69">
        <f>'CAX Fact Sheet Backup'!D89</f>
        <v>17423.54672292445</v>
      </c>
    </row>
    <row r="90" spans="1:3" x14ac:dyDescent="0.25">
      <c r="A90" s="73">
        <f>'CAX Fact Sheet Backup'!A90</f>
        <v>43434</v>
      </c>
      <c r="B90" s="69">
        <f>'CAX Fact Sheet Backup'!B90</f>
        <v>17960.82</v>
      </c>
      <c r="C90" s="69">
        <f>'CAX Fact Sheet Backup'!D90</f>
        <v>17686.634637544976</v>
      </c>
    </row>
    <row r="91" spans="1:3" x14ac:dyDescent="0.25">
      <c r="A91" s="73">
        <f>'CAX Fact Sheet Backup'!A91</f>
        <v>43465</v>
      </c>
      <c r="B91" s="69">
        <f>'CAX Fact Sheet Backup'!B91</f>
        <v>16907.79</v>
      </c>
      <c r="C91" s="69">
        <f>'CAX Fact Sheet Backup'!D91</f>
        <v>16447.958586700224</v>
      </c>
    </row>
    <row r="92" spans="1:3" x14ac:dyDescent="0.25">
      <c r="A92" s="73">
        <f>'CAX Fact Sheet Backup'!A92</f>
        <v>43496</v>
      </c>
      <c r="B92" s="69">
        <f>'CAX Fact Sheet Backup'!B92</f>
        <v>17954.830000000002</v>
      </c>
      <c r="C92" s="69">
        <f>'CAX Fact Sheet Backup'!D92</f>
        <v>17751.874767316105</v>
      </c>
    </row>
    <row r="93" spans="1:3" x14ac:dyDescent="0.25">
      <c r="A93" s="73">
        <f>'CAX Fact Sheet Backup'!A93</f>
        <v>43524</v>
      </c>
      <c r="B93" s="69">
        <f>'CAX Fact Sheet Backup'!B93</f>
        <v>18433.11</v>
      </c>
      <c r="C93" s="69">
        <f>'CAX Fact Sheet Backup'!D93</f>
        <v>18234.616271030183</v>
      </c>
    </row>
    <row r="94" spans="1:3" x14ac:dyDescent="0.25">
      <c r="A94" s="73">
        <f>'CAX Fact Sheet Backup'!A94</f>
        <v>43555</v>
      </c>
      <c r="B94" s="69">
        <f>'CAX Fact Sheet Backup'!B94</f>
        <v>18446.03</v>
      </c>
      <c r="C94" s="69">
        <f>'CAX Fact Sheet Backup'!D94</f>
        <v>18475.366532522552</v>
      </c>
    </row>
    <row r="95" spans="1:3" x14ac:dyDescent="0.25">
      <c r="A95" s="73">
        <f>'CAX Fact Sheet Backup'!A95</f>
        <v>43585</v>
      </c>
      <c r="B95" s="69">
        <f>'CAX Fact Sheet Backup'!B95</f>
        <v>18743.34</v>
      </c>
      <c r="C95" s="69">
        <f>'CAX Fact Sheet Backup'!D95</f>
        <v>19108.975836332364</v>
      </c>
    </row>
    <row r="96" spans="1:3" x14ac:dyDescent="0.25">
      <c r="A96" s="73">
        <f>'CAX Fact Sheet Backup'!A96</f>
        <v>43616</v>
      </c>
      <c r="B96" s="69">
        <f>'CAX Fact Sheet Backup'!B96</f>
        <v>18019.46</v>
      </c>
      <c r="C96" s="69">
        <f>'CAX Fact Sheet Backup'!D96</f>
        <v>17991.384048079133</v>
      </c>
    </row>
    <row r="97" spans="1:3" x14ac:dyDescent="0.25">
      <c r="A97" s="73">
        <f>'CAX Fact Sheet Backup'!A97</f>
        <v>43646</v>
      </c>
      <c r="B97" s="69">
        <f>'CAX Fact Sheet Backup'!B97</f>
        <v>19066.5</v>
      </c>
      <c r="C97" s="69">
        <f>'CAX Fact Sheet Backup'!D97</f>
        <v>19177.761625330182</v>
      </c>
    </row>
    <row r="98" spans="1:3" x14ac:dyDescent="0.25">
      <c r="A98" s="73">
        <f>'CAX Fact Sheet Backup'!A98</f>
        <v>43677</v>
      </c>
      <c r="B98" s="69">
        <f>'CAX Fact Sheet Backup'!B98</f>
        <v>19273.330000000002</v>
      </c>
      <c r="C98" s="69">
        <f>'CAX Fact Sheet Backup'!D98</f>
        <v>19240.697076603956</v>
      </c>
    </row>
    <row r="99" spans="1:3" x14ac:dyDescent="0.25">
      <c r="A99" s="73">
        <f>'CAX Fact Sheet Backup'!A99</f>
        <v>43708</v>
      </c>
      <c r="B99" s="69">
        <f>'CAX Fact Sheet Backup'!B99</f>
        <v>18976.02</v>
      </c>
      <c r="C99" s="69">
        <f>'CAX Fact Sheet Backup'!D99</f>
        <v>18792.880316272793</v>
      </c>
    </row>
    <row r="100" spans="1:3" x14ac:dyDescent="0.25">
      <c r="A100" s="73">
        <f>'CAX Fact Sheet Backup'!A100</f>
        <v>43738</v>
      </c>
      <c r="B100" s="69">
        <f>'CAX Fact Sheet Backup'!B100</f>
        <v>19156.990000000002</v>
      </c>
      <c r="C100" s="69">
        <f>'CAX Fact Sheet Backup'!D100</f>
        <v>19197.085468115649</v>
      </c>
    </row>
    <row r="101" spans="1:3" x14ac:dyDescent="0.25">
      <c r="A101" s="73">
        <f>'CAX Fact Sheet Backup'!A101</f>
        <v>43769</v>
      </c>
      <c r="B101" s="69">
        <f>'CAX Fact Sheet Backup'!B101</f>
        <v>18937</v>
      </c>
      <c r="C101" s="69">
        <f>'CAX Fact Sheet Backup'!D101</f>
        <v>19727.338805467396</v>
      </c>
    </row>
    <row r="102" spans="1:3" x14ac:dyDescent="0.25">
      <c r="A102" s="73">
        <f>'CAX Fact Sheet Backup'!A102</f>
        <v>43799</v>
      </c>
      <c r="B102" s="69">
        <f>'CAX Fact Sheet Backup'!B102</f>
        <v>19144</v>
      </c>
      <c r="C102" s="69">
        <f>'CAX Fact Sheet Backup'!D102</f>
        <v>20217.348910596193</v>
      </c>
    </row>
    <row r="103" spans="1:3" x14ac:dyDescent="0.25">
      <c r="A103" s="73">
        <f>'CAX Fact Sheet Backup'!A103</f>
        <v>43830</v>
      </c>
      <c r="B103" s="69">
        <f>'CAX Fact Sheet Backup'!B103</f>
        <v>19829</v>
      </c>
      <c r="C103" s="69">
        <f>'CAX Fact Sheet Backup'!D103</f>
        <v>20937.826865459945</v>
      </c>
    </row>
    <row r="104" spans="1:3" x14ac:dyDescent="0.25">
      <c r="A104" s="73">
        <f>'CAX Fact Sheet Backup'!A104</f>
        <v>43861</v>
      </c>
      <c r="B104" s="69">
        <f>'CAX Fact Sheet Backup'!B104</f>
        <v>19428</v>
      </c>
      <c r="C104" s="69">
        <f>'CAX Fact Sheet Backup'!D104</f>
        <v>20711.79108975835</v>
      </c>
    </row>
    <row r="105" spans="1:3" x14ac:dyDescent="0.25">
      <c r="A105" s="73">
        <f>'CAX Fact Sheet Backup'!A105</f>
        <v>43890</v>
      </c>
      <c r="B105" s="69">
        <f>'CAX Fact Sheet Backup'!B105</f>
        <v>17635</v>
      </c>
      <c r="C105" s="69">
        <f>'CAX Fact Sheet Backup'!D105</f>
        <v>19046.926799865254</v>
      </c>
    </row>
    <row r="106" spans="1:3" x14ac:dyDescent="0.25">
      <c r="A106" s="73">
        <f>'CAX Fact Sheet Backup'!A106</f>
        <v>43921</v>
      </c>
      <c r="B106" s="69">
        <f>'CAX Fact Sheet Backup'!B106</f>
        <v>15374</v>
      </c>
      <c r="C106" s="69">
        <f>'CAX Fact Sheet Backup'!D106</f>
        <v>16486.960838193831</v>
      </c>
    </row>
    <row r="107" spans="1:3" x14ac:dyDescent="0.25">
      <c r="A107" s="73">
        <f>'CAX Fact Sheet Backup'!A107</f>
        <v>43951</v>
      </c>
      <c r="B107" s="69">
        <f>'CAX Fact Sheet Backup'!B107</f>
        <v>16591</v>
      </c>
      <c r="C107" s="69">
        <f>'CAX Fact Sheet Backup'!D107</f>
        <v>18261.563281153034</v>
      </c>
    </row>
    <row r="108" spans="1:3" x14ac:dyDescent="0.25">
      <c r="A108" s="73">
        <f>'CAX Fact Sheet Backup'!A108</f>
        <v>43982</v>
      </c>
      <c r="B108" s="69">
        <f>'CAX Fact Sheet Backup'!B108</f>
        <v>17488</v>
      </c>
      <c r="C108" s="69">
        <f>'CAX Fact Sheet Backup'!D108</f>
        <v>19066.782491534723</v>
      </c>
    </row>
    <row r="109" spans="1:3" x14ac:dyDescent="0.25">
      <c r="A109" s="73">
        <f>'CAX Fact Sheet Backup'!A109</f>
        <v>44012</v>
      </c>
      <c r="B109" s="69">
        <f>'CAX Fact Sheet Backup'!B109</f>
        <v>17769</v>
      </c>
      <c r="C109" s="69">
        <f>'CAX Fact Sheet Backup'!D109</f>
        <v>19684.259045863084</v>
      </c>
    </row>
    <row r="110" spans="1:3" x14ac:dyDescent="0.25">
      <c r="A110" s="73">
        <f>'CAX Fact Sheet Backup'!A110</f>
        <v>44043</v>
      </c>
      <c r="B110" s="69">
        <f>'CAX Fact Sheet Backup'!B110</f>
        <v>18411</v>
      </c>
      <c r="C110" s="69">
        <f>'CAX Fact Sheet Backup'!D110</f>
        <v>20733.242328079828</v>
      </c>
    </row>
    <row r="111" spans="1:3" x14ac:dyDescent="0.25">
      <c r="A111" s="73">
        <f>'CAX Fact Sheet Backup'!A111</f>
        <v>44074</v>
      </c>
      <c r="B111" s="69">
        <f>'CAX Fact Sheet Backup'!B111</f>
        <v>19093</v>
      </c>
      <c r="C111" s="69">
        <f>'CAX Fact Sheet Backup'!D111</f>
        <v>22010.034215611515</v>
      </c>
    </row>
    <row r="112" spans="1:3" x14ac:dyDescent="0.25">
      <c r="A112" s="73">
        <f>'CAX Fact Sheet Backup'!A112</f>
        <v>44104</v>
      </c>
      <c r="B112" s="69">
        <f>'CAX Fact Sheet Backup'!B112</f>
        <v>18371</v>
      </c>
      <c r="C112" s="69">
        <f>'CAX Fact Sheet Backup'!D112</f>
        <v>21308.52553761056</v>
      </c>
    </row>
    <row r="113" spans="1:3" x14ac:dyDescent="0.25">
      <c r="A113" s="73">
        <f>'CAX Fact Sheet Backup'!A113</f>
        <v>44135</v>
      </c>
      <c r="B113" s="69">
        <f>'CAX Fact Sheet Backup'!B113</f>
        <v>18010</v>
      </c>
      <c r="C113" s="69">
        <f>'CAX Fact Sheet Backup'!D113</f>
        <v>20795.536959976966</v>
      </c>
    </row>
    <row r="114" spans="1:3" x14ac:dyDescent="0.25">
      <c r="A114" s="73">
        <f>'CAX Fact Sheet Backup'!A114</f>
        <v>44165</v>
      </c>
      <c r="B114" s="69">
        <f>'CAX Fact Sheet Backup'!B114</f>
        <v>19883</v>
      </c>
      <c r="C114" s="69">
        <f>'CAX Fact Sheet Backup'!D114</f>
        <v>23366.479714549994</v>
      </c>
    </row>
    <row r="115" spans="1:3" x14ac:dyDescent="0.25">
      <c r="A115" s="73">
        <f>'CAX Fact Sheet Backup'!A115</f>
        <v>44196</v>
      </c>
      <c r="B115" s="69">
        <f>'CAX Fact Sheet Backup'!B115</f>
        <v>20911</v>
      </c>
      <c r="C115" s="69">
        <f>'CAX Fact Sheet Backup'!D115</f>
        <v>24459.45537800714</v>
      </c>
    </row>
    <row r="116" spans="1:3" x14ac:dyDescent="0.25">
      <c r="A116" s="73">
        <f>'CAX Fact Sheet Backup'!A116</f>
        <v>44227</v>
      </c>
      <c r="B116" s="69">
        <f>'CAX Fact Sheet Backup'!B116</f>
        <v>21006</v>
      </c>
      <c r="C116" s="69">
        <f>'CAX Fact Sheet Backup'!D116</f>
        <v>24354.152771739708</v>
      </c>
    </row>
    <row r="117" spans="1:3" x14ac:dyDescent="0.25">
      <c r="A117" s="73">
        <f>'CAX Fact Sheet Backup'!A117</f>
        <v>44255</v>
      </c>
      <c r="B117" s="69">
        <f>'CAX Fact Sheet Backup'!B117</f>
        <v>21524</v>
      </c>
      <c r="C117" s="69">
        <f>'CAX Fact Sheet Backup'!D117</f>
        <v>24925.516913153733</v>
      </c>
    </row>
    <row r="118" spans="1:3" x14ac:dyDescent="0.25">
      <c r="A118" s="73">
        <f>'CAX Fact Sheet Backup'!A118</f>
        <v>44286</v>
      </c>
      <c r="B118" s="69">
        <f>'CAX Fact Sheet Backup'!B118</f>
        <v>22491</v>
      </c>
      <c r="C118" s="69">
        <f>'CAX Fact Sheet Backup'!D118</f>
        <v>25604.488263329255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7C2E-6A15-44A2-97CB-75F0699F15FC}">
  <sheetPr>
    <tabColor rgb="FFFF0000"/>
  </sheetPr>
  <dimension ref="A1:D12"/>
  <sheetViews>
    <sheetView workbookViewId="0">
      <selection activeCell="A119" sqref="A119"/>
    </sheetView>
  </sheetViews>
  <sheetFormatPr defaultRowHeight="15" x14ac:dyDescent="0.25"/>
  <sheetData>
    <row r="1" spans="1:4" x14ac:dyDescent="0.25">
      <c r="A1" t="s">
        <v>0</v>
      </c>
      <c r="B1" t="s">
        <v>27</v>
      </c>
      <c r="C1" t="s">
        <v>67</v>
      </c>
      <c r="D1" t="s">
        <v>68</v>
      </c>
    </row>
    <row r="2" spans="1:4" x14ac:dyDescent="0.25">
      <c r="A2">
        <v>2011</v>
      </c>
      <c r="B2" s="69">
        <f>'CAX Fact Sheet Backup'!K41*100</f>
        <v>-4.0283999999999986</v>
      </c>
      <c r="C2" s="69">
        <f>'CAX Fact Sheet Backup'!L41*100</f>
        <v>-9.8516141613629529</v>
      </c>
      <c r="D2">
        <v>1</v>
      </c>
    </row>
    <row r="3" spans="1:4" x14ac:dyDescent="0.25">
      <c r="A3">
        <v>2012</v>
      </c>
      <c r="B3" s="69">
        <f>'CAX Fact Sheet Backup'!K42*100</f>
        <v>18.081807534729034</v>
      </c>
      <c r="C3" s="69">
        <f>'CAX Fact Sheet Backup'!L42*100</f>
        <v>16.800393313667627</v>
      </c>
      <c r="D3">
        <v>2</v>
      </c>
    </row>
    <row r="4" spans="1:4" x14ac:dyDescent="0.25">
      <c r="A4">
        <v>2013</v>
      </c>
      <c r="B4" s="69">
        <f>'CAX Fact Sheet Backup'!K43*100</f>
        <v>16.797882197220382</v>
      </c>
      <c r="C4" s="69">
        <f>'CAX Fact Sheet Backup'!L43*100</f>
        <v>23.440472782987865</v>
      </c>
      <c r="D4">
        <v>3</v>
      </c>
    </row>
    <row r="5" spans="1:4" x14ac:dyDescent="0.25">
      <c r="A5">
        <v>2014</v>
      </c>
      <c r="B5" s="69">
        <f>'CAX Fact Sheet Backup'!K44*100</f>
        <v>3.8339029866758523</v>
      </c>
      <c r="C5" s="69">
        <f>'CAX Fact Sheet Backup'!L44*100</f>
        <v>4.7057218850167004</v>
      </c>
      <c r="D5">
        <v>4</v>
      </c>
    </row>
    <row r="6" spans="1:4" x14ac:dyDescent="0.25">
      <c r="A6">
        <v>2015</v>
      </c>
      <c r="B6" s="69">
        <f>'CAX Fact Sheet Backup'!K45*100</f>
        <v>-1.7599490089190706</v>
      </c>
      <c r="C6" s="69">
        <f>'CAX Fact Sheet Backup'!L45*100</f>
        <v>-1.8406826027486556</v>
      </c>
      <c r="D6">
        <v>5</v>
      </c>
    </row>
    <row r="7" spans="1:4" x14ac:dyDescent="0.25">
      <c r="A7">
        <v>2016</v>
      </c>
      <c r="B7" s="69">
        <f>'CAX Fact Sheet Backup'!K46*100</f>
        <v>10.328403089981242</v>
      </c>
      <c r="C7" s="69">
        <f>'CAX Fact Sheet Backup'!L46*100</f>
        <v>8.4855080157129503</v>
      </c>
      <c r="D7">
        <v>6</v>
      </c>
    </row>
    <row r="8" spans="1:4" x14ac:dyDescent="0.25">
      <c r="A8">
        <v>2017</v>
      </c>
      <c r="B8" s="69">
        <f>'CAX Fact Sheet Backup'!K47*100</f>
        <v>17.087366518060641</v>
      </c>
      <c r="C8" s="69">
        <f>'CAX Fact Sheet Backup'!L47*100</f>
        <v>24.623834805372734</v>
      </c>
      <c r="D8">
        <v>7</v>
      </c>
    </row>
    <row r="9" spans="1:4" x14ac:dyDescent="0.25">
      <c r="A9">
        <v>2018</v>
      </c>
      <c r="B9" s="69">
        <f>'CAX Fact Sheet Backup'!K48*100</f>
        <v>-3.0604452119590175</v>
      </c>
      <c r="C9" s="69">
        <f>'CAX Fact Sheet Backup'!L48*100</f>
        <v>-8.9295705521472364</v>
      </c>
      <c r="D9">
        <v>8</v>
      </c>
    </row>
    <row r="10" spans="1:4" x14ac:dyDescent="0.25">
      <c r="A10">
        <v>2019</v>
      </c>
      <c r="B10" s="69">
        <f>'CAX Fact Sheet Backup'!K49*100</f>
        <v>17.277302355896307</v>
      </c>
      <c r="C10" s="69">
        <f>'CAX Fact Sheet Backup'!L49*100</f>
        <v>27.297419646899023</v>
      </c>
      <c r="D10">
        <v>9</v>
      </c>
    </row>
    <row r="11" spans="1:4" x14ac:dyDescent="0.25">
      <c r="A11">
        <v>2020</v>
      </c>
      <c r="B11" s="69">
        <f>'CAX Fact Sheet Backup'!K50*100</f>
        <v>5.4566543950779201</v>
      </c>
      <c r="C11" s="69">
        <f>'CAX Fact Sheet Backup'!L50*100</f>
        <v>16.819455692207686</v>
      </c>
      <c r="D11">
        <v>10</v>
      </c>
    </row>
    <row r="12" spans="1:4" x14ac:dyDescent="0.25">
      <c r="A12" t="s">
        <v>110</v>
      </c>
      <c r="B12" s="69">
        <f>'CAX Fact Sheet Backup'!K51*100</f>
        <v>7.5558318588302864</v>
      </c>
      <c r="C12" s="69">
        <f>'CAX Fact Sheet Backup'!L51*100</f>
        <v>4.6813506990498244</v>
      </c>
      <c r="D12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977D-E682-4DA8-A3D6-E8252DC4C49C}">
  <sheetPr>
    <tabColor rgb="FFFF0000"/>
  </sheetPr>
  <dimension ref="A1:H9"/>
  <sheetViews>
    <sheetView workbookViewId="0">
      <selection activeCell="A119" sqref="A119"/>
    </sheetView>
  </sheetViews>
  <sheetFormatPr defaultRowHeight="15" x14ac:dyDescent="0.25"/>
  <cols>
    <col min="1" max="1" width="22" bestFit="1" customWidth="1"/>
    <col min="7" max="7" width="15.7109375" bestFit="1" customWidth="1"/>
  </cols>
  <sheetData>
    <row r="1" spans="1:8" x14ac:dyDescent="0.25">
      <c r="A1" t="str">
        <f>'CAX Fact Sheet Backup'!G13</f>
        <v>Share Class/Benchmark</v>
      </c>
      <c r="B1" t="str">
        <f>'CAX Fact Sheet Backup'!H13</f>
        <v>QTD</v>
      </c>
      <c r="C1" t="str">
        <f>'CAX Fact Sheet Backup'!I13</f>
        <v>YTD</v>
      </c>
      <c r="D1" t="str">
        <f>'CAX Fact Sheet Backup'!J13</f>
        <v>1YR</v>
      </c>
      <c r="E1" t="str">
        <f>'CAX Fact Sheet Backup'!K13</f>
        <v>3YRS</v>
      </c>
      <c r="F1" t="str">
        <f>'CAX Fact Sheet Backup'!L13</f>
        <v>5YRS</v>
      </c>
      <c r="G1" t="str">
        <f>'CAX Fact Sheet Backup'!M13</f>
        <v>Since Inception*</v>
      </c>
      <c r="H1" t="s">
        <v>68</v>
      </c>
    </row>
    <row r="2" spans="1:8" x14ac:dyDescent="0.25">
      <c r="A2" t="s">
        <v>13</v>
      </c>
      <c r="B2" s="69">
        <f>'CAX Fact Sheet Backup'!H14</f>
        <v>7.5558318588302811</v>
      </c>
      <c r="C2" s="69">
        <f>'CAX Fact Sheet Backup'!I14</f>
        <v>7.5558318588302811</v>
      </c>
      <c r="D2" s="69">
        <f>'CAX Fact Sheet Backup'!J14</f>
        <v>46.300000000000004</v>
      </c>
      <c r="E2" s="69">
        <f>'CAX Fact Sheet Backup'!K14</f>
        <v>8.2859757643265919</v>
      </c>
      <c r="F2" s="69">
        <f>'CAX Fact Sheet Backup'!L14</f>
        <v>10.161698089845327</v>
      </c>
      <c r="G2" s="69">
        <f>'CAX Fact Sheet Backup'!M14</f>
        <v>8.74</v>
      </c>
      <c r="H2">
        <v>1</v>
      </c>
    </row>
    <row r="3" spans="1:8" x14ac:dyDescent="0.25">
      <c r="A3" t="s">
        <v>14</v>
      </c>
      <c r="B3" s="69">
        <f>'CAX Fact Sheet Backup'!H15</f>
        <v>7.39</v>
      </c>
      <c r="C3" s="69">
        <f>'CAX Fact Sheet Backup'!I15</f>
        <v>7.39</v>
      </c>
      <c r="D3" s="69">
        <f>'CAX Fact Sheet Backup'!J15</f>
        <v>45.25</v>
      </c>
      <c r="E3" s="69">
        <f>'CAX Fact Sheet Backup'!K15</f>
        <v>7.4899999999999993</v>
      </c>
      <c r="F3" s="69">
        <f>'CAX Fact Sheet Backup'!L15</f>
        <v>9.31</v>
      </c>
      <c r="G3" s="69">
        <f>'CAX Fact Sheet Backup'!M15</f>
        <v>7.9200000000000008</v>
      </c>
      <c r="H3">
        <v>2</v>
      </c>
    </row>
    <row r="4" spans="1:8" x14ac:dyDescent="0.25">
      <c r="A4" t="s">
        <v>15</v>
      </c>
      <c r="B4" s="69">
        <f>'CAX Fact Sheet Backup'!H18</f>
        <v>1.37</v>
      </c>
      <c r="C4" s="69">
        <f>'CAX Fact Sheet Backup'!I18</f>
        <v>1.37</v>
      </c>
      <c r="D4" s="69">
        <f>'CAX Fact Sheet Backup'!J18</f>
        <v>37.880000000000003</v>
      </c>
      <c r="E4" s="69">
        <f>'CAX Fact Sheet Backup'!K18</f>
        <v>6.17</v>
      </c>
      <c r="F4" s="69">
        <f>'CAX Fact Sheet Backup'!L18</f>
        <v>8.86</v>
      </c>
      <c r="G4" s="69">
        <f>'CAX Fact Sheet Backup'!M18</f>
        <v>8.08</v>
      </c>
      <c r="H4">
        <v>3</v>
      </c>
    </row>
    <row r="5" spans="1:8" x14ac:dyDescent="0.25">
      <c r="A5" t="s">
        <v>28</v>
      </c>
      <c r="B5" s="69">
        <f>'CAX Fact Sheet Backup'!H16</f>
        <v>4.6813506990498137</v>
      </c>
      <c r="C5" s="69">
        <f>'CAX Fact Sheet Backup'!I16</f>
        <v>4.6813506990498137</v>
      </c>
      <c r="D5" s="69">
        <f>'CAX Fact Sheet Backup'!J16</f>
        <v>55.31</v>
      </c>
      <c r="E5" s="69">
        <f>'CAX Fact Sheet Backup'!K16</f>
        <v>12.659999999999998</v>
      </c>
      <c r="F5" s="69">
        <f>'CAX Fact Sheet Backup'!L16</f>
        <v>13.809160521929375</v>
      </c>
      <c r="G5" s="69">
        <f>'CAX Fact Sheet Backup'!M16</f>
        <v>10.205783664519231</v>
      </c>
      <c r="H5">
        <v>4</v>
      </c>
    </row>
    <row r="6" spans="1:8" x14ac:dyDescent="0.25">
      <c r="A6" t="s">
        <v>104</v>
      </c>
      <c r="B6" s="69">
        <f>'CAX Fact Sheet Backup'!H17</f>
        <v>9.0399999999999991</v>
      </c>
      <c r="C6" s="69">
        <f>'CAX Fact Sheet Backup'!I17</f>
        <v>9.0399999999999991</v>
      </c>
      <c r="D6" s="69">
        <f>'CAX Fact Sheet Backup'!J17</f>
        <v>49.88</v>
      </c>
      <c r="E6" s="69">
        <f>'CAX Fact Sheet Backup'!K17</f>
        <v>7.03</v>
      </c>
      <c r="F6" s="69">
        <f>'CAX Fact Sheet Backup'!L17</f>
        <v>9.85</v>
      </c>
      <c r="G6" s="69">
        <f>'CAX Fact Sheet Backup'!M17</f>
        <v>7.75</v>
      </c>
      <c r="H6">
        <v>5</v>
      </c>
    </row>
    <row r="7" spans="1:8" x14ac:dyDescent="0.25">
      <c r="A7" t="s">
        <v>61</v>
      </c>
      <c r="B7" s="69">
        <f>'CAX Fact Sheet Backup'!H19</f>
        <v>7.6300000000000008</v>
      </c>
      <c r="C7" s="69">
        <f>'CAX Fact Sheet Backup'!I19</f>
        <v>7.6300000000000008</v>
      </c>
      <c r="D7" s="69">
        <f>'CAX Fact Sheet Backup'!J19</f>
        <v>46.67</v>
      </c>
      <c r="E7" s="69">
        <f>'CAX Fact Sheet Backup'!K19</f>
        <v>8.57</v>
      </c>
      <c r="F7" s="69">
        <f>'CAX Fact Sheet Backup'!L19</f>
        <v>10.42</v>
      </c>
      <c r="G7" s="69">
        <f>'CAX Fact Sheet Backup'!M19</f>
        <v>7.1400000000000006</v>
      </c>
      <c r="H7">
        <v>6</v>
      </c>
    </row>
    <row r="8" spans="1:8" x14ac:dyDescent="0.25">
      <c r="A8" t="s">
        <v>28</v>
      </c>
      <c r="B8" s="69">
        <f>'CAX Fact Sheet Backup'!H20</f>
        <v>4.6813506990498137</v>
      </c>
      <c r="C8" s="69">
        <f>'CAX Fact Sheet Backup'!I20</f>
        <v>4.6813506990498137</v>
      </c>
      <c r="D8" s="69">
        <f>'CAX Fact Sheet Backup'!J20</f>
        <v>55.31</v>
      </c>
      <c r="E8" s="69">
        <f>'CAX Fact Sheet Backup'!K20</f>
        <v>12.659999999999998</v>
      </c>
      <c r="F8" s="69">
        <f>'CAX Fact Sheet Backup'!L20</f>
        <v>13.809160521929375</v>
      </c>
      <c r="G8" s="69">
        <f>'CAX Fact Sheet Backup'!M20</f>
        <v>9.5500000000000007</v>
      </c>
      <c r="H8">
        <v>7</v>
      </c>
    </row>
    <row r="9" spans="1:8" x14ac:dyDescent="0.25">
      <c r="A9" t="s">
        <v>104</v>
      </c>
      <c r="B9" s="69">
        <f>'CAX Fact Sheet Backup'!H21</f>
        <v>9.0399999999999991</v>
      </c>
      <c r="C9" s="69">
        <f>'CAX Fact Sheet Backup'!I21</f>
        <v>9.0399999999999991</v>
      </c>
      <c r="D9" s="69">
        <f>'CAX Fact Sheet Backup'!J21</f>
        <v>49.88</v>
      </c>
      <c r="E9" s="69">
        <f>'CAX Fact Sheet Backup'!K21</f>
        <v>7.03</v>
      </c>
      <c r="F9" s="69">
        <f>'CAX Fact Sheet Backup'!L21</f>
        <v>9.85</v>
      </c>
      <c r="G9" s="69">
        <f>'CAX Fact Sheet Backup'!M21</f>
        <v>5.94</v>
      </c>
      <c r="H9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1AEC-C945-426B-9901-7518C27689E0}">
  <sheetPr>
    <tabColor rgb="FFFF0000"/>
  </sheetPr>
  <dimension ref="A1:D8"/>
  <sheetViews>
    <sheetView workbookViewId="0">
      <selection activeCell="A119" sqref="A119"/>
    </sheetView>
  </sheetViews>
  <sheetFormatPr defaultRowHeight="15" x14ac:dyDescent="0.25"/>
  <cols>
    <col min="1" max="1" width="18.7109375" bestFit="1" customWidth="1"/>
    <col min="3" max="3" width="14.5703125" bestFit="1" customWidth="1"/>
  </cols>
  <sheetData>
    <row r="1" spans="1:4" x14ac:dyDescent="0.25">
      <c r="A1" t="s">
        <v>69</v>
      </c>
      <c r="B1" s="70" t="str">
        <f>'CAX Fact Sheet Backup'!H6</f>
        <v>CAXAX</v>
      </c>
      <c r="C1" s="70" t="str">
        <f>'CAX Fact Sheet Backup'!I6</f>
        <v>MSCI ACWI, G</v>
      </c>
      <c r="D1" t="s">
        <v>68</v>
      </c>
    </row>
    <row r="2" spans="1:4" x14ac:dyDescent="0.25">
      <c r="A2" t="s">
        <v>86</v>
      </c>
      <c r="B2" s="128">
        <f>'CAX Fact Sheet Backup'!H7</f>
        <v>8.230259415168889E-3</v>
      </c>
      <c r="C2" s="70">
        <f>'CAX Fact Sheet Backup'!I7</f>
        <v>0</v>
      </c>
      <c r="D2">
        <v>1</v>
      </c>
    </row>
    <row r="3" spans="1:4" x14ac:dyDescent="0.25">
      <c r="A3" t="s">
        <v>87</v>
      </c>
      <c r="B3" s="70">
        <f>'CAX Fact Sheet Backup'!H8</f>
        <v>0.77534444342982078</v>
      </c>
      <c r="C3" s="70">
        <f>'CAX Fact Sheet Backup'!I8</f>
        <v>1</v>
      </c>
      <c r="D3">
        <v>2</v>
      </c>
    </row>
    <row r="4" spans="1:4" x14ac:dyDescent="0.25">
      <c r="A4" t="s">
        <v>88</v>
      </c>
      <c r="B4" s="70">
        <f>'CAX Fact Sheet Backup'!H9</f>
        <v>0.86252696994185818</v>
      </c>
      <c r="C4" s="70">
        <f>'CAX Fact Sheet Backup'!I9</f>
        <v>1</v>
      </c>
      <c r="D4">
        <v>3</v>
      </c>
    </row>
    <row r="5" spans="1:4" x14ac:dyDescent="0.25">
      <c r="A5" t="s">
        <v>89</v>
      </c>
      <c r="B5" s="70">
        <f>'CAX Fact Sheet Backup'!H10</f>
        <v>0.72924358443202297</v>
      </c>
      <c r="C5" s="70">
        <f>'CAX Fact Sheet Backup'!I10</f>
        <v>0.71730289838241135</v>
      </c>
      <c r="D5">
        <v>4</v>
      </c>
    </row>
    <row r="6" spans="1:4" x14ac:dyDescent="0.25">
      <c r="A6" t="s">
        <v>90</v>
      </c>
      <c r="B6" s="128">
        <f>'CAX Fact Sheet Backup'!H11</f>
        <v>0.11960749722321427</v>
      </c>
      <c r="C6" s="128">
        <f>'CAX Fact Sheet Backup'!I11</f>
        <v>0.14203321480359779</v>
      </c>
      <c r="D6">
        <v>5</v>
      </c>
    </row>
    <row r="7" spans="1:4" x14ac:dyDescent="0.25">
      <c r="B7" s="128"/>
      <c r="C7" s="128"/>
    </row>
    <row r="8" spans="1:4" x14ac:dyDescent="0.25">
      <c r="B8" s="128"/>
      <c r="C8" s="1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6B50-10CA-4AD0-8F80-308F69915F78}">
  <sheetPr>
    <tabColor rgb="FFFF0000"/>
  </sheetPr>
  <dimension ref="A1:C5"/>
  <sheetViews>
    <sheetView workbookViewId="0">
      <selection activeCell="A119" sqref="A119"/>
    </sheetView>
  </sheetViews>
  <sheetFormatPr defaultRowHeight="15" x14ac:dyDescent="0.25"/>
  <cols>
    <col min="1" max="1" width="20.85546875" bestFit="1" customWidth="1"/>
    <col min="2" max="2" width="11.5703125" customWidth="1"/>
  </cols>
  <sheetData>
    <row r="1" spans="1:3" x14ac:dyDescent="0.25">
      <c r="A1" s="71" t="s">
        <v>69</v>
      </c>
      <c r="B1" s="71" t="s">
        <v>70</v>
      </c>
      <c r="C1" s="71" t="s">
        <v>68</v>
      </c>
    </row>
    <row r="2" spans="1:3" x14ac:dyDescent="0.25">
      <c r="A2" s="71" t="str">
        <f>'CAX Portfolio'!A5</f>
        <v>Number of Holdings</v>
      </c>
      <c r="B2" s="71">
        <f>'CAX Portfolio'!B5</f>
        <v>41</v>
      </c>
      <c r="C2" s="71">
        <v>1</v>
      </c>
    </row>
    <row r="3" spans="1:3" x14ac:dyDescent="0.25">
      <c r="A3" s="71" t="str">
        <f>'CAX Portfolio'!A6</f>
        <v>P/E Ratio</v>
      </c>
      <c r="B3" s="71">
        <f>'CAX Portfolio'!B6</f>
        <v>23.62</v>
      </c>
      <c r="C3" s="71">
        <v>2</v>
      </c>
    </row>
    <row r="4" spans="1:3" x14ac:dyDescent="0.25">
      <c r="A4" s="71" t="str">
        <f>'CAX Portfolio'!A7</f>
        <v>Wtd. Avg. Market Cap.</v>
      </c>
      <c r="B4" s="71">
        <f>'CAX Portfolio'!B7</f>
        <v>174.2</v>
      </c>
      <c r="C4" s="71">
        <v>3</v>
      </c>
    </row>
    <row r="5" spans="1:3" x14ac:dyDescent="0.25">
      <c r="A5" s="71" t="str">
        <f>'CAX Portfolio'!A8</f>
        <v>Turnover</v>
      </c>
      <c r="B5" s="74">
        <f>'CAX Portfolio'!B8*100</f>
        <v>22.48</v>
      </c>
      <c r="C5" s="71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E148-0DD5-4DF4-BF19-FA77FE826FEF}">
  <sheetPr>
    <tabColor rgb="FFFF0000"/>
  </sheetPr>
  <dimension ref="A1:C5"/>
  <sheetViews>
    <sheetView workbookViewId="0">
      <selection activeCell="A119" sqref="A119"/>
    </sheetView>
  </sheetViews>
  <sheetFormatPr defaultRowHeight="15" x14ac:dyDescent="0.25"/>
  <cols>
    <col min="1" max="1" width="17.28515625" bestFit="1" customWidth="1"/>
  </cols>
  <sheetData>
    <row r="1" spans="1:3" x14ac:dyDescent="0.25">
      <c r="A1" t="s">
        <v>69</v>
      </c>
      <c r="B1" t="s">
        <v>70</v>
      </c>
      <c r="C1" t="s">
        <v>68</v>
      </c>
    </row>
    <row r="2" spans="1:3" x14ac:dyDescent="0.25">
      <c r="A2" t="str">
        <f>'CAX Portfolio'!A11</f>
        <v>Less than $500MM</v>
      </c>
      <c r="B2" s="72">
        <f>'CAX Portfolio'!B11*100</f>
        <v>0</v>
      </c>
      <c r="C2">
        <v>1</v>
      </c>
    </row>
    <row r="3" spans="1:3" x14ac:dyDescent="0.25">
      <c r="A3" t="str">
        <f>'CAX Portfolio'!A12</f>
        <v>$500MM - $2BN</v>
      </c>
      <c r="B3" s="72">
        <f>'CAX Portfolio'!B12*100</f>
        <v>7.8</v>
      </c>
      <c r="C3">
        <v>2</v>
      </c>
    </row>
    <row r="4" spans="1:3" x14ac:dyDescent="0.25">
      <c r="A4" t="str">
        <f>'CAX Portfolio'!A13</f>
        <v>$2BN - $7BN</v>
      </c>
      <c r="B4" s="72">
        <f>'CAX Portfolio'!B13*100</f>
        <v>12.8</v>
      </c>
      <c r="C4">
        <v>3</v>
      </c>
    </row>
    <row r="5" spans="1:3" x14ac:dyDescent="0.25">
      <c r="A5" t="str">
        <f>'CAX Portfolio'!A14</f>
        <v>Greater than $7BN</v>
      </c>
      <c r="B5" s="72">
        <f>'CAX Portfolio'!B14*100</f>
        <v>79.3</v>
      </c>
      <c r="C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D4CA-BF36-47C2-A4C8-5BDE42627A08}">
  <sheetPr>
    <tabColor rgb="FFFF0000"/>
  </sheetPr>
  <dimension ref="A1:C11"/>
  <sheetViews>
    <sheetView workbookViewId="0">
      <selection activeCell="A119" sqref="A119"/>
    </sheetView>
  </sheetViews>
  <sheetFormatPr defaultRowHeight="15" x14ac:dyDescent="0.25"/>
  <cols>
    <col min="1" max="1" width="23" bestFit="1" customWidth="1"/>
  </cols>
  <sheetData>
    <row r="1" spans="1:3" x14ac:dyDescent="0.25">
      <c r="A1" t="s">
        <v>69</v>
      </c>
      <c r="B1" t="s">
        <v>70</v>
      </c>
      <c r="C1" t="s">
        <v>68</v>
      </c>
    </row>
    <row r="2" spans="1:3" x14ac:dyDescent="0.25">
      <c r="A2" t="str">
        <f>'CAX Portfolio'!D5</f>
        <v>Bunge LTD</v>
      </c>
      <c r="B2" s="72">
        <f>'CAX Portfolio'!E5*100</f>
        <v>5.04</v>
      </c>
      <c r="C2">
        <v>1</v>
      </c>
    </row>
    <row r="3" spans="1:3" x14ac:dyDescent="0.25">
      <c r="A3" t="str">
        <f>'CAX Portfolio'!D6</f>
        <v>Micron Technology Inc</v>
      </c>
      <c r="B3" s="72">
        <f>'CAX Portfolio'!E6*100</f>
        <v>4.54</v>
      </c>
      <c r="C3">
        <v>2</v>
      </c>
    </row>
    <row r="4" spans="1:3" x14ac:dyDescent="0.25">
      <c r="A4" t="str">
        <f>'CAX Portfolio'!D7</f>
        <v>Tetra Tech Inc</v>
      </c>
      <c r="B4" s="72">
        <f>'CAX Portfolio'!E7*100</f>
        <v>4.45</v>
      </c>
      <c r="C4">
        <v>3</v>
      </c>
    </row>
    <row r="5" spans="1:3" x14ac:dyDescent="0.25">
      <c r="A5" t="str">
        <f>'CAX Portfolio'!D8</f>
        <v>eBay Inc</v>
      </c>
      <c r="B5" s="72">
        <f>'CAX Portfolio'!E8*100</f>
        <v>4.0999999999999996</v>
      </c>
      <c r="C5">
        <v>4</v>
      </c>
    </row>
    <row r="6" spans="1:3" x14ac:dyDescent="0.25">
      <c r="A6" t="str">
        <f>'CAX Portfolio'!D9</f>
        <v>Kratos Defense &amp; Security</v>
      </c>
      <c r="B6" s="72">
        <f>'CAX Portfolio'!E9*100</f>
        <v>4.01</v>
      </c>
      <c r="C6">
        <v>5</v>
      </c>
    </row>
    <row r="7" spans="1:3" x14ac:dyDescent="0.25">
      <c r="A7" t="str">
        <f>'CAX Portfolio'!D10</f>
        <v>Sprott Physical Gold &amp; Silver Trust</v>
      </c>
      <c r="B7" s="72">
        <f>'CAX Portfolio'!E10*100</f>
        <v>3.6799999999999997</v>
      </c>
      <c r="C7">
        <v>6</v>
      </c>
    </row>
    <row r="8" spans="1:3" x14ac:dyDescent="0.25">
      <c r="A8" t="str">
        <f>'CAX Portfolio'!D11</f>
        <v>Cisco Systems Inc</v>
      </c>
      <c r="B8" s="72">
        <f>'CAX Portfolio'!E11*100</f>
        <v>3.53</v>
      </c>
      <c r="C8">
        <v>7</v>
      </c>
    </row>
    <row r="9" spans="1:3" x14ac:dyDescent="0.25">
      <c r="A9" t="str">
        <f>'CAX Portfolio'!D12</f>
        <v>Mosaic Co</v>
      </c>
      <c r="B9" s="72">
        <f>'CAX Portfolio'!E12*100</f>
        <v>3.51</v>
      </c>
      <c r="C9">
        <v>8</v>
      </c>
    </row>
    <row r="10" spans="1:3" x14ac:dyDescent="0.25">
      <c r="A10" t="str">
        <f>'CAX Portfolio'!D13</f>
        <v>Novartis AG-ADR</v>
      </c>
      <c r="B10" s="72">
        <f>'CAX Portfolio'!E13*100</f>
        <v>3.4000000000000004</v>
      </c>
      <c r="C10">
        <v>9</v>
      </c>
    </row>
    <row r="11" spans="1:3" x14ac:dyDescent="0.25">
      <c r="A11" t="str">
        <f>'CAX Portfolio'!D14</f>
        <v>Groupe Bruxelles Lambert SA</v>
      </c>
      <c r="B11" s="72">
        <f>'CAX Portfolio'!E14*100</f>
        <v>3.32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CAX Fact Sheet Backup</vt:lpstr>
      <vt:lpstr>CAX Portfolio</vt:lpstr>
      <vt:lpstr>CAX_EXPORT_10kChart</vt:lpstr>
      <vt:lpstr>CAX_EXPORT_10kPercent</vt:lpstr>
      <vt:lpstr>CAX_EXPORT_PerformanceTable</vt:lpstr>
      <vt:lpstr>CAX_EXPORT_Performance&amp;Risks</vt:lpstr>
      <vt:lpstr>CAX_EXPORT_PortfolioChar</vt:lpstr>
      <vt:lpstr>CAX_EXPORT_CapComposite</vt:lpstr>
      <vt:lpstr>CAX_EXPORT_TopEquityHoldings</vt:lpstr>
      <vt:lpstr>CAX_EXPORT_PortSectorAllocation</vt:lpstr>
      <vt:lpstr>CAX_EXPORT_RegionalAllocation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2021-04-26T13:16:40Z</dcterms:modified>
</cp:coreProperties>
</file>