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GG\"/>
    </mc:Choice>
  </mc:AlternateContent>
  <xr:revisionPtr revIDLastSave="0" documentId="13_ncr:1_{9CF62E7B-90F6-46D4-8179-69EEAB8463E8}" xr6:coauthVersionLast="46" xr6:coauthVersionMax="46" xr10:uidLastSave="{00000000-0000-0000-0000-000000000000}"/>
  <bookViews>
    <workbookView xWindow="-28920" yWindow="-120" windowWidth="29040" windowHeight="15840" tabRatio="886" xr2:uid="{00000000-000D-0000-FFFF-FFFF00000000}"/>
  </bookViews>
  <sheets>
    <sheet name="CGG Fact Sheet Backup" sheetId="1" r:id="rId1"/>
    <sheet name="CGG Portfolio" sheetId="2" r:id="rId2"/>
    <sheet name="CGG" sheetId="6" r:id="rId3"/>
    <sheet name="CGG_EXPORT_SECVsBonds" sheetId="7" r:id="rId4"/>
    <sheet name="CGG_EXPORT_PerformanceTable" sheetId="8" r:id="rId5"/>
    <sheet name="CGG_EXPORT_TopHoldings" sheetId="9" r:id="rId6"/>
    <sheet name="CGG_EXPORT_PortfolioChar" sheetId="10" r:id="rId7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CGG!$1:$2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2" i="10"/>
  <c r="A3" i="10"/>
  <c r="A4" i="10"/>
  <c r="A5" i="10"/>
  <c r="A2" i="10"/>
  <c r="B3" i="9"/>
  <c r="B4" i="9"/>
  <c r="B5" i="9"/>
  <c r="B6" i="9"/>
  <c r="B7" i="9"/>
  <c r="B8" i="9"/>
  <c r="B9" i="9"/>
  <c r="B10" i="9"/>
  <c r="B11" i="9"/>
  <c r="B2" i="9"/>
  <c r="A11" i="9"/>
  <c r="A3" i="9"/>
  <c r="A4" i="9"/>
  <c r="A5" i="9"/>
  <c r="A6" i="9"/>
  <c r="A7" i="9"/>
  <c r="A8" i="9"/>
  <c r="A9" i="9"/>
  <c r="A10" i="9"/>
  <c r="A2" i="9"/>
  <c r="F3" i="8"/>
  <c r="F4" i="8"/>
  <c r="F5" i="8"/>
  <c r="F6" i="8"/>
  <c r="F7" i="8"/>
  <c r="F8" i="8"/>
  <c r="F9" i="8"/>
  <c r="F10" i="8"/>
  <c r="F11" i="8"/>
  <c r="E3" i="8"/>
  <c r="E4" i="8"/>
  <c r="E5" i="8"/>
  <c r="E6" i="8"/>
  <c r="E7" i="8"/>
  <c r="E8" i="8"/>
  <c r="E9" i="8"/>
  <c r="E10" i="8"/>
  <c r="E11" i="8"/>
  <c r="D3" i="8"/>
  <c r="D4" i="8"/>
  <c r="D5" i="8"/>
  <c r="D6" i="8"/>
  <c r="D7" i="8"/>
  <c r="D8" i="8"/>
  <c r="D9" i="8"/>
  <c r="D10" i="8"/>
  <c r="D11" i="8"/>
  <c r="C3" i="8"/>
  <c r="C4" i="8"/>
  <c r="C5" i="8"/>
  <c r="C6" i="8"/>
  <c r="C7" i="8"/>
  <c r="C8" i="8"/>
  <c r="C9" i="8"/>
  <c r="C10" i="8"/>
  <c r="C11" i="8"/>
  <c r="B3" i="8"/>
  <c r="B4" i="8"/>
  <c r="B5" i="8"/>
  <c r="B6" i="8"/>
  <c r="B7" i="8"/>
  <c r="B8" i="8"/>
  <c r="B9" i="8"/>
  <c r="B10" i="8"/>
  <c r="B11" i="8"/>
  <c r="B2" i="8"/>
  <c r="C2" i="8"/>
  <c r="D2" i="8"/>
  <c r="E2" i="8"/>
  <c r="F2" i="8"/>
  <c r="A2" i="8"/>
  <c r="A3" i="8"/>
  <c r="A4" i="8"/>
  <c r="A5" i="8"/>
  <c r="A6" i="8"/>
  <c r="A7" i="8"/>
  <c r="A8" i="8"/>
  <c r="A9" i="8"/>
  <c r="A10" i="8"/>
  <c r="A11" i="8"/>
  <c r="B1" i="8"/>
  <c r="C1" i="8"/>
  <c r="D1" i="8"/>
  <c r="E1" i="8"/>
  <c r="F1" i="8"/>
  <c r="A1" i="8"/>
  <c r="B3" i="7" l="1"/>
  <c r="B4" i="7"/>
  <c r="B2" i="7"/>
  <c r="A3" i="7"/>
  <c r="A4" i="7"/>
  <c r="A2" i="7"/>
  <c r="O41" i="6" l="1"/>
  <c r="M41" i="6"/>
  <c r="O40" i="6"/>
  <c r="M40" i="6"/>
  <c r="O39" i="6"/>
  <c r="R10" i="6" s="1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N22" i="6" s="1"/>
  <c r="O21" i="6"/>
  <c r="M21" i="6"/>
  <c r="N21" i="6" s="1"/>
  <c r="O20" i="6"/>
  <c r="M20" i="6"/>
  <c r="N20" i="6" s="1"/>
  <c r="R19" i="6"/>
  <c r="O19" i="6"/>
  <c r="M19" i="6"/>
  <c r="N19" i="6" s="1"/>
  <c r="R18" i="6"/>
  <c r="O18" i="6"/>
  <c r="N18" i="6"/>
  <c r="M18" i="6"/>
  <c r="R17" i="6"/>
  <c r="O17" i="6"/>
  <c r="M17" i="6"/>
  <c r="N17" i="6" s="1"/>
  <c r="R16" i="6"/>
  <c r="O16" i="6"/>
  <c r="M16" i="6"/>
  <c r="N16" i="6" s="1"/>
  <c r="R15" i="6"/>
  <c r="O15" i="6"/>
  <c r="M15" i="6"/>
  <c r="N15" i="6" s="1"/>
  <c r="R14" i="6"/>
  <c r="O14" i="6"/>
  <c r="N14" i="6"/>
  <c r="M14" i="6"/>
  <c r="R13" i="6"/>
  <c r="O13" i="6"/>
  <c r="N13" i="6"/>
  <c r="M13" i="6"/>
  <c r="R12" i="6"/>
  <c r="R11" i="6"/>
  <c r="M10" i="6"/>
  <c r="K6" i="6"/>
  <c r="J6" i="6"/>
  <c r="K5" i="6"/>
  <c r="J5" i="6"/>
  <c r="O14" i="1"/>
  <c r="O10" i="1"/>
  <c r="S20" i="1"/>
  <c r="T11" i="1"/>
  <c r="C120" i="1"/>
  <c r="C121" i="1"/>
  <c r="C122" i="1"/>
  <c r="C123" i="1"/>
  <c r="H22" i="6" l="1"/>
  <c r="R9" i="6"/>
  <c r="H19" i="6"/>
  <c r="H21" i="6"/>
  <c r="H24" i="6"/>
  <c r="H28" i="6"/>
  <c r="H32" i="6"/>
  <c r="H36" i="6"/>
  <c r="H40" i="6"/>
  <c r="H18" i="6"/>
  <c r="H17" i="6"/>
  <c r="H34" i="6"/>
  <c r="H26" i="6"/>
  <c r="H38" i="6"/>
  <c r="H20" i="6"/>
  <c r="H23" i="6"/>
  <c r="H27" i="6"/>
  <c r="H31" i="6"/>
  <c r="H35" i="6"/>
  <c r="H39" i="6"/>
  <c r="H13" i="6"/>
  <c r="H30" i="6"/>
  <c r="H15" i="6"/>
  <c r="H16" i="6"/>
  <c r="H14" i="6"/>
  <c r="H25" i="6"/>
  <c r="H41" i="6"/>
  <c r="H29" i="6"/>
  <c r="H33" i="6"/>
  <c r="H37" i="6"/>
  <c r="C117" i="1"/>
  <c r="C118" i="1"/>
  <c r="C119" i="1"/>
  <c r="C114" i="1" l="1"/>
  <c r="C115" i="1"/>
  <c r="C116" i="1"/>
  <c r="C3" i="1" l="1"/>
  <c r="C4" i="1"/>
  <c r="C111" i="1" l="1"/>
  <c r="C112" i="1"/>
  <c r="C113" i="1"/>
  <c r="X6" i="1"/>
  <c r="X15" i="1" s="1"/>
  <c r="W6" i="1"/>
  <c r="W15" i="1" s="1"/>
  <c r="F3" i="1"/>
  <c r="H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C108" i="1"/>
  <c r="C109" i="1"/>
  <c r="C110" i="1"/>
  <c r="C105" i="1" l="1"/>
  <c r="C106" i="1"/>
  <c r="C107" i="1"/>
  <c r="C102" i="1" l="1"/>
  <c r="C103" i="1"/>
  <c r="C104" i="1"/>
  <c r="C97" i="1" l="1"/>
  <c r="C98" i="1"/>
  <c r="C99" i="1"/>
  <c r="C100" i="1"/>
  <c r="C101" i="1"/>
  <c r="A97" i="1"/>
  <c r="U11" i="1" l="1"/>
  <c r="X11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W11" i="1" s="1"/>
  <c r="W8" i="1"/>
  <c r="X8" i="1"/>
  <c r="C96" i="1"/>
  <c r="C93" i="1" l="1"/>
  <c r="C94" i="1"/>
  <c r="C95" i="1"/>
  <c r="D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V11" i="1"/>
  <c r="M15" i="1"/>
  <c r="N15" i="1"/>
  <c r="P15" i="1"/>
  <c r="L15" i="1"/>
  <c r="M14" i="1"/>
  <c r="N14" i="1"/>
  <c r="P14" i="1"/>
  <c r="L14" i="1"/>
  <c r="L10" i="1"/>
  <c r="M10" i="1"/>
  <c r="N10" i="1"/>
  <c r="P10" i="1"/>
  <c r="T13" i="1"/>
  <c r="T9" i="1"/>
  <c r="T10" i="1"/>
  <c r="X25" i="1"/>
  <c r="T12" i="1"/>
  <c r="S18" i="1"/>
  <c r="N8" i="1"/>
  <c r="V25" i="1" s="1"/>
  <c r="M8" i="1"/>
  <c r="U25" i="1" s="1"/>
  <c r="L8" i="1"/>
  <c r="T25" i="1" s="1"/>
  <c r="S16" i="1"/>
  <c r="V6" i="1"/>
  <c r="V15" i="1" s="1"/>
  <c r="U6" i="1"/>
  <c r="U15" i="1" s="1"/>
  <c r="S17" i="1"/>
  <c r="U9" i="1" l="1"/>
  <c r="W9" i="1"/>
  <c r="X9" i="1"/>
  <c r="U10" i="1"/>
  <c r="X10" i="1"/>
  <c r="W10" i="1"/>
  <c r="V12" i="1"/>
  <c r="X12" i="1"/>
  <c r="W12" i="1"/>
  <c r="U13" i="1"/>
  <c r="U20" i="1" s="1"/>
  <c r="U21" i="1" s="1"/>
  <c r="W26" i="1" s="1"/>
  <c r="O9" i="1" s="1"/>
  <c r="W13" i="1"/>
  <c r="W20" i="1" s="1"/>
  <c r="W21" i="1" s="1"/>
  <c r="W31" i="1" s="1"/>
  <c r="O12" i="1" s="1"/>
  <c r="X13" i="1"/>
  <c r="X20" i="1" s="1"/>
  <c r="X21" i="1" s="1"/>
  <c r="W32" i="1" s="1"/>
  <c r="O13" i="1" s="1"/>
  <c r="V13" i="1"/>
  <c r="V20" i="1" s="1"/>
  <c r="V21" i="1" s="1"/>
  <c r="W30" i="1" s="1"/>
  <c r="O11" i="1" s="1"/>
  <c r="V8" i="1"/>
  <c r="U8" i="1"/>
  <c r="U12" i="1"/>
  <c r="L3" i="1"/>
  <c r="V10" i="1"/>
  <c r="V9" i="1"/>
  <c r="U22" i="1" l="1"/>
  <c r="U23" i="1" s="1"/>
  <c r="U18" i="1"/>
  <c r="U19" i="1" s="1"/>
  <c r="V26" i="1" s="1"/>
  <c r="N9" i="1" s="1"/>
  <c r="U16" i="1"/>
  <c r="T26" i="1" s="1"/>
  <c r="L9" i="1" s="1"/>
  <c r="W17" i="1"/>
  <c r="U31" i="1" s="1"/>
  <c r="M12" i="1" s="1"/>
  <c r="M17" i="1" s="1"/>
  <c r="W18" i="1"/>
  <c r="W19" i="1" s="1"/>
  <c r="V31" i="1" s="1"/>
  <c r="N12" i="1" s="1"/>
  <c r="N17" i="1" s="1"/>
  <c r="W22" i="1"/>
  <c r="W23" i="1" s="1"/>
  <c r="X31" i="1" s="1"/>
  <c r="P12" i="1" s="1"/>
  <c r="W16" i="1"/>
  <c r="T31" i="1" s="1"/>
  <c r="L12" i="1" s="1"/>
  <c r="L17" i="1" s="1"/>
  <c r="X17" i="1"/>
  <c r="U32" i="1" s="1"/>
  <c r="M13" i="1" s="1"/>
  <c r="M18" i="1" s="1"/>
  <c r="X22" i="1"/>
  <c r="X23" i="1" s="1"/>
  <c r="X32" i="1" s="1"/>
  <c r="P13" i="1" s="1"/>
  <c r="X18" i="1"/>
  <c r="X19" i="1" s="1"/>
  <c r="V32" i="1" s="1"/>
  <c r="N13" i="1" s="1"/>
  <c r="N18" i="1" s="1"/>
  <c r="X16" i="1"/>
  <c r="T32" i="1" s="1"/>
  <c r="L13" i="1" s="1"/>
  <c r="L18" i="1" s="1"/>
  <c r="U17" i="1"/>
  <c r="U26" i="1" s="1"/>
  <c r="M9" i="1" s="1"/>
  <c r="V22" i="1"/>
  <c r="V23" i="1" s="1"/>
  <c r="X30" i="1" s="1"/>
  <c r="V17" i="1"/>
  <c r="U30" i="1" s="1"/>
  <c r="M11" i="1" s="1"/>
  <c r="M16" i="1" s="1"/>
  <c r="V18" i="1"/>
  <c r="V19" i="1" s="1"/>
  <c r="V30" i="1" s="1"/>
  <c r="N11" i="1" s="1"/>
  <c r="N16" i="1" s="1"/>
  <c r="V16" i="1"/>
  <c r="T30" i="1" s="1"/>
  <c r="L11" i="1" s="1"/>
  <c r="L16" i="1" s="1"/>
  <c r="X26" i="1" l="1"/>
  <c r="P9" i="1" s="1"/>
</calcChain>
</file>

<file path=xl/sharedStrings.xml><?xml version="1.0" encoding="utf-8"?>
<sst xmlns="http://schemas.openxmlformats.org/spreadsheetml/2006/main" count="276" uniqueCount="194">
  <si>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</si>
  <si>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</si>
  <si>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</si>
  <si>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</si>
  <si>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</si>
  <si>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</si>
  <si>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</si>
  <si>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</si>
  <si>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Ann. Inception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</si>
  <si>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</si>
  <si>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</si>
  <si>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</si>
  <si>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</si>
  <si>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</si>
  <si>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</si>
  <si>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</si>
  <si>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1YR</t>
  </si>
  <si>
    <t>CUMULATIVE</t>
  </si>
  <si>
    <t>Cumm. Inception</t>
  </si>
  <si>
    <t>Median Market Capitalization:</t>
  </si>
  <si>
    <t>Average Market Capitalization: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</si>
  <si>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</si>
  <si>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</si>
  <si>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</si>
  <si>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</si>
  <si>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</si>
  <si>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</si>
  <si>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</si>
  <si>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</si>
  <si>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</si>
  <si>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</si>
  <si>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</si>
  <si>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</si>
  <si>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</si>
  <si>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</si>
  <si>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</si>
  <si>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</si>
  <si>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</si>
  <si>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</si>
  <si>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</si>
  <si>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</si>
  <si>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</si>
  <si>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Average:</t>
  </si>
  <si>
    <t>Median:</t>
  </si>
  <si>
    <t>Sector</t>
  </si>
  <si>
    <t>P/E</t>
  </si>
  <si>
    <t>Market Cap ($ millions)</t>
  </si>
  <si>
    <t>% Assets</t>
  </si>
  <si>
    <t>% Equity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</si>
  <si>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</si>
  <si>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</si>
  <si>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</si>
  <si>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</si>
  <si>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</si>
  <si>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</si>
  <si>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CGGAX</t>
  </si>
  <si>
    <t>5YR</t>
  </si>
  <si>
    <t>5y ann.</t>
  </si>
  <si>
    <t>Real Estate</t>
  </si>
  <si>
    <t>Cash</t>
  </si>
  <si>
    <t>REIT</t>
  </si>
  <si>
    <t>TOTAL - REIT</t>
  </si>
  <si>
    <t>Rank</t>
  </si>
  <si>
    <t>85571B105</t>
  </si>
  <si>
    <t>STWD</t>
  </si>
  <si>
    <t>Starwood Property Trust Inc</t>
  </si>
  <si>
    <t>CUT &amp; PASTE FACT SHEET</t>
  </si>
  <si>
    <t>MONEY MARKET FUNDS</t>
  </si>
  <si>
    <t>TOTAL - MONEY MARKET FUNDS</t>
  </si>
  <si>
    <t>12/31/2009</t>
  </si>
  <si>
    <t>04/30/2017</t>
  </si>
  <si>
    <t>05/31/2017</t>
  </si>
  <si>
    <t>06/30/2017</t>
  </si>
  <si>
    <t>YTD</t>
  </si>
  <si>
    <t>Communication Services</t>
  </si>
  <si>
    <t>#N/A N/A</t>
  </si>
  <si>
    <t>Barclays US Agg. TR</t>
  </si>
  <si>
    <t>FTSE Nareit All Mortgage Capped Index TR</t>
  </si>
  <si>
    <t>TFNMRC Index</t>
  </si>
  <si>
    <t>CGGIX SEC Yield</t>
  </si>
  <si>
    <t>S&amp;P 500 Index Dividend Yield</t>
  </si>
  <si>
    <t>Bloomberg Barclays US Agg TR Yield to Worst</t>
  </si>
  <si>
    <t>https://ycharts.com/indicators/sandp_500_dividend_yield_ttm</t>
  </si>
  <si>
    <t>Barclays Agg</t>
  </si>
  <si>
    <t>FTSE Nareit</t>
  </si>
  <si>
    <t xml:space="preserve">* CGGIX unsubsidized SEC yield: </t>
  </si>
  <si>
    <t>BB Comp From 11/24/10</t>
  </si>
  <si>
    <t>CATALYST GROWTH OF INCOME FUND (1858)</t>
  </si>
  <si>
    <t>CATALYST GROWTH OF INCOME FUND</t>
  </si>
  <si>
    <t>035710409</t>
  </si>
  <si>
    <t>NLY</t>
  </si>
  <si>
    <t>Annaly Capital Management Inc</t>
  </si>
  <si>
    <t>00123Q104</t>
  </si>
  <si>
    <t>AGNC</t>
  </si>
  <si>
    <t>AGNC Investment Corp</t>
  </si>
  <si>
    <t>64828T201</t>
  </si>
  <si>
    <t>NRZ</t>
  </si>
  <si>
    <t>New Residential Investment Corp</t>
  </si>
  <si>
    <t>09257W100</t>
  </si>
  <si>
    <t>BXMT</t>
  </si>
  <si>
    <t>Blackstone Mortgage Trust Inc</t>
  </si>
  <si>
    <t>16934Q208</t>
  </si>
  <si>
    <t>CIM</t>
  </si>
  <si>
    <t>Chimera Investment Corp</t>
  </si>
  <si>
    <t>90187B408</t>
  </si>
  <si>
    <t>TWO</t>
  </si>
  <si>
    <t>Two Harbors Investment Corp</t>
  </si>
  <si>
    <t>55272X102</t>
  </si>
  <si>
    <t>MFA</t>
  </si>
  <si>
    <t>MFA Financial Inc</t>
  </si>
  <si>
    <t>03762U105</t>
  </si>
  <si>
    <t>ARI</t>
  </si>
  <si>
    <t>Apollo Commercial Real Estate</t>
  </si>
  <si>
    <t>46131B100</t>
  </si>
  <si>
    <t>IVR</t>
  </si>
  <si>
    <t>Invesco Mortgage Capital Inc</t>
  </si>
  <si>
    <t>505743104</t>
  </si>
  <si>
    <t>LADR</t>
  </si>
  <si>
    <t>Ladder Capital Corp</t>
  </si>
  <si>
    <t>87266M107</t>
  </si>
  <si>
    <t>TRTX</t>
  </si>
  <si>
    <t>TPG RE Finance Trust Inc</t>
  </si>
  <si>
    <t>758075402</t>
  </si>
  <si>
    <t>RWT</t>
  </si>
  <si>
    <t>Redwood Trust Inc</t>
  </si>
  <si>
    <t>042315507</t>
  </si>
  <si>
    <t>ARR</t>
  </si>
  <si>
    <t>ARMOUR Residential REIT Inc</t>
  </si>
  <si>
    <t>38741L107</t>
  </si>
  <si>
    <t>GPMT</t>
  </si>
  <si>
    <t>Granite Point Mortgage Trust Inc</t>
  </si>
  <si>
    <t>649604501</t>
  </si>
  <si>
    <t>NYMT</t>
  </si>
  <si>
    <t>New York Mortgage Trust Inc</t>
  </si>
  <si>
    <t>48251K100</t>
  </si>
  <si>
    <t>KREF</t>
  </si>
  <si>
    <t>KKR Real Estate Finance Trust Inc</t>
  </si>
  <si>
    <t>70931T103</t>
  </si>
  <si>
    <t>PMT</t>
  </si>
  <si>
    <t>PennyMac Mortgage Investment Trust</t>
  </si>
  <si>
    <t>038923108</t>
  </si>
  <si>
    <t>ABR</t>
  </si>
  <si>
    <t>Arbor Realty Trust Inc</t>
  </si>
  <si>
    <t>04013V108</t>
  </si>
  <si>
    <t>ACRE</t>
  </si>
  <si>
    <t>Ares Commercial Real Estate Corp</t>
  </si>
  <si>
    <t>DX</t>
  </si>
  <si>
    <t>001228105</t>
  </si>
  <si>
    <t>MITT</t>
  </si>
  <si>
    <t>AG Mortgage Investment Trust Inc</t>
  </si>
  <si>
    <t>95790D105</t>
  </si>
  <si>
    <t>WMC</t>
  </si>
  <si>
    <t>Western Asset Mortgage Capital Corp</t>
  </si>
  <si>
    <t>164651101</t>
  </si>
  <si>
    <t>CHMI</t>
  </si>
  <si>
    <t>Cherry Hill Mortgage Investment Corp</t>
  </si>
  <si>
    <t>037347101</t>
  </si>
  <si>
    <t>ANH</t>
  </si>
  <si>
    <t>Anworth Mortgage Asset Corp</t>
  </si>
  <si>
    <t>14067E506</t>
  </si>
  <si>
    <t>CMO</t>
  </si>
  <si>
    <t>Capstead Mortgage Corp</t>
  </si>
  <si>
    <t>30068N105</t>
  </si>
  <si>
    <t>XAN</t>
  </si>
  <si>
    <t>Exantas Capital Corp</t>
  </si>
  <si>
    <t>476405105</t>
  </si>
  <si>
    <t>JCAP</t>
  </si>
  <si>
    <t>Jernigan Capital Inc</t>
  </si>
  <si>
    <t>68571X103</t>
  </si>
  <si>
    <t>ORC</t>
  </si>
  <si>
    <t>Orchid Island Capital Inc</t>
  </si>
  <si>
    <t>TOTAL - CATALYST GROWTH OF INCOME FUND</t>
  </si>
  <si>
    <t>31846V211</t>
  </si>
  <si>
    <t>FGUXX</t>
  </si>
  <si>
    <t>FIRST AMERICAN GOVERNMENT OBLIGATIONS FUNDS</t>
  </si>
  <si>
    <t>26817Q886</t>
  </si>
  <si>
    <t>DYNEX CAPITAL, INC.</t>
  </si>
  <si>
    <t>Gemini</t>
  </si>
  <si>
    <t>Bloomberg</t>
  </si>
  <si>
    <t>10YR</t>
  </si>
  <si>
    <t>10y ann.</t>
  </si>
  <si>
    <t>n/a</t>
  </si>
  <si>
    <t>As of Date: 12/31/2019</t>
  </si>
  <si>
    <t>$1.8B</t>
  </si>
  <si>
    <t>$2.7B</t>
  </si>
  <si>
    <t>Label</t>
  </si>
  <si>
    <t>Data</t>
  </si>
  <si>
    <t>ID</t>
  </si>
  <si>
    <t>Value</t>
  </si>
  <si>
    <t>FTSE Nareit All Mortgage</t>
  </si>
  <si>
    <t>Long Equity Holdings:</t>
  </si>
  <si>
    <t>Median P/E Ratio:</t>
  </si>
  <si>
    <t>S&amp;P 500 TR Index</t>
  </si>
  <si>
    <t>Barclays US Agg.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</si>
</sst>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[$-10409]#,##0.00;\(#,##0.00\);0.00"/>
    <numFmt numFmtId="169" formatCode="[$-10409]#,##0.000;\-#,##0.000"/>
    <numFmt numFmtId="170" formatCode="&quot;$&quot;#,##0.0"/>
    <numFmt numFmtId="171" formatCode="0.0000%"/>
    <numFmt numFmtId="172" formatCode="[$-10409]#,##0.000;\(#,##0.000\);0.000"/>
    <numFmt numFmtId="173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>
      <alignment wrapText="1"/>
    </xf>
    <xf numFmtId="0" fontId="35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0" fontId="0" fillId="0" borderId="0" xfId="7" applyNumberFormat="1" applyFont="1">
      <alignment wrapText="1"/>
    </xf>
    <xf numFmtId="10" fontId="0" fillId="3" borderId="0" xfId="7" applyNumberFormat="1" applyFont="1" applyFill="1">
      <alignment wrapText="1"/>
    </xf>
    <xf numFmtId="0" fontId="5" fillId="0" borderId="1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" fontId="10" fillId="0" borderId="9" xfId="0" applyNumberFormat="1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70" fontId="10" fillId="0" borderId="9" xfId="0" applyNumberFormat="1" applyFont="1" applyBorder="1" applyAlignment="1">
      <alignment horizontal="center" vertical="center"/>
    </xf>
    <xf numFmtId="170" fontId="10" fillId="0" borderId="9" xfId="3" applyNumberFormat="1" applyFont="1" applyBorder="1" applyAlignment="1">
      <alignment horizontal="center" vertical="center"/>
    </xf>
    <xf numFmtId="171" fontId="0" fillId="0" borderId="0" xfId="7" applyNumberFormat="1" applyFont="1">
      <alignment wrapText="1"/>
    </xf>
    <xf numFmtId="0" fontId="8" fillId="0" borderId="0" xfId="0" applyFont="1" applyAlignment="1" applyProtection="1">
      <alignment horizontal="center" vertical="top" readingOrder="1"/>
      <protection locked="0"/>
    </xf>
    <xf numFmtId="0" fontId="7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8" fillId="0" borderId="15" xfId="0" applyFont="1" applyBorder="1" applyAlignment="1" applyProtection="1">
      <alignment horizontal="center" readingOrder="1"/>
      <protection locked="0"/>
    </xf>
    <xf numFmtId="0" fontId="8" fillId="0" borderId="0" xfId="0" applyFont="1" applyAlignment="1" applyProtection="1">
      <alignment horizontal="center" readingOrder="1"/>
      <protection locked="0"/>
    </xf>
    <xf numFmtId="0" fontId="8" fillId="0" borderId="29" xfId="0" applyFont="1" applyBorder="1" applyAlignment="1">
      <alignment horizontal="center" wrapText="1"/>
    </xf>
    <xf numFmtId="0" fontId="8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 readingOrder="1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72" fontId="9" fillId="0" borderId="0" xfId="0" applyNumberFormat="1" applyFont="1" applyAlignment="1" applyProtection="1">
      <alignment horizontal="right" vertical="top" readingOrder="1"/>
      <protection locked="0"/>
    </xf>
    <xf numFmtId="169" fontId="9" fillId="0" borderId="0" xfId="0" applyNumberFormat="1" applyFont="1" applyAlignment="1" applyProtection="1">
      <alignment horizontal="right" vertical="top" readingOrder="1"/>
      <protection locked="0"/>
    </xf>
    <xf numFmtId="168" fontId="9" fillId="0" borderId="0" xfId="0" applyNumberFormat="1" applyFont="1" applyAlignment="1" applyProtection="1">
      <alignment horizontal="right" vertical="top" readingOrder="1"/>
      <protection locked="0"/>
    </xf>
    <xf numFmtId="0" fontId="8" fillId="8" borderId="0" xfId="0" applyFont="1" applyFill="1" applyAlignment="1" applyProtection="1">
      <alignment vertical="top" readingOrder="1"/>
      <protection locked="0"/>
    </xf>
    <xf numFmtId="172" fontId="9" fillId="8" borderId="16" xfId="0" applyNumberFormat="1" applyFont="1" applyFill="1" applyBorder="1" applyAlignment="1" applyProtection="1">
      <alignment vertical="top" readingOrder="1"/>
      <protection locked="0"/>
    </xf>
    <xf numFmtId="0" fontId="9" fillId="8" borderId="0" xfId="0" applyFont="1" applyFill="1" applyAlignment="1" applyProtection="1">
      <alignment vertical="top" readingOrder="1"/>
      <protection locked="0"/>
    </xf>
    <xf numFmtId="168" fontId="9" fillId="8" borderId="16" xfId="0" applyNumberFormat="1" applyFont="1" applyFill="1" applyBorder="1" applyAlignment="1" applyProtection="1">
      <alignment vertical="top" readingOrder="1"/>
      <protection locked="0"/>
    </xf>
    <xf numFmtId="0" fontId="9" fillId="3" borderId="0" xfId="0" applyFont="1" applyFill="1" applyAlignment="1" applyProtection="1">
      <alignment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7" fillId="0" borderId="0" xfId="0" applyFont="1" applyAlignment="1">
      <alignment wrapText="1"/>
    </xf>
    <xf numFmtId="172" fontId="9" fillId="8" borderId="0" xfId="0" applyNumberFormat="1" applyFont="1" applyFill="1" applyAlignment="1" applyProtection="1">
      <alignment vertical="top" readingOrder="1"/>
      <protection locked="0"/>
    </xf>
    <xf numFmtId="168" fontId="9" fillId="8" borderId="0" xfId="0" applyNumberFormat="1" applyFont="1" applyFill="1" applyAlignment="1" applyProtection="1">
      <alignment vertical="top" readingOrder="1"/>
      <protection locked="0"/>
    </xf>
    <xf numFmtId="0" fontId="8" fillId="0" borderId="0" xfId="0" applyFont="1" applyAlignment="1" applyProtection="1">
      <alignment vertical="top" readingOrder="1"/>
      <protection locked="0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3" borderId="0" xfId="0" applyFill="1"/>
    <xf numFmtId="0" fontId="5" fillId="0" borderId="18" xfId="0" applyFont="1" applyBorder="1" applyAlignment="1">
      <alignment vertical="center"/>
    </xf>
    <xf numFmtId="0" fontId="5" fillId="6" borderId="0" xfId="0" applyFont="1" applyFill="1" applyAlignment="1">
      <alignment vertical="center"/>
    </xf>
    <xf numFmtId="10" fontId="6" fillId="6" borderId="0" xfId="2" applyNumberFormat="1" applyFont="1" applyFill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2" fontId="10" fillId="0" borderId="9" xfId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67" fontId="13" fillId="0" borderId="10" xfId="1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43" fontId="13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9" xfId="0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0" fontId="15" fillId="0" borderId="0" xfId="2" applyNumberFormat="1" applyFont="1" applyAlignment="1">
      <alignment horizontal="center" vertical="center"/>
    </xf>
    <xf numFmtId="43" fontId="15" fillId="0" borderId="0" xfId="1" applyFont="1" applyAlignment="1">
      <alignment vertical="center"/>
    </xf>
    <xf numFmtId="0" fontId="16" fillId="0" borderId="9" xfId="0" applyFont="1" applyBorder="1" applyAlignment="1">
      <alignment horizontal="right" vertical="center"/>
    </xf>
    <xf numFmtId="171" fontId="15" fillId="3" borderId="1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horizontal="center" vertical="center" wrapText="1" readingOrder="1"/>
      <protection locked="0"/>
    </xf>
    <xf numFmtId="4" fontId="15" fillId="0" borderId="0" xfId="1" applyNumberFormat="1" applyFont="1" applyAlignment="1">
      <alignment vertical="center"/>
    </xf>
    <xf numFmtId="0" fontId="15" fillId="0" borderId="9" xfId="0" applyFont="1" applyBorder="1" applyAlignment="1">
      <alignment vertical="center"/>
    </xf>
    <xf numFmtId="2" fontId="15" fillId="0" borderId="9" xfId="0" applyNumberFormat="1" applyFont="1" applyBorder="1" applyAlignment="1">
      <alignment horizontal="center" vertical="center"/>
    </xf>
    <xf numFmtId="43" fontId="22" fillId="0" borderId="9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65" fontId="15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7" fillId="0" borderId="23" xfId="0" applyFont="1" applyBorder="1" applyAlignment="1">
      <alignment horizontal="left" vertical="center" readingOrder="1"/>
    </xf>
    <xf numFmtId="0" fontId="27" fillId="0" borderId="9" xfId="0" applyFont="1" applyBorder="1" applyAlignment="1">
      <alignment horizontal="center" vertical="center" readingOrder="1"/>
    </xf>
    <xf numFmtId="0" fontId="27" fillId="0" borderId="24" xfId="0" applyFont="1" applyBorder="1" applyAlignment="1">
      <alignment horizontal="center" vertical="center" readingOrder="1"/>
    </xf>
    <xf numFmtId="0" fontId="15" fillId="0" borderId="6" xfId="0" applyFont="1" applyBorder="1" applyAlignment="1">
      <alignment vertical="center"/>
    </xf>
    <xf numFmtId="14" fontId="26" fillId="0" borderId="7" xfId="0" applyNumberFormat="1" applyFont="1" applyBorder="1" applyAlignment="1">
      <alignment vertical="center"/>
    </xf>
    <xf numFmtId="165" fontId="15" fillId="0" borderId="7" xfId="1" applyNumberFormat="1" applyFont="1" applyBorder="1" applyAlignment="1">
      <alignment horizontal="center" vertical="center"/>
    </xf>
    <xf numFmtId="165" fontId="15" fillId="0" borderId="8" xfId="1" applyNumberFormat="1" applyFont="1" applyBorder="1" applyAlignment="1">
      <alignment horizontal="center" vertical="center"/>
    </xf>
    <xf numFmtId="0" fontId="28" fillId="5" borderId="23" xfId="0" applyFont="1" applyFill="1" applyBorder="1" applyAlignment="1">
      <alignment horizontal="left" vertical="center" readingOrder="1"/>
    </xf>
    <xf numFmtId="2" fontId="29" fillId="0" borderId="9" xfId="0" applyNumberFormat="1" applyFont="1" applyBorder="1" applyAlignment="1">
      <alignment horizontal="center" vertical="center" readingOrder="1"/>
    </xf>
    <xf numFmtId="2" fontId="29" fillId="0" borderId="24" xfId="0" applyNumberFormat="1" applyFont="1" applyBorder="1" applyAlignment="1">
      <alignment horizontal="center" vertical="center" readingOrder="1"/>
    </xf>
    <xf numFmtId="43" fontId="31" fillId="0" borderId="21" xfId="0" applyNumberFormat="1" applyFont="1" applyBorder="1" applyAlignment="1">
      <alignment horizontal="center" vertical="center"/>
    </xf>
    <xf numFmtId="43" fontId="31" fillId="0" borderId="22" xfId="0" applyNumberFormat="1" applyFont="1" applyBorder="1" applyAlignment="1">
      <alignment horizontal="center" vertical="center"/>
    </xf>
    <xf numFmtId="0" fontId="32" fillId="5" borderId="23" xfId="0" applyFont="1" applyFill="1" applyBorder="1" applyAlignment="1">
      <alignment horizontal="left" vertical="center" readingOrder="1"/>
    </xf>
    <xf numFmtId="2" fontId="33" fillId="0" borderId="9" xfId="0" applyNumberFormat="1" applyFont="1" applyBorder="1" applyAlignment="1">
      <alignment horizontal="center" vertical="center" readingOrder="1"/>
    </xf>
    <xf numFmtId="10" fontId="15" fillId="0" borderId="9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0" fontId="15" fillId="0" borderId="27" xfId="2" applyNumberFormat="1" applyFont="1" applyBorder="1" applyAlignment="1">
      <alignment horizontal="center" vertical="center"/>
    </xf>
    <xf numFmtId="10" fontId="15" fillId="0" borderId="28" xfId="2" applyNumberFormat="1" applyFont="1" applyBorder="1" applyAlignment="1">
      <alignment horizontal="center" vertical="center"/>
    </xf>
    <xf numFmtId="0" fontId="25" fillId="7" borderId="9" xfId="0" applyFont="1" applyFill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readingOrder="1"/>
    </xf>
    <xf numFmtId="0" fontId="28" fillId="5" borderId="9" xfId="0" applyFont="1" applyFill="1" applyBorder="1" applyAlignment="1">
      <alignment horizontal="left" vertical="center" readingOrder="1"/>
    </xf>
    <xf numFmtId="10" fontId="34" fillId="0" borderId="9" xfId="0" applyNumberFormat="1" applyFont="1" applyBorder="1" applyAlignment="1">
      <alignment horizontal="center" vertical="center"/>
    </xf>
    <xf numFmtId="0" fontId="32" fillId="5" borderId="9" xfId="0" applyFont="1" applyFill="1" applyBorder="1" applyAlignment="1">
      <alignment horizontal="left" vertical="center" readingOrder="1"/>
    </xf>
    <xf numFmtId="10" fontId="15" fillId="0" borderId="0" xfId="2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center" vertical="center"/>
    </xf>
    <xf numFmtId="10" fontId="15" fillId="4" borderId="0" xfId="2" applyNumberFormat="1" applyFont="1" applyFill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14" fontId="21" fillId="0" borderId="0" xfId="0" applyNumberFormat="1" applyFont="1" applyAlignment="1" applyProtection="1">
      <alignment horizontal="center" vertical="center" wrapText="1" readingOrder="1"/>
      <protection locked="0"/>
    </xf>
    <xf numFmtId="167" fontId="15" fillId="0" borderId="12" xfId="1" applyNumberFormat="1" applyFont="1" applyBorder="1" applyAlignment="1">
      <alignment vertical="center"/>
    </xf>
    <xf numFmtId="43" fontId="15" fillId="0" borderId="0" xfId="1" applyFont="1" applyAlignment="1">
      <alignment horizontal="center" vertical="center"/>
    </xf>
    <xf numFmtId="2" fontId="33" fillId="4" borderId="24" xfId="0" applyNumberFormat="1" applyFont="1" applyFill="1" applyBorder="1" applyAlignment="1">
      <alignment horizontal="center" vertical="center" readingOrder="1"/>
    </xf>
    <xf numFmtId="0" fontId="34" fillId="4" borderId="9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0" fillId="0" borderId="0" xfId="2" applyNumberFormat="1" applyFont="1" applyAlignment="1">
      <alignment horizontal="center" vertical="center"/>
    </xf>
    <xf numFmtId="2" fontId="33" fillId="0" borderId="24" xfId="0" applyNumberFormat="1" applyFont="1" applyBorder="1" applyAlignment="1">
      <alignment horizontal="center" vertical="center" readingOrder="1"/>
    </xf>
    <xf numFmtId="14" fontId="0" fillId="3" borderId="9" xfId="0" applyNumberFormat="1" applyFill="1" applyBorder="1" applyAlignment="1">
      <alignment horizontal="center" vertical="center"/>
    </xf>
    <xf numFmtId="165" fontId="32" fillId="5" borderId="9" xfId="0" applyNumberFormat="1" applyFont="1" applyFill="1" applyBorder="1" applyAlignment="1">
      <alignment horizontal="left" vertical="center" readingOrder="1"/>
    </xf>
    <xf numFmtId="165" fontId="32" fillId="5" borderId="23" xfId="0" applyNumberFormat="1" applyFont="1" applyFill="1" applyBorder="1" applyAlignment="1">
      <alignment horizontal="left" vertical="center" readingOrder="1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0" xfId="8" applyAlignment="1">
      <alignment horizontal="left" vertical="center"/>
    </xf>
    <xf numFmtId="10" fontId="15" fillId="0" borderId="9" xfId="0" applyNumberFormat="1" applyFont="1" applyBorder="1" applyAlignment="1">
      <alignment vertical="center"/>
    </xf>
    <xf numFmtId="165" fontId="15" fillId="0" borderId="11" xfId="1" applyNumberFormat="1" applyFont="1" applyBorder="1" applyAlignment="1">
      <alignment horizontal="center" vertical="center"/>
    </xf>
    <xf numFmtId="165" fontId="15" fillId="0" borderId="31" xfId="1" applyNumberFormat="1" applyFont="1" applyBorder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4" fontId="26" fillId="3" borderId="0" xfId="0" applyNumberFormat="1" applyFont="1" applyFill="1" applyAlignment="1">
      <alignment vertical="center"/>
    </xf>
    <xf numFmtId="14" fontId="26" fillId="0" borderId="0" xfId="0" applyNumberFormat="1" applyFont="1" applyAlignment="1">
      <alignment vertical="center"/>
    </xf>
    <xf numFmtId="43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0" fillId="3" borderId="0" xfId="0" applyFill="1" applyAlignment="1">
      <alignment vertical="center"/>
    </xf>
    <xf numFmtId="10" fontId="15" fillId="3" borderId="0" xfId="0" applyNumberFormat="1" applyFont="1" applyFill="1" applyAlignment="1">
      <alignment vertical="center"/>
    </xf>
    <xf numFmtId="2" fontId="29" fillId="0" borderId="24" xfId="0" applyNumberFormat="1" applyFont="1" applyFill="1" applyBorder="1" applyAlignment="1">
      <alignment horizontal="center" vertical="center" readingOrder="1"/>
    </xf>
    <xf numFmtId="3" fontId="15" fillId="0" borderId="12" xfId="1" applyNumberFormat="1" applyFont="1" applyBorder="1" applyAlignment="1">
      <alignment vertical="center"/>
    </xf>
    <xf numFmtId="3" fontId="15" fillId="4" borderId="12" xfId="1" applyNumberFormat="1" applyFont="1" applyFill="1" applyBorder="1" applyAlignment="1">
      <alignment vertical="center"/>
    </xf>
    <xf numFmtId="0" fontId="27" fillId="0" borderId="32" xfId="0" applyFont="1" applyBorder="1" applyAlignment="1">
      <alignment horizontal="center" vertical="center" readingOrder="1"/>
    </xf>
    <xf numFmtId="2" fontId="29" fillId="0" borderId="32" xfId="0" applyNumberFormat="1" applyFont="1" applyBorder="1" applyAlignment="1">
      <alignment horizontal="center" vertical="center" readingOrder="1"/>
    </xf>
    <xf numFmtId="0" fontId="0" fillId="0" borderId="2" xfId="0" applyFont="1" applyBorder="1" applyAlignment="1">
      <alignment vertical="center"/>
    </xf>
    <xf numFmtId="10" fontId="34" fillId="4" borderId="9" xfId="0" applyNumberFormat="1" applyFont="1" applyFill="1" applyBorder="1" applyAlignment="1">
      <alignment horizontal="center" vertical="center"/>
    </xf>
    <xf numFmtId="10" fontId="0" fillId="0" borderId="0" xfId="7" applyNumberFormat="1" applyFont="1" applyFill="1">
      <alignment wrapText="1"/>
    </xf>
    <xf numFmtId="2" fontId="0" fillId="0" borderId="0" xfId="0" applyNumberFormat="1"/>
    <xf numFmtId="173" fontId="0" fillId="0" borderId="0" xfId="0" applyNumberFormat="1"/>
    <xf numFmtId="0" fontId="11" fillId="2" borderId="9" xfId="0" applyFont="1" applyFill="1" applyBorder="1" applyAlignment="1">
      <alignment vertical="center"/>
    </xf>
    <xf numFmtId="166" fontId="10" fillId="2" borderId="24" xfId="2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10" fontId="6" fillId="10" borderId="5" xfId="2" applyNumberFormat="1" applyFont="1" applyFill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/>
    </xf>
    <xf numFmtId="165" fontId="24" fillId="0" borderId="13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165" fontId="24" fillId="0" borderId="19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43" fontId="13" fillId="0" borderId="3" xfId="0" applyNumberFormat="1" applyFont="1" applyBorder="1" applyAlignment="1">
      <alignment horizontal="center" vertical="center" wrapText="1"/>
    </xf>
    <xf numFmtId="43" fontId="13" fillId="0" borderId="13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5" fillId="6" borderId="25" xfId="0" applyFont="1" applyFill="1" applyBorder="1" applyAlignment="1">
      <alignment horizontal="left" vertical="center"/>
    </xf>
    <xf numFmtId="0" fontId="5" fillId="6" borderId="30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</cellXfs>
  <cellStyles count="9">
    <cellStyle name="Comma" xfId="1" builtinId="3"/>
    <cellStyle name="Currency" xfId="3" builtinId="4"/>
    <cellStyle name="Hyperlink" xfId="8" builtinId="8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'CGG Fact Sheet Backup'!$K$22:$K$24</c:f>
              <c:strCache>
                <c:ptCount val="3"/>
                <c:pt idx="0">
                  <c:v>CGGIX SEC Yield</c:v>
                </c:pt>
                <c:pt idx="1">
                  <c:v>S&amp;P 500 Index Dividend Yield</c:v>
                </c:pt>
                <c:pt idx="2">
                  <c:v>Bloomberg Barclays US Agg TR Yield to Worst</c:v>
                </c:pt>
              </c:strCache>
            </c:strRef>
          </c:cat>
          <c:val>
            <c:numRef>
              <c:f>'CGG Fact Sheet Backup'!$L$22:$L$24</c:f>
              <c:numCache>
                <c:formatCode>0.00%</c:formatCode>
                <c:ptCount val="3"/>
                <c:pt idx="0">
                  <c:v>5.8000000000000003E-2</c:v>
                </c:pt>
                <c:pt idx="1">
                  <c:v>1.7999999999999999E-2</c:v>
                </c:pt>
                <c:pt idx="2">
                  <c:v>2.310245E-2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F-4653-9575-873B525F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451256"/>
        <c:axId val="1851450928"/>
      </c:barChart>
      <c:catAx>
        <c:axId val="18514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51450928"/>
        <c:crosses val="autoZero"/>
        <c:auto val="1"/>
        <c:lblAlgn val="ctr"/>
        <c:lblOffset val="100"/>
        <c:noMultiLvlLbl val="0"/>
      </c:catAx>
      <c:valAx>
        <c:axId val="1851450928"/>
        <c:scaling>
          <c:orientation val="minMax"/>
          <c:max val="8.0000000000000016E-2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514512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2066144</xdr:colOff>
      <xdr:row>26</xdr:row>
      <xdr:rowOff>142441</xdr:rowOff>
    </xdr:from>
    <xdr:to>
      <xdr:col>15</xdr:col>
      <xdr:colOff>126815</xdr:colOff>
      <xdr:row>38</xdr:row>
      <xdr:rowOff>134247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0E487-A50A-4958-8FF2-5FAF788C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charts.com/indicators/sandp_500_dividend_yield_t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23"/>
  <sheetViews>
    <sheetView tabSelected="1" topLeftCell="I1" zoomScale="115" zoomScaleNormal="115" workbookViewId="0">
      <pane ySplit="1" topLeftCell="A2" activePane="bottomLeft" state="frozen"/>
      <selection pane="bottomLeft" activeCell="K17" sqref="K17"/>
    </sheetView>
  </sheetViews>
  <sheetFormatPr defaultColWidth="9.140625" defaultRowHeight="15" outlineLevelRow="1" x14ac:dyDescent="0.25"/>
  <cols>
    <col min="1" max="1" width="10.28515625" style="65" bestFit="1" customWidth="1"/>
    <col min="2" max="2" width="10.7109375" style="117" bestFit="1" customWidth="1"/>
    <col min="3" max="3" width="8.140625" style="64" bestFit="1" customWidth="1"/>
    <col min="4" max="4" width="10.7109375" style="118" bestFit="1" customWidth="1"/>
    <col min="5" max="5" width="8.140625" style="64" bestFit="1" customWidth="1"/>
    <col min="6" max="6" width="10.7109375" style="118" bestFit="1" customWidth="1"/>
    <col min="7" max="7" width="8.140625" style="64" bestFit="1" customWidth="1"/>
    <col min="8" max="8" width="10.7109375" style="118" bestFit="1" customWidth="1"/>
    <col min="9" max="9" width="8.140625" style="64" bestFit="1" customWidth="1"/>
    <col min="10" max="10" width="9.140625" style="62"/>
    <col min="11" max="11" width="37.7109375" style="62" bestFit="1" customWidth="1"/>
    <col min="12" max="12" width="11.7109375" style="62" customWidth="1"/>
    <col min="13" max="13" width="11.7109375" style="64" customWidth="1"/>
    <col min="14" max="14" width="13.7109375" style="64" bestFit="1" customWidth="1"/>
    <col min="15" max="15" width="13.7109375" style="64" customWidth="1"/>
    <col min="16" max="16" width="13" style="64" bestFit="1" customWidth="1"/>
    <col min="17" max="17" width="7.140625" style="62" bestFit="1" customWidth="1"/>
    <col min="18" max="18" width="4.28515625" style="62" customWidth="1"/>
    <col min="19" max="19" width="29.7109375" style="62" customWidth="1"/>
    <col min="20" max="20" width="9.28515625" style="62" bestFit="1" customWidth="1"/>
    <col min="21" max="22" width="8.85546875" style="62" bestFit="1" customWidth="1"/>
    <col min="23" max="23" width="13" style="62" bestFit="1" customWidth="1"/>
    <col min="24" max="16384" width="9.140625" style="62"/>
  </cols>
  <sheetData>
    <row r="1" spans="1:24" ht="32.25" customHeight="1" x14ac:dyDescent="0.25">
      <c r="A1" s="57" t="s">
        <v>0</v>
      </c>
      <c r="B1" s="58" t="s">
        <v>55</v>
      </c>
      <c r="C1" s="59" t="s">
        <v>1</v>
      </c>
      <c r="D1" s="60" t="s">
        <v>5</v>
      </c>
      <c r="E1" s="61" t="s">
        <v>1</v>
      </c>
      <c r="F1" s="60" t="s">
        <v>83</v>
      </c>
      <c r="G1" s="61" t="s">
        <v>1</v>
      </c>
      <c r="H1" s="60" t="s">
        <v>84</v>
      </c>
      <c r="I1" s="61" t="s">
        <v>1</v>
      </c>
      <c r="J1" s="128" t="s">
        <v>78</v>
      </c>
      <c r="K1" s="63" t="s">
        <v>2</v>
      </c>
      <c r="L1" s="124">
        <v>43830</v>
      </c>
      <c r="S1" s="158" t="s">
        <v>37</v>
      </c>
      <c r="T1" s="159"/>
      <c r="U1" s="160"/>
    </row>
    <row r="2" spans="1:24" x14ac:dyDescent="0.25">
      <c r="A2" s="65">
        <v>40177</v>
      </c>
      <c r="B2" s="141">
        <v>10000</v>
      </c>
      <c r="C2" s="66"/>
      <c r="D2" s="67">
        <v>10000</v>
      </c>
      <c r="E2" s="66"/>
      <c r="F2" s="67">
        <v>10000</v>
      </c>
      <c r="G2" s="66"/>
      <c r="H2" s="67">
        <v>10000</v>
      </c>
      <c r="I2" s="66"/>
      <c r="K2" s="68" t="s">
        <v>3</v>
      </c>
      <c r="L2" s="69">
        <v>1.5487000000000001E-2</v>
      </c>
      <c r="M2" s="172"/>
      <c r="N2" s="173"/>
      <c r="O2" s="173"/>
      <c r="P2" s="173"/>
      <c r="Q2" s="70"/>
      <c r="S2" s="161" t="s">
        <v>38</v>
      </c>
      <c r="T2" s="162"/>
      <c r="U2" s="163"/>
    </row>
    <row r="3" spans="1:24" x14ac:dyDescent="0.25">
      <c r="A3" s="71" t="s">
        <v>69</v>
      </c>
      <c r="B3" s="141">
        <v>9882</v>
      </c>
      <c r="C3" s="66">
        <f>B3/B2-1</f>
        <v>-1.1800000000000033E-2</v>
      </c>
      <c r="D3" s="72">
        <f>D2*(1+E3)</f>
        <v>9899.57</v>
      </c>
      <c r="E3" s="66">
        <v>-1.0043000000000024E-2</v>
      </c>
      <c r="F3" s="72">
        <f>F2*(1+G3)</f>
        <v>9983</v>
      </c>
      <c r="G3" s="66">
        <v>-1.6999999999999999E-3</v>
      </c>
      <c r="H3" s="72">
        <f>H2*(1+I3)</f>
        <v>9922</v>
      </c>
      <c r="I3" s="66">
        <v>-7.7999999999999996E-3</v>
      </c>
      <c r="K3" s="73" t="s">
        <v>4</v>
      </c>
      <c r="L3" s="74">
        <f>(COUNTA(C4:C1200))+M3</f>
        <v>120</v>
      </c>
      <c r="M3" s="75">
        <v>0</v>
      </c>
      <c r="N3" s="76" t="s">
        <v>36</v>
      </c>
      <c r="O3" s="76"/>
      <c r="S3" s="164" t="s">
        <v>39</v>
      </c>
      <c r="T3" s="165"/>
      <c r="U3" s="166"/>
    </row>
    <row r="4" spans="1:24" ht="15.75" thickBot="1" x14ac:dyDescent="0.3">
      <c r="A4" s="65">
        <v>40209</v>
      </c>
      <c r="B4" s="141">
        <v>9577</v>
      </c>
      <c r="C4" s="66">
        <f>B4/B3-1</f>
        <v>-3.0864197530864224E-2</v>
      </c>
      <c r="D4" s="72">
        <f t="shared" ref="D4:D67" si="0">D3*(1+E4)</f>
        <v>9543.4548560544226</v>
      </c>
      <c r="E4" s="66">
        <v>-3.5972789115646164E-2</v>
      </c>
      <c r="F4" s="72">
        <f t="shared" ref="F4:F67" si="1">F3*(1+G4)</f>
        <v>10135.498792474387</v>
      </c>
      <c r="G4" s="66">
        <v>1.5275848189360675E-2</v>
      </c>
      <c r="H4" s="72">
        <f t="shared" ref="H4:H67" si="2">H3*(1+I4)</f>
        <v>9856.9949269635708</v>
      </c>
      <c r="I4" s="66">
        <v>-6.551609860555252E-3</v>
      </c>
      <c r="S4" s="167" t="s">
        <v>40</v>
      </c>
      <c r="T4" s="168"/>
      <c r="U4" s="169"/>
    </row>
    <row r="5" spans="1:24" ht="15.75" thickBot="1" x14ac:dyDescent="0.3">
      <c r="A5" s="65">
        <v>40237</v>
      </c>
      <c r="B5" s="141">
        <v>9822</v>
      </c>
      <c r="C5" s="66">
        <f t="shared" ref="C5:C68" si="3">B5/B4-1</f>
        <v>2.5582123838362669E-2</v>
      </c>
      <c r="D5" s="72">
        <f t="shared" si="0"/>
        <v>9839.0681381768718</v>
      </c>
      <c r="E5" s="66">
        <v>3.0975499604832368E-2</v>
      </c>
      <c r="F5" s="72">
        <f t="shared" si="1"/>
        <v>10173.34804653518</v>
      </c>
      <c r="G5" s="66">
        <v>3.734325743188549E-3</v>
      </c>
      <c r="H5" s="72">
        <f t="shared" si="2"/>
        <v>10113.136836022808</v>
      </c>
      <c r="I5" s="66">
        <v>2.5985801043537871E-2</v>
      </c>
    </row>
    <row r="6" spans="1:24" x14ac:dyDescent="0.25">
      <c r="A6" s="65">
        <v>40268</v>
      </c>
      <c r="B6" s="141">
        <v>10242</v>
      </c>
      <c r="C6" s="66">
        <f t="shared" si="3"/>
        <v>4.2761148442272523E-2</v>
      </c>
      <c r="D6" s="72">
        <f t="shared" si="0"/>
        <v>10432.826837333334</v>
      </c>
      <c r="E6" s="66">
        <v>6.034704616513431E-2</v>
      </c>
      <c r="F6" s="72">
        <f t="shared" si="1"/>
        <v>10160.839645792486</v>
      </c>
      <c r="G6" s="66">
        <v>-1.2295264730428634E-3</v>
      </c>
      <c r="H6" s="72">
        <f t="shared" si="2"/>
        <v>10407.893950595255</v>
      </c>
      <c r="I6" s="66">
        <v>2.9145963250742035E-2</v>
      </c>
      <c r="K6" s="182" t="s">
        <v>66</v>
      </c>
      <c r="L6" s="183"/>
      <c r="M6" s="183"/>
      <c r="N6" s="183"/>
      <c r="O6" s="183"/>
      <c r="P6" s="184"/>
      <c r="S6" s="77"/>
      <c r="T6" s="78"/>
      <c r="U6" s="170" t="str">
        <f>B1</f>
        <v>CGGAX</v>
      </c>
      <c r="V6" s="154" t="str">
        <f>D1</f>
        <v>SP500TR</v>
      </c>
      <c r="W6" s="154" t="str">
        <f>F1</f>
        <v>Barclays Agg</v>
      </c>
      <c r="X6" s="156" t="str">
        <f>H1</f>
        <v>FTSE Nareit</v>
      </c>
    </row>
    <row r="7" spans="1:24" x14ac:dyDescent="0.25">
      <c r="A7" s="65">
        <v>40298</v>
      </c>
      <c r="B7" s="141">
        <v>10319</v>
      </c>
      <c r="C7" s="66">
        <f t="shared" si="3"/>
        <v>7.5180628783440007E-3</v>
      </c>
      <c r="D7" s="72">
        <f t="shared" si="0"/>
        <v>10597.523357006803</v>
      </c>
      <c r="E7" s="66">
        <v>1.5786375278856513E-2</v>
      </c>
      <c r="F7" s="72">
        <f t="shared" si="1"/>
        <v>10266.610163989766</v>
      </c>
      <c r="G7" s="66">
        <v>1.0409623799257472E-2</v>
      </c>
      <c r="H7" s="72">
        <f t="shared" si="2"/>
        <v>10585.37213313959</v>
      </c>
      <c r="I7" s="66">
        <v>1.7052266614821177E-2</v>
      </c>
      <c r="K7" s="81"/>
      <c r="P7" s="83"/>
      <c r="S7" s="79"/>
      <c r="T7" s="80"/>
      <c r="U7" s="171"/>
      <c r="V7" s="155"/>
      <c r="W7" s="155"/>
      <c r="X7" s="157"/>
    </row>
    <row r="8" spans="1:24" x14ac:dyDescent="0.25">
      <c r="A8" s="65">
        <v>40329</v>
      </c>
      <c r="B8" s="141">
        <v>9602</v>
      </c>
      <c r="C8" s="66">
        <f t="shared" si="3"/>
        <v>-6.9483477081112466E-2</v>
      </c>
      <c r="D8" s="72">
        <f t="shared" si="0"/>
        <v>9751.3054196462581</v>
      </c>
      <c r="E8" s="66">
        <v>-7.985053760707661E-2</v>
      </c>
      <c r="F8" s="72">
        <f t="shared" si="1"/>
        <v>10353.002382590856</v>
      </c>
      <c r="G8" s="66">
        <v>8.4148727984345584E-3</v>
      </c>
      <c r="H8" s="72">
        <f t="shared" si="2"/>
        <v>10234.041213110018</v>
      </c>
      <c r="I8" s="66">
        <v>-3.3190228516356224E-2</v>
      </c>
      <c r="K8" s="84" t="s">
        <v>9</v>
      </c>
      <c r="L8" s="85" t="str">
        <f>S8</f>
        <v>YTD</v>
      </c>
      <c r="M8" s="85" t="str">
        <f>S9</f>
        <v>1YR</v>
      </c>
      <c r="N8" s="85" t="str">
        <f>S10</f>
        <v>5YR</v>
      </c>
      <c r="O8" s="143" t="s">
        <v>179</v>
      </c>
      <c r="P8" s="86" t="s">
        <v>10</v>
      </c>
      <c r="S8" s="81" t="s">
        <v>73</v>
      </c>
      <c r="T8" s="134">
        <v>43465</v>
      </c>
      <c r="U8" s="133">
        <f t="shared" ref="U8:U13" si="4">SUMIF($A$2:$A$304,$T8,$B$2:$B$304)</f>
        <v>19617</v>
      </c>
      <c r="V8" s="131">
        <f t="shared" ref="V8:V13" si="5">SUMIF($A$2:$A$304,$T8,$D$2:$D$304)</f>
        <v>26852.590359401376</v>
      </c>
      <c r="W8" s="131">
        <f t="shared" ref="W8:W13" si="6">SUMIF($A$2:$A$304,$T8,$F$2:$F$304)</f>
        <v>13264.089616578156</v>
      </c>
      <c r="X8" s="132">
        <f t="shared" ref="X8:X13" si="7">SUMIF($A$2:$A$304,$T8,$H$2:$H$304)</f>
        <v>19454.306812484618</v>
      </c>
    </row>
    <row r="9" spans="1:24" x14ac:dyDescent="0.25">
      <c r="A9" s="65">
        <v>40359</v>
      </c>
      <c r="B9" s="141">
        <v>9253</v>
      </c>
      <c r="C9" s="66">
        <f t="shared" si="3"/>
        <v>-3.6346594459487624E-2</v>
      </c>
      <c r="D9" s="72">
        <f t="shared" si="0"/>
        <v>9240.8377965170075</v>
      </c>
      <c r="E9" s="66">
        <v>-5.234864473640588E-2</v>
      </c>
      <c r="F9" s="72">
        <f t="shared" si="1"/>
        <v>10515.352350779696</v>
      </c>
      <c r="G9" s="66">
        <v>1.56814383102859E-2</v>
      </c>
      <c r="H9" s="72">
        <f t="shared" si="2"/>
        <v>9984.0541293836741</v>
      </c>
      <c r="I9" s="66">
        <v>-2.4427015537723751E-2</v>
      </c>
      <c r="K9" s="91" t="s">
        <v>11</v>
      </c>
      <c r="L9" s="92">
        <f t="shared" ref="L9:P10" si="8">T26*100</f>
        <v>17.964010806953155</v>
      </c>
      <c r="M9" s="92">
        <f t="shared" si="8"/>
        <v>17.964010806953155</v>
      </c>
      <c r="N9" s="92">
        <f t="shared" si="8"/>
        <v>4.9290064313529003</v>
      </c>
      <c r="O9" s="144">
        <f t="shared" si="8"/>
        <v>8.8814077411453862</v>
      </c>
      <c r="P9" s="140">
        <f t="shared" si="8"/>
        <v>8.7522403083372993</v>
      </c>
      <c r="S9" s="81" t="s">
        <v>16</v>
      </c>
      <c r="T9" s="135">
        <f>EOMONTH($L$1,-12)</f>
        <v>43465</v>
      </c>
      <c r="U9" s="133">
        <f t="shared" si="4"/>
        <v>19617</v>
      </c>
      <c r="V9" s="133">
        <f t="shared" si="5"/>
        <v>26852.590359401376</v>
      </c>
      <c r="W9" s="133">
        <f t="shared" si="6"/>
        <v>13264.089616578156</v>
      </c>
      <c r="X9" s="82">
        <f t="shared" si="7"/>
        <v>19454.306812484618</v>
      </c>
    </row>
    <row r="10" spans="1:24" x14ac:dyDescent="0.25">
      <c r="A10" s="65">
        <v>40390</v>
      </c>
      <c r="B10" s="141">
        <v>9721</v>
      </c>
      <c r="C10" s="66">
        <f t="shared" si="3"/>
        <v>5.0578190857019312E-2</v>
      </c>
      <c r="D10" s="72">
        <f t="shared" si="0"/>
        <v>9888.2562057142859</v>
      </c>
      <c r="E10" s="66">
        <v>7.0060574966622546E-2</v>
      </c>
      <c r="F10" s="72">
        <f t="shared" si="1"/>
        <v>10627.539095264681</v>
      </c>
      <c r="G10" s="66">
        <v>1.0668852620679514E-2</v>
      </c>
      <c r="H10" s="72">
        <f t="shared" si="2"/>
        <v>10448.026784272739</v>
      </c>
      <c r="I10" s="66">
        <v>4.6471368131264956E-2</v>
      </c>
      <c r="K10" s="91" t="s">
        <v>12</v>
      </c>
      <c r="L10" s="92">
        <f t="shared" si="8"/>
        <v>16.989999999999998</v>
      </c>
      <c r="M10" s="92">
        <f t="shared" si="8"/>
        <v>16.989999999999998</v>
      </c>
      <c r="N10" s="92">
        <f t="shared" si="8"/>
        <v>4.1399999999999997</v>
      </c>
      <c r="O10" s="144">
        <f t="shared" si="8"/>
        <v>8.0399999999999991</v>
      </c>
      <c r="P10" s="93">
        <f t="shared" si="8"/>
        <v>7.91</v>
      </c>
      <c r="S10" s="81" t="s">
        <v>56</v>
      </c>
      <c r="T10" s="135">
        <f>EOMONTH($L$1,-60)</f>
        <v>42004</v>
      </c>
      <c r="U10" s="133">
        <f t="shared" si="4"/>
        <v>18193</v>
      </c>
      <c r="V10" s="133">
        <f t="shared" si="5"/>
        <v>20307.937491591838</v>
      </c>
      <c r="W10" s="133">
        <f t="shared" si="6"/>
        <v>12410.342658114445</v>
      </c>
      <c r="X10" s="82">
        <f t="shared" si="7"/>
        <v>15017.183623524628</v>
      </c>
    </row>
    <row r="11" spans="1:24" x14ac:dyDescent="0.25">
      <c r="A11" s="65">
        <v>40421</v>
      </c>
      <c r="B11" s="141">
        <v>9356</v>
      </c>
      <c r="C11" s="66">
        <f t="shared" si="3"/>
        <v>-3.754757740973147E-2</v>
      </c>
      <c r="D11" s="72">
        <f t="shared" si="0"/>
        <v>9441.9000835374136</v>
      </c>
      <c r="E11" s="66">
        <v>-4.5140023972976007E-2</v>
      </c>
      <c r="F11" s="72">
        <f t="shared" si="1"/>
        <v>10764.288968669256</v>
      </c>
      <c r="G11" s="66">
        <v>1.2867501326389474E-2</v>
      </c>
      <c r="H11" s="72">
        <f t="shared" si="2"/>
        <v>10101.923250142336</v>
      </c>
      <c r="I11" s="66">
        <v>-3.3126210458360172E-2</v>
      </c>
      <c r="K11" s="96" t="s">
        <v>192</v>
      </c>
      <c r="L11" s="97">
        <f>T30*100</f>
        <v>31.486370986834402</v>
      </c>
      <c r="M11" s="97">
        <f>U30*100</f>
        <v>31.486370986834402</v>
      </c>
      <c r="N11" s="97">
        <f>V30*100</f>
        <v>11.696668923063559</v>
      </c>
      <c r="O11" s="97">
        <f>W30*100</f>
        <v>13.559915182795601</v>
      </c>
      <c r="P11" s="119">
        <v>13.44</v>
      </c>
      <c r="S11" s="145" t="s">
        <v>179</v>
      </c>
      <c r="T11" s="135">
        <f>EOMONTH($L$1,-120)</f>
        <v>40178</v>
      </c>
      <c r="U11" s="133">
        <f t="shared" si="4"/>
        <v>9882</v>
      </c>
      <c r="V11" s="133">
        <f t="shared" si="5"/>
        <v>9899.57</v>
      </c>
      <c r="W11" s="133">
        <f t="shared" si="6"/>
        <v>9983</v>
      </c>
      <c r="X11" s="82">
        <f t="shared" si="7"/>
        <v>9922</v>
      </c>
    </row>
    <row r="12" spans="1:24" x14ac:dyDescent="0.25">
      <c r="A12" s="65">
        <v>40451</v>
      </c>
      <c r="B12" s="141">
        <v>9988</v>
      </c>
      <c r="C12" s="66">
        <f t="shared" si="3"/>
        <v>6.7550235143223558E-2</v>
      </c>
      <c r="D12" s="72">
        <f t="shared" si="0"/>
        <v>10284.508381768706</v>
      </c>
      <c r="E12" s="66">
        <v>8.924139111580276E-2</v>
      </c>
      <c r="F12" s="72">
        <f t="shared" si="1"/>
        <v>10775.760403547269</v>
      </c>
      <c r="G12" s="66">
        <v>1.065693694344505E-3</v>
      </c>
      <c r="H12" s="72">
        <f t="shared" si="2"/>
        <v>10614.460006288187</v>
      </c>
      <c r="I12" s="66">
        <v>5.0736552184617922E-2</v>
      </c>
      <c r="K12" s="126" t="s">
        <v>193</v>
      </c>
      <c r="L12" s="97">
        <f t="shared" ref="L12:O12" si="9">T31*100</f>
        <v>8.7168963158409465</v>
      </c>
      <c r="M12" s="97">
        <f t="shared" si="9"/>
        <v>8.7168963158409465</v>
      </c>
      <c r="N12" s="97">
        <f t="shared" si="9"/>
        <v>3.0476623097616784</v>
      </c>
      <c r="O12" s="97">
        <f t="shared" si="9"/>
        <v>3.7459954633314529</v>
      </c>
      <c r="P12" s="123">
        <f>X31*100</f>
        <v>3.7283451373914867</v>
      </c>
      <c r="S12" s="81" t="s">
        <v>6</v>
      </c>
      <c r="T12" s="135">
        <f>A2</f>
        <v>40177</v>
      </c>
      <c r="U12" s="133">
        <f t="shared" si="4"/>
        <v>10000</v>
      </c>
      <c r="V12" s="133">
        <f t="shared" si="5"/>
        <v>10000</v>
      </c>
      <c r="W12" s="133">
        <f t="shared" si="6"/>
        <v>10000</v>
      </c>
      <c r="X12" s="82">
        <f t="shared" si="7"/>
        <v>10000</v>
      </c>
    </row>
    <row r="13" spans="1:24" ht="15.75" thickBot="1" x14ac:dyDescent="0.3">
      <c r="A13" s="65">
        <v>40482</v>
      </c>
      <c r="B13" s="141">
        <v>10307</v>
      </c>
      <c r="C13" s="66">
        <f t="shared" si="3"/>
        <v>3.1938325991189398E-2</v>
      </c>
      <c r="D13" s="72">
        <f t="shared" si="0"/>
        <v>10675.85791363265</v>
      </c>
      <c r="E13" s="66">
        <v>3.8052332434060476E-2</v>
      </c>
      <c r="F13" s="72">
        <f t="shared" si="1"/>
        <v>10814.128140540399</v>
      </c>
      <c r="G13" s="66">
        <v>3.5605595852428173E-3</v>
      </c>
      <c r="H13" s="72">
        <f t="shared" si="2"/>
        <v>10715.466591888242</v>
      </c>
      <c r="I13" s="66">
        <v>9.5159419829380365E-3</v>
      </c>
      <c r="K13" s="96" t="s">
        <v>189</v>
      </c>
      <c r="L13" s="97">
        <f t="shared" ref="L13:O13" si="10">T32*100</f>
        <v>22.045159053480141</v>
      </c>
      <c r="M13" s="97">
        <f t="shared" si="10"/>
        <v>22.045159053480141</v>
      </c>
      <c r="N13" s="97">
        <f t="shared" si="10"/>
        <v>9.5947033565649811</v>
      </c>
      <c r="O13" s="97">
        <f t="shared" si="10"/>
        <v>9.1173247048137451</v>
      </c>
      <c r="P13" s="123">
        <f>X32*100</f>
        <v>9.0319129659531825</v>
      </c>
      <c r="S13" s="87" t="s">
        <v>7</v>
      </c>
      <c r="T13" s="88">
        <f>L1</f>
        <v>43830</v>
      </c>
      <c r="U13" s="89">
        <f t="shared" si="4"/>
        <v>23141</v>
      </c>
      <c r="V13" s="89">
        <f t="shared" si="5"/>
        <v>35307.496579537423</v>
      </c>
      <c r="W13" s="89">
        <f t="shared" si="6"/>
        <v>14420.306555695499</v>
      </c>
      <c r="X13" s="90">
        <f t="shared" si="7"/>
        <v>23743.039692048875</v>
      </c>
    </row>
    <row r="14" spans="1:24" ht="15.75" thickBot="1" x14ac:dyDescent="0.3">
      <c r="A14" s="65">
        <v>40512</v>
      </c>
      <c r="B14" s="141">
        <v>10217</v>
      </c>
      <c r="C14" s="66">
        <f t="shared" si="3"/>
        <v>-8.7319297564761866E-3</v>
      </c>
      <c r="D14" s="72">
        <f t="shared" si="0"/>
        <v>10677.204793904759</v>
      </c>
      <c r="E14" s="66">
        <v>1.2616131490372773E-4</v>
      </c>
      <c r="F14" s="72">
        <f t="shared" si="1"/>
        <v>10751.974999026188</v>
      </c>
      <c r="G14" s="66">
        <v>-5.7474019825239919E-3</v>
      </c>
      <c r="H14" s="72">
        <f t="shared" si="2"/>
        <v>10855.004070325713</v>
      </c>
      <c r="I14" s="66">
        <v>1.3022062757687358E-2</v>
      </c>
      <c r="K14" s="91" t="s">
        <v>15</v>
      </c>
      <c r="L14" s="92">
        <f>T28*100</f>
        <v>11.200000000000001</v>
      </c>
      <c r="M14" s="92">
        <f>U28*100</f>
        <v>11.200000000000001</v>
      </c>
      <c r="N14" s="92">
        <f>V28*100</f>
        <v>3.6900000000000004</v>
      </c>
      <c r="O14" s="92">
        <f>W28*100</f>
        <v>8.24</v>
      </c>
      <c r="P14" s="93">
        <f>X28*100</f>
        <v>8.1100000000000012</v>
      </c>
    </row>
    <row r="15" spans="1:24" x14ac:dyDescent="0.25">
      <c r="A15" s="65">
        <v>40543</v>
      </c>
      <c r="B15" s="141">
        <v>10699</v>
      </c>
      <c r="C15" s="66">
        <f t="shared" si="3"/>
        <v>4.7176274836057575E-2</v>
      </c>
      <c r="D15" s="72">
        <f t="shared" si="0"/>
        <v>11390.781962068024</v>
      </c>
      <c r="E15" s="66">
        <v>6.6831833044039834E-2</v>
      </c>
      <c r="F15" s="72">
        <f t="shared" si="1"/>
        <v>10636.029253281742</v>
      </c>
      <c r="G15" s="66">
        <v>-1.0783669582095201E-2</v>
      </c>
      <c r="H15" s="72">
        <f t="shared" si="2"/>
        <v>11641.219772095752</v>
      </c>
      <c r="I15" s="66">
        <v>7.2428872129059352E-2</v>
      </c>
      <c r="K15" s="91" t="s">
        <v>14</v>
      </c>
      <c r="L15" s="92">
        <f>T29*100</f>
        <v>18.47</v>
      </c>
      <c r="M15" s="92">
        <f>U29*100</f>
        <v>18.47</v>
      </c>
      <c r="N15" s="92">
        <f>V29*100</f>
        <v>5.29</v>
      </c>
      <c r="O15" s="92" t="s">
        <v>181</v>
      </c>
      <c r="P15" s="93">
        <f>X29*100</f>
        <v>9.56</v>
      </c>
      <c r="S15" s="180" t="s">
        <v>17</v>
      </c>
      <c r="T15" s="181"/>
      <c r="U15" s="94" t="str">
        <f>U6</f>
        <v>CGGAX</v>
      </c>
      <c r="V15" s="94" t="str">
        <f>V6</f>
        <v>SP500TR</v>
      </c>
      <c r="W15" s="94" t="str">
        <f>W6</f>
        <v>Barclays Agg</v>
      </c>
      <c r="X15" s="95" t="str">
        <f>X6</f>
        <v>FTSE Nareit</v>
      </c>
    </row>
    <row r="16" spans="1:24" x14ac:dyDescent="0.25">
      <c r="A16" s="65">
        <v>40574</v>
      </c>
      <c r="B16" s="141">
        <v>10775</v>
      </c>
      <c r="C16" s="66">
        <f t="shared" si="3"/>
        <v>7.1034676137957664E-3</v>
      </c>
      <c r="D16" s="72">
        <f t="shared" si="0"/>
        <v>11660.750643809521</v>
      </c>
      <c r="E16" s="66">
        <v>2.3700627633862936E-2</v>
      </c>
      <c r="F16" s="72">
        <f t="shared" si="1"/>
        <v>10648.408033291351</v>
      </c>
      <c r="G16" s="66">
        <v>1.1638535128877248E-3</v>
      </c>
      <c r="H16" s="72">
        <f t="shared" si="2"/>
        <v>11541.477876632594</v>
      </c>
      <c r="I16" s="66">
        <v>-8.5679935106320881E-3</v>
      </c>
      <c r="K16" s="96" t="s">
        <v>192</v>
      </c>
      <c r="L16" s="97">
        <f>L11</f>
        <v>31.486370986834402</v>
      </c>
      <c r="M16" s="97">
        <f>M11</f>
        <v>31.486370986834402</v>
      </c>
      <c r="N16" s="97">
        <f>N11</f>
        <v>11.696668923063559</v>
      </c>
      <c r="O16" s="97" t="s">
        <v>181</v>
      </c>
      <c r="P16" s="119">
        <v>13.86</v>
      </c>
      <c r="Q16" s="127" t="s">
        <v>177</v>
      </c>
      <c r="S16" s="176" t="str">
        <f>S8</f>
        <v>YTD</v>
      </c>
      <c r="T16" s="177"/>
      <c r="U16" s="98">
        <f>($U$13-U8)/U8</f>
        <v>0.17964010806953154</v>
      </c>
      <c r="V16" s="98">
        <f>($V$13-V8)/V8</f>
        <v>0.314863709868344</v>
      </c>
      <c r="W16" s="98">
        <f>($W$13-W8)/W8</f>
        <v>8.7168963158409468E-2</v>
      </c>
      <c r="X16" s="99">
        <f>($X$13-X8)/X8</f>
        <v>0.22045159053480143</v>
      </c>
    </row>
    <row r="17" spans="1:25" x14ac:dyDescent="0.25">
      <c r="A17" s="65">
        <v>40602</v>
      </c>
      <c r="B17" s="141">
        <v>11106</v>
      </c>
      <c r="C17" s="66">
        <f t="shared" si="3"/>
        <v>3.0719257540603229E-2</v>
      </c>
      <c r="D17" s="72">
        <f t="shared" si="0"/>
        <v>12060.235332517002</v>
      </c>
      <c r="E17" s="66">
        <v>3.425891702088335E-2</v>
      </c>
      <c r="F17" s="72">
        <f t="shared" si="1"/>
        <v>10675.045093940298</v>
      </c>
      <c r="G17" s="66">
        <v>2.5015063815800875E-3</v>
      </c>
      <c r="H17" s="72">
        <f t="shared" si="2"/>
        <v>11968.85883022748</v>
      </c>
      <c r="I17" s="66">
        <v>3.7030002410712193E-2</v>
      </c>
      <c r="K17" s="126" t="s">
        <v>193</v>
      </c>
      <c r="L17" s="97">
        <f t="shared" ref="L17:N17" si="11">L12</f>
        <v>8.7168963158409465</v>
      </c>
      <c r="M17" s="97">
        <f t="shared" si="11"/>
        <v>8.7168963158409465</v>
      </c>
      <c r="N17" s="97">
        <f t="shared" si="11"/>
        <v>3.0476623097616784</v>
      </c>
      <c r="O17" s="97" t="s">
        <v>181</v>
      </c>
      <c r="P17" s="119">
        <v>3.32</v>
      </c>
      <c r="Q17" s="127" t="s">
        <v>177</v>
      </c>
      <c r="S17" s="176" t="str">
        <f>S9</f>
        <v>1YR</v>
      </c>
      <c r="T17" s="177"/>
      <c r="U17" s="98">
        <f>($U$13-U9)/U9</f>
        <v>0.17964010806953154</v>
      </c>
      <c r="V17" s="98">
        <f>($V$13-V9)/V9</f>
        <v>0.314863709868344</v>
      </c>
      <c r="W17" s="98">
        <f>($W$13-W9)/W9</f>
        <v>8.7168963158409468E-2</v>
      </c>
      <c r="X17" s="99">
        <f>($X$13-X9)/X9</f>
        <v>0.22045159053480143</v>
      </c>
    </row>
    <row r="18" spans="1:25" x14ac:dyDescent="0.25">
      <c r="A18" s="65">
        <v>40633</v>
      </c>
      <c r="B18" s="141">
        <v>11270</v>
      </c>
      <c r="C18" s="66">
        <f t="shared" si="3"/>
        <v>1.476679272465331E-2</v>
      </c>
      <c r="D18" s="72">
        <f t="shared" si="0"/>
        <v>12065.030226285709</v>
      </c>
      <c r="E18" s="66">
        <v>3.9757878984159056E-4</v>
      </c>
      <c r="F18" s="72">
        <f t="shared" si="1"/>
        <v>10680.942837295663</v>
      </c>
      <c r="G18" s="66">
        <v>5.5247947933367847E-4</v>
      </c>
      <c r="H18" s="72">
        <f t="shared" si="2"/>
        <v>11606.314324317435</v>
      </c>
      <c r="I18" s="66">
        <v>-3.0290649346989995E-2</v>
      </c>
      <c r="K18" s="96" t="s">
        <v>189</v>
      </c>
      <c r="L18" s="97">
        <f t="shared" ref="L18:N18" si="12">L13</f>
        <v>22.045159053480141</v>
      </c>
      <c r="M18" s="97">
        <f t="shared" si="12"/>
        <v>22.045159053480141</v>
      </c>
      <c r="N18" s="97">
        <f t="shared" si="12"/>
        <v>9.5947033565649811</v>
      </c>
      <c r="O18" s="97" t="s">
        <v>181</v>
      </c>
      <c r="P18" s="119">
        <v>8.9</v>
      </c>
      <c r="Q18" s="127" t="s">
        <v>86</v>
      </c>
      <c r="S18" s="176" t="str">
        <f>S10</f>
        <v>5YR</v>
      </c>
      <c r="T18" s="177"/>
      <c r="U18" s="98">
        <f>U13/U10-1</f>
        <v>0.27197273676688827</v>
      </c>
      <c r="V18" s="98">
        <f>V13/V10-1</f>
        <v>0.73860573453881773</v>
      </c>
      <c r="W18" s="98">
        <f>($W$13-W10)/W10</f>
        <v>0.16195877526933944</v>
      </c>
      <c r="X18" s="99">
        <f>($X$13-X10)/X10</f>
        <v>0.5810580923346419</v>
      </c>
    </row>
    <row r="19" spans="1:25" ht="15.75" thickBot="1" x14ac:dyDescent="0.3">
      <c r="A19" s="65">
        <v>40663</v>
      </c>
      <c r="B19" s="141">
        <v>11784</v>
      </c>
      <c r="C19" s="66">
        <f t="shared" si="3"/>
        <v>4.560780834072764E-2</v>
      </c>
      <c r="D19" s="72">
        <f t="shared" si="0"/>
        <v>12422.330624870743</v>
      </c>
      <c r="E19" s="66">
        <v>2.9614546493766269E-2</v>
      </c>
      <c r="F19" s="72">
        <f t="shared" si="1"/>
        <v>10816.526124102473</v>
      </c>
      <c r="G19" s="66">
        <v>1.2693943678209862E-2</v>
      </c>
      <c r="H19" s="72">
        <f t="shared" si="2"/>
        <v>11772.663233657091</v>
      </c>
      <c r="I19" s="66">
        <v>1.4332621424109071E-2</v>
      </c>
      <c r="K19" s="87"/>
      <c r="L19" s="100"/>
      <c r="M19" s="101"/>
      <c r="N19" s="101"/>
      <c r="O19" s="101"/>
      <c r="P19" s="102"/>
      <c r="Q19" s="70"/>
      <c r="S19" s="176" t="s">
        <v>57</v>
      </c>
      <c r="T19" s="177"/>
      <c r="U19" s="98">
        <f>(1+U18)^(12/60)-1</f>
        <v>4.9290064313529003E-2</v>
      </c>
      <c r="V19" s="98">
        <f>(1+V18)^(12/60)-1</f>
        <v>0.11696668923063558</v>
      </c>
      <c r="W19" s="98">
        <f t="shared" ref="W19:X19" si="13">(1+W18)^(12/60)-1</f>
        <v>3.0476623097616784E-2</v>
      </c>
      <c r="X19" s="99">
        <f t="shared" si="13"/>
        <v>9.594703356564982E-2</v>
      </c>
    </row>
    <row r="20" spans="1:25" x14ac:dyDescent="0.25">
      <c r="A20" s="65">
        <v>40694</v>
      </c>
      <c r="B20" s="141">
        <v>11828</v>
      </c>
      <c r="C20" s="66">
        <f t="shared" si="3"/>
        <v>3.7338764426340099E-3</v>
      </c>
      <c r="D20" s="72">
        <f t="shared" si="0"/>
        <v>12281.716324462577</v>
      </c>
      <c r="E20" s="66">
        <v>-1.1319478176393227E-2</v>
      </c>
      <c r="F20" s="72">
        <f t="shared" si="1"/>
        <v>10957.683102431933</v>
      </c>
      <c r="G20" s="66">
        <v>1.3050121333772813E-2</v>
      </c>
      <c r="H20" s="72">
        <f t="shared" si="2"/>
        <v>11738.010723906156</v>
      </c>
      <c r="I20" s="66">
        <v>-2.943472438068806E-3</v>
      </c>
      <c r="Q20" s="70"/>
      <c r="S20" s="176" t="str">
        <f>S11</f>
        <v>10YR</v>
      </c>
      <c r="T20" s="177"/>
      <c r="U20" s="98">
        <f>U13/U11-1</f>
        <v>1.341732442825339</v>
      </c>
      <c r="V20" s="98">
        <f t="shared" ref="V20:X20" si="14">V13/V11-1</f>
        <v>2.5665687074829941</v>
      </c>
      <c r="W20" s="98">
        <f t="shared" si="14"/>
        <v>0.44448628224937381</v>
      </c>
      <c r="X20" s="99">
        <f t="shared" si="14"/>
        <v>1.3929691284064578</v>
      </c>
    </row>
    <row r="21" spans="1:25" x14ac:dyDescent="0.25">
      <c r="A21" s="65">
        <v>40724</v>
      </c>
      <c r="B21" s="141">
        <v>11778</v>
      </c>
      <c r="C21" s="66">
        <f t="shared" si="3"/>
        <v>-4.2272573554278381E-3</v>
      </c>
      <c r="D21" s="72">
        <f t="shared" si="0"/>
        <v>12076.990523102033</v>
      </c>
      <c r="E21" s="66">
        <v>-1.6669152417465805E-2</v>
      </c>
      <c r="F21" s="72">
        <f t="shared" si="1"/>
        <v>10925.601970993419</v>
      </c>
      <c r="G21" s="66">
        <v>-2.9277294423118994E-3</v>
      </c>
      <c r="H21" s="72">
        <f t="shared" si="2"/>
        <v>11554.799279407895</v>
      </c>
      <c r="I21" s="66">
        <v>-1.5608389599195527E-2</v>
      </c>
      <c r="L21" s="136"/>
      <c r="M21" s="137"/>
      <c r="N21" s="62"/>
      <c r="O21" s="62"/>
      <c r="P21" s="62"/>
      <c r="Q21" s="70"/>
      <c r="S21" s="185" t="s">
        <v>180</v>
      </c>
      <c r="T21" s="177"/>
      <c r="U21" s="98">
        <f>(1+U20)^(1/10)-1</f>
        <v>8.8814077411453862E-2</v>
      </c>
      <c r="V21" s="98">
        <f t="shared" ref="V21:X21" si="15">(1+V20)^(1/10)-1</f>
        <v>0.13559915182795601</v>
      </c>
      <c r="W21" s="98">
        <f t="shared" si="15"/>
        <v>3.7459954633314529E-2</v>
      </c>
      <c r="X21" s="99">
        <f t="shared" si="15"/>
        <v>9.1173247048137451E-2</v>
      </c>
    </row>
    <row r="22" spans="1:25" x14ac:dyDescent="0.25">
      <c r="A22" s="65">
        <v>40755</v>
      </c>
      <c r="B22" s="141">
        <v>11377</v>
      </c>
      <c r="C22" s="66">
        <f t="shared" si="3"/>
        <v>-3.404652742401082E-2</v>
      </c>
      <c r="D22" s="72">
        <f t="shared" si="0"/>
        <v>11831.42731189115</v>
      </c>
      <c r="E22" s="66">
        <v>-2.0333145972181277E-2</v>
      </c>
      <c r="F22" s="72">
        <f t="shared" si="1"/>
        <v>11098.969701494478</v>
      </c>
      <c r="G22" s="66">
        <v>1.5868025483752435E-2</v>
      </c>
      <c r="H22" s="72">
        <f t="shared" si="2"/>
        <v>10864.784340717708</v>
      </c>
      <c r="I22" s="66">
        <v>-5.9716739512721828E-2</v>
      </c>
      <c r="K22" s="105" t="s">
        <v>79</v>
      </c>
      <c r="L22" s="130">
        <v>5.8000000000000003E-2</v>
      </c>
      <c r="S22" s="178" t="s">
        <v>18</v>
      </c>
      <c r="T22" s="179"/>
      <c r="U22" s="98">
        <f>($U$13-U12)/U12</f>
        <v>1.3141</v>
      </c>
      <c r="V22" s="98">
        <f>($V$13-V12)/V12</f>
        <v>2.5307496579537423</v>
      </c>
      <c r="W22" s="98">
        <f>($W$13-W12)/W12</f>
        <v>0.4420306555695499</v>
      </c>
      <c r="X22" s="99">
        <f>($X$13-X12)/X12</f>
        <v>1.3743039692048875</v>
      </c>
    </row>
    <row r="23" spans="1:25" ht="15.75" thickBot="1" x14ac:dyDescent="0.3">
      <c r="A23" s="65">
        <v>40786</v>
      </c>
      <c r="B23" s="141">
        <v>11038</v>
      </c>
      <c r="C23" s="66">
        <f t="shared" si="3"/>
        <v>-2.979695877647881E-2</v>
      </c>
      <c r="D23" s="72">
        <f t="shared" si="0"/>
        <v>11188.696046040812</v>
      </c>
      <c r="E23" s="66">
        <v>-5.432406833995107E-2</v>
      </c>
      <c r="F23" s="72">
        <f t="shared" si="1"/>
        <v>11261.125238583692</v>
      </c>
      <c r="G23" s="66">
        <v>1.4609963037143903E-2</v>
      </c>
      <c r="H23" s="72">
        <f t="shared" si="2"/>
        <v>10784.181422659567</v>
      </c>
      <c r="I23" s="66">
        <v>-7.4187315210728633E-3</v>
      </c>
      <c r="K23" s="105" t="s">
        <v>80</v>
      </c>
      <c r="L23" s="130">
        <v>1.7999999999999999E-2</v>
      </c>
      <c r="M23" s="129" t="s">
        <v>82</v>
      </c>
      <c r="S23" s="174" t="s">
        <v>8</v>
      </c>
      <c r="T23" s="175"/>
      <c r="U23" s="103">
        <f>(1+U22)^(12/$L$3)-1</f>
        <v>8.7522403083373002E-2</v>
      </c>
      <c r="V23" s="103">
        <f>(1+V22)^(12/$L$3)-1</f>
        <v>0.13445348233695009</v>
      </c>
      <c r="W23" s="103">
        <f>(1+W22)^(12/$L$3)-1</f>
        <v>3.7283451373914867E-2</v>
      </c>
      <c r="X23" s="104">
        <f>(1+X22)^(12/$L$3)-1</f>
        <v>9.0319129659531816E-2</v>
      </c>
    </row>
    <row r="24" spans="1:25" x14ac:dyDescent="0.25">
      <c r="A24" s="65">
        <v>40816</v>
      </c>
      <c r="B24" s="141">
        <v>10476</v>
      </c>
      <c r="C24" s="66">
        <f t="shared" si="3"/>
        <v>-5.0915020837108194E-2</v>
      </c>
      <c r="D24" s="72">
        <f t="shared" si="0"/>
        <v>10402.171842340131</v>
      </c>
      <c r="E24" s="66">
        <v>-7.0296324117143039E-2</v>
      </c>
      <c r="F24" s="72">
        <f t="shared" si="1"/>
        <v>11343.045541893352</v>
      </c>
      <c r="G24" s="66">
        <v>7.274610802566972E-3</v>
      </c>
      <c r="H24" s="72">
        <f t="shared" si="2"/>
        <v>10065.753112227127</v>
      </c>
      <c r="I24" s="66">
        <v>-6.6618715160233655E-2</v>
      </c>
      <c r="K24" s="105" t="s">
        <v>81</v>
      </c>
      <c r="L24" s="130">
        <v>2.310245E-2</v>
      </c>
      <c r="M24" s="51" t="s">
        <v>178</v>
      </c>
    </row>
    <row r="25" spans="1:25" x14ac:dyDescent="0.25">
      <c r="A25" s="65">
        <v>40847</v>
      </c>
      <c r="B25" s="141">
        <v>11466</v>
      </c>
      <c r="C25" s="66">
        <f t="shared" si="3"/>
        <v>9.4501718213058528E-2</v>
      </c>
      <c r="D25" s="72">
        <f t="shared" si="0"/>
        <v>11539.046542421764</v>
      </c>
      <c r="E25" s="66">
        <v>0.10929205144008414</v>
      </c>
      <c r="F25" s="72">
        <f t="shared" si="1"/>
        <v>11355.229890803332</v>
      </c>
      <c r="G25" s="66">
        <v>1.0741690902129619E-3</v>
      </c>
      <c r="H25" s="72">
        <f t="shared" si="2"/>
        <v>10654.677152641469</v>
      </c>
      <c r="I25" s="66">
        <v>5.8507697720000751E-2</v>
      </c>
      <c r="K25" s="138" t="s">
        <v>85</v>
      </c>
      <c r="L25" s="139">
        <v>-1.0200000000000001E-2</v>
      </c>
      <c r="S25" s="106"/>
      <c r="T25" s="107" t="str">
        <f>L8</f>
        <v>YTD</v>
      </c>
      <c r="U25" s="107" t="str">
        <f>M8</f>
        <v>1YR</v>
      </c>
      <c r="V25" s="107" t="str">
        <f>N8</f>
        <v>5YR</v>
      </c>
      <c r="W25" s="107" t="s">
        <v>179</v>
      </c>
      <c r="X25" s="107" t="str">
        <f>P8</f>
        <v>Since Inception*</v>
      </c>
    </row>
    <row r="26" spans="1:25" x14ac:dyDescent="0.25">
      <c r="A26" s="65">
        <v>40877</v>
      </c>
      <c r="B26" s="141">
        <v>11519</v>
      </c>
      <c r="C26" s="66">
        <f t="shared" si="3"/>
        <v>4.6223617652190185E-3</v>
      </c>
      <c r="D26" s="72">
        <f t="shared" si="0"/>
        <v>11513.563567673466</v>
      </c>
      <c r="E26" s="66">
        <v>-2.2084125109136377E-3</v>
      </c>
      <c r="F26" s="72">
        <f t="shared" si="1"/>
        <v>11345.378715088878</v>
      </c>
      <c r="G26" s="66">
        <v>-8.6754524647991715E-4</v>
      </c>
      <c r="H26" s="72">
        <f t="shared" si="2"/>
        <v>10421.383978722144</v>
      </c>
      <c r="I26" s="66">
        <v>-2.1895846357154802E-2</v>
      </c>
      <c r="S26" s="108" t="s">
        <v>11</v>
      </c>
      <c r="T26" s="109">
        <f>U16</f>
        <v>0.17964010806953154</v>
      </c>
      <c r="U26" s="109">
        <f>U17</f>
        <v>0.17964010806953154</v>
      </c>
      <c r="V26" s="109">
        <f>U19</f>
        <v>4.9290064313529003E-2</v>
      </c>
      <c r="W26" s="109">
        <f>U21</f>
        <v>8.8814077411453862E-2</v>
      </c>
      <c r="X26" s="109">
        <f>U23</f>
        <v>8.7522403083373002E-2</v>
      </c>
    </row>
    <row r="27" spans="1:25" x14ac:dyDescent="0.25">
      <c r="A27" s="65">
        <v>40908</v>
      </c>
      <c r="B27" s="141">
        <v>11689</v>
      </c>
      <c r="C27" s="66">
        <f t="shared" si="3"/>
        <v>1.4758225540411507E-2</v>
      </c>
      <c r="D27" s="72">
        <f t="shared" si="0"/>
        <v>11631.334778666662</v>
      </c>
      <c r="E27" s="66">
        <v>1.0228910475976516E-2</v>
      </c>
      <c r="F27" s="72">
        <f t="shared" si="1"/>
        <v>11470.073860316556</v>
      </c>
      <c r="G27" s="66">
        <v>1.0990831452971861E-2</v>
      </c>
      <c r="H27" s="72">
        <f t="shared" si="2"/>
        <v>10594.477902125243</v>
      </c>
      <c r="I27" s="66">
        <v>1.6609494838354832E-2</v>
      </c>
      <c r="S27" s="108" t="s">
        <v>12</v>
      </c>
      <c r="T27" s="146">
        <v>0.1699</v>
      </c>
      <c r="U27" s="146">
        <v>0.1699</v>
      </c>
      <c r="V27" s="146">
        <v>4.1399999999999999E-2</v>
      </c>
      <c r="W27" s="146">
        <v>8.0399999999999999E-2</v>
      </c>
      <c r="X27" s="146">
        <v>7.9100000000000004E-2</v>
      </c>
      <c r="Y27" s="70" t="s">
        <v>13</v>
      </c>
    </row>
    <row r="28" spans="1:25" outlineLevel="1" x14ac:dyDescent="0.25">
      <c r="A28" s="65">
        <v>40939</v>
      </c>
      <c r="B28" s="141">
        <v>12127</v>
      </c>
      <c r="C28" s="66">
        <f t="shared" si="3"/>
        <v>3.7471126700316493E-2</v>
      </c>
      <c r="D28" s="72">
        <f t="shared" si="0"/>
        <v>12152.577443972783</v>
      </c>
      <c r="E28" s="66">
        <v>4.4813658554661018E-2</v>
      </c>
      <c r="F28" s="72">
        <f t="shared" si="1"/>
        <v>11570.789169923526</v>
      </c>
      <c r="G28" s="66">
        <v>8.7807027952468975E-3</v>
      </c>
      <c r="H28" s="72">
        <f t="shared" si="2"/>
        <v>11404.638403820505</v>
      </c>
      <c r="I28" s="66">
        <v>7.6470073294762742E-2</v>
      </c>
      <c r="S28" s="108" t="s">
        <v>15</v>
      </c>
      <c r="T28" s="146">
        <v>0.112</v>
      </c>
      <c r="U28" s="146">
        <v>0.112</v>
      </c>
      <c r="V28" s="146">
        <v>3.6900000000000002E-2</v>
      </c>
      <c r="W28" s="146">
        <v>8.2400000000000001E-2</v>
      </c>
      <c r="X28" s="146">
        <v>8.1100000000000005E-2</v>
      </c>
      <c r="Y28" s="70" t="s">
        <v>13</v>
      </c>
    </row>
    <row r="29" spans="1:25" outlineLevel="1" x14ac:dyDescent="0.25">
      <c r="A29" s="65">
        <v>40968</v>
      </c>
      <c r="B29" s="141">
        <v>12469</v>
      </c>
      <c r="C29" s="66">
        <f t="shared" si="3"/>
        <v>2.8201533767626019E-2</v>
      </c>
      <c r="D29" s="72">
        <f t="shared" si="0"/>
        <v>12678.07625093877</v>
      </c>
      <c r="E29" s="66">
        <v>4.3241757511005563E-2</v>
      </c>
      <c r="F29" s="72">
        <f t="shared" si="1"/>
        <v>11568.131944895285</v>
      </c>
      <c r="G29" s="66">
        <v>-2.2964942055525572E-4</v>
      </c>
      <c r="H29" s="72">
        <f t="shared" si="2"/>
        <v>11597.292868007586</v>
      </c>
      <c r="I29" s="66">
        <v>1.6892641166294409E-2</v>
      </c>
      <c r="S29" s="108" t="s">
        <v>14</v>
      </c>
      <c r="T29" s="146">
        <v>0.1847</v>
      </c>
      <c r="U29" s="146">
        <v>0.1847</v>
      </c>
      <c r="V29" s="146">
        <v>5.2900000000000003E-2</v>
      </c>
      <c r="W29" s="120" t="s">
        <v>181</v>
      </c>
      <c r="X29" s="146">
        <v>9.5600000000000004E-2</v>
      </c>
      <c r="Y29" s="70" t="s">
        <v>13</v>
      </c>
    </row>
    <row r="30" spans="1:25" outlineLevel="1" x14ac:dyDescent="0.25">
      <c r="A30" s="65">
        <v>40999</v>
      </c>
      <c r="B30" s="141">
        <v>12732</v>
      </c>
      <c r="C30" s="66">
        <f t="shared" si="3"/>
        <v>2.1092308926136782E-2</v>
      </c>
      <c r="D30" s="72">
        <f t="shared" si="0"/>
        <v>13095.285884027206</v>
      </c>
      <c r="E30" s="66">
        <v>3.2907960547842841E-2</v>
      </c>
      <c r="F30" s="72">
        <f t="shared" si="1"/>
        <v>11504.747406416769</v>
      </c>
      <c r="G30" s="66">
        <v>-5.4792371646907867E-3</v>
      </c>
      <c r="H30" s="72">
        <f t="shared" si="2"/>
        <v>11706.815033862735</v>
      </c>
      <c r="I30" s="66">
        <v>9.4437699471467962E-3</v>
      </c>
      <c r="S30" s="110" t="s">
        <v>41</v>
      </c>
      <c r="T30" s="109">
        <f>V16</f>
        <v>0.314863709868344</v>
      </c>
      <c r="U30" s="109">
        <f>V17</f>
        <v>0.314863709868344</v>
      </c>
      <c r="V30" s="109">
        <f>V19</f>
        <v>0.11696668923063558</v>
      </c>
      <c r="W30" s="109">
        <f>V21</f>
        <v>0.13559915182795601</v>
      </c>
      <c r="X30" s="109">
        <f>V23</f>
        <v>0.13445348233695009</v>
      </c>
      <c r="Y30" s="127"/>
    </row>
    <row r="31" spans="1:25" outlineLevel="1" x14ac:dyDescent="0.25">
      <c r="A31" s="65">
        <v>41029</v>
      </c>
      <c r="B31" s="141">
        <v>12639</v>
      </c>
      <c r="C31" s="66">
        <f t="shared" si="3"/>
        <v>-7.3044297832233207E-3</v>
      </c>
      <c r="D31" s="72">
        <f t="shared" si="0"/>
        <v>13013.126187428566</v>
      </c>
      <c r="E31" s="66">
        <v>-6.2739902989710217E-3</v>
      </c>
      <c r="F31" s="72">
        <f t="shared" si="1"/>
        <v>11632.294207772313</v>
      </c>
      <c r="G31" s="66">
        <v>1.1086449519474462E-2</v>
      </c>
      <c r="H31" s="72">
        <f t="shared" si="2"/>
        <v>12129.221539585833</v>
      </c>
      <c r="I31" s="66">
        <v>3.6082102988836739E-2</v>
      </c>
      <c r="S31" s="125" t="s">
        <v>76</v>
      </c>
      <c r="T31" s="109">
        <f>W16</f>
        <v>8.7168963158409468E-2</v>
      </c>
      <c r="U31" s="109">
        <f>W17</f>
        <v>8.7168963158409468E-2</v>
      </c>
      <c r="V31" s="109">
        <f>W19</f>
        <v>3.0476623097616784E-2</v>
      </c>
      <c r="W31" s="109">
        <f>W21</f>
        <v>3.7459954633314529E-2</v>
      </c>
      <c r="X31" s="109">
        <f>W23</f>
        <v>3.7283451373914867E-2</v>
      </c>
    </row>
    <row r="32" spans="1:25" ht="15" customHeight="1" outlineLevel="1" x14ac:dyDescent="0.25">
      <c r="A32" s="65">
        <v>41060</v>
      </c>
      <c r="B32" s="141">
        <v>11886</v>
      </c>
      <c r="C32" s="66">
        <f t="shared" si="3"/>
        <v>-5.9577498219795855E-2</v>
      </c>
      <c r="D32" s="72">
        <f t="shared" si="0"/>
        <v>12231.019751020403</v>
      </c>
      <c r="E32" s="66">
        <v>-6.0101348833743184E-2</v>
      </c>
      <c r="F32" s="72">
        <f t="shared" si="1"/>
        <v>11737.546243037254</v>
      </c>
      <c r="G32" s="66">
        <v>9.048261106963329E-3</v>
      </c>
      <c r="H32" s="72">
        <f t="shared" si="2"/>
        <v>12165.307364825252</v>
      </c>
      <c r="I32" s="66">
        <v>2.9751146948422402E-3</v>
      </c>
      <c r="S32" s="110" t="s">
        <v>77</v>
      </c>
      <c r="T32" s="109">
        <f>X16</f>
        <v>0.22045159053480143</v>
      </c>
      <c r="U32" s="109">
        <f>X17</f>
        <v>0.22045159053480143</v>
      </c>
      <c r="V32" s="109">
        <f>X19</f>
        <v>9.594703356564982E-2</v>
      </c>
      <c r="W32" s="109">
        <f>X21</f>
        <v>9.1173247048137451E-2</v>
      </c>
      <c r="X32" s="109">
        <f>X23</f>
        <v>9.0319129659531816E-2</v>
      </c>
      <c r="Y32" s="127"/>
    </row>
    <row r="33" spans="1:24" ht="15" customHeight="1" outlineLevel="1" x14ac:dyDescent="0.25">
      <c r="A33" s="65">
        <v>41090</v>
      </c>
      <c r="B33" s="141">
        <v>12163</v>
      </c>
      <c r="C33" s="66">
        <f t="shared" si="3"/>
        <v>2.3304728251724693E-2</v>
      </c>
      <c r="D33" s="72">
        <f t="shared" si="0"/>
        <v>12734.968473632647</v>
      </c>
      <c r="E33" s="66">
        <v>4.1202510736702891E-2</v>
      </c>
      <c r="F33" s="72">
        <f t="shared" si="1"/>
        <v>11742.147779061768</v>
      </c>
      <c r="G33" s="66">
        <v>3.9203560345879573E-4</v>
      </c>
      <c r="H33" s="72">
        <f t="shared" si="2"/>
        <v>12688.720456148403</v>
      </c>
      <c r="I33" s="66">
        <v>4.3025060989132724E-2</v>
      </c>
      <c r="U33" s="64"/>
      <c r="V33" s="64"/>
      <c r="W33" s="64"/>
    </row>
    <row r="34" spans="1:24" ht="15" customHeight="1" outlineLevel="1" x14ac:dyDescent="0.25">
      <c r="A34" s="65">
        <v>41121</v>
      </c>
      <c r="B34" s="141">
        <v>12204</v>
      </c>
      <c r="C34" s="66">
        <f t="shared" si="3"/>
        <v>3.3708788950095325E-3</v>
      </c>
      <c r="D34" s="72">
        <f t="shared" si="0"/>
        <v>12911.84079096598</v>
      </c>
      <c r="E34" s="66">
        <v>1.3888712618295163E-2</v>
      </c>
      <c r="F34" s="72">
        <f t="shared" si="1"/>
        <v>11904.108885051355</v>
      </c>
      <c r="G34" s="66">
        <v>1.3793141513547491E-2</v>
      </c>
      <c r="H34" s="72">
        <f t="shared" si="2"/>
        <v>13215.927617882242</v>
      </c>
      <c r="I34" s="66">
        <v>4.1549277057197465E-2</v>
      </c>
      <c r="U34" s="64"/>
      <c r="V34" s="64"/>
    </row>
    <row r="35" spans="1:24" ht="15" customHeight="1" outlineLevel="1" x14ac:dyDescent="0.25">
      <c r="A35" s="65">
        <v>41152</v>
      </c>
      <c r="B35" s="141">
        <v>12566</v>
      </c>
      <c r="C35" s="66">
        <f t="shared" si="3"/>
        <v>2.9662405768600353E-2</v>
      </c>
      <c r="D35" s="72">
        <f t="shared" si="0"/>
        <v>13202.659179319722</v>
      </c>
      <c r="E35" s="66">
        <v>2.2523387103504211E-2</v>
      </c>
      <c r="F35" s="72">
        <f t="shared" si="1"/>
        <v>11911.886129036451</v>
      </c>
      <c r="G35" s="66">
        <v>6.5332433197595741E-4</v>
      </c>
      <c r="H35" s="72">
        <f t="shared" si="2"/>
        <v>13439.103270706404</v>
      </c>
      <c r="I35" s="66">
        <v>1.6886870091675332E-2</v>
      </c>
      <c r="U35" s="64"/>
      <c r="V35" s="64"/>
    </row>
    <row r="36" spans="1:24" ht="15" customHeight="1" outlineLevel="1" x14ac:dyDescent="0.25">
      <c r="A36" s="65">
        <v>41182</v>
      </c>
      <c r="B36" s="141">
        <v>12749</v>
      </c>
      <c r="C36" s="66">
        <f t="shared" si="3"/>
        <v>1.4563106796116498E-2</v>
      </c>
      <c r="D36" s="72">
        <f t="shared" si="0"/>
        <v>13543.850889850333</v>
      </c>
      <c r="E36" s="66">
        <v>2.5842650779400955E-2</v>
      </c>
      <c r="F36" s="72">
        <f t="shared" si="1"/>
        <v>11928.283151771693</v>
      </c>
      <c r="G36" s="66">
        <v>1.3765261485561009E-3</v>
      </c>
      <c r="H36" s="72">
        <f t="shared" si="2"/>
        <v>13816.908370934989</v>
      </c>
      <c r="I36" s="66">
        <v>2.811237421265278E-2</v>
      </c>
      <c r="U36" s="64"/>
      <c r="V36" s="64"/>
    </row>
    <row r="37" spans="1:24" ht="15" customHeight="1" outlineLevel="1" x14ac:dyDescent="0.25">
      <c r="A37" s="65">
        <v>41213</v>
      </c>
      <c r="B37" s="141">
        <v>12625</v>
      </c>
      <c r="C37" s="66">
        <f t="shared" si="3"/>
        <v>-9.7262530394540692E-3</v>
      </c>
      <c r="D37" s="72">
        <f t="shared" si="0"/>
        <v>13293.762160925166</v>
      </c>
      <c r="E37" s="66">
        <v>-1.8465112393741934E-2</v>
      </c>
      <c r="F37" s="72">
        <f t="shared" si="1"/>
        <v>11951.744504460061</v>
      </c>
      <c r="G37" s="66">
        <v>1.9668675189759011E-3</v>
      </c>
      <c r="H37" s="72">
        <f t="shared" si="2"/>
        <v>13590.528836430694</v>
      </c>
      <c r="I37" s="66">
        <v>-1.6384239399061418E-2</v>
      </c>
      <c r="U37" s="64"/>
      <c r="V37" s="64"/>
    </row>
    <row r="38" spans="1:24" ht="15" customHeight="1" outlineLevel="1" x14ac:dyDescent="0.25">
      <c r="A38" s="65">
        <v>41243</v>
      </c>
      <c r="B38" s="141">
        <v>12687</v>
      </c>
      <c r="C38" s="66">
        <f t="shared" si="3"/>
        <v>4.9108910891089153E-3</v>
      </c>
      <c r="D38" s="72">
        <f t="shared" si="0"/>
        <v>13370.857587700675</v>
      </c>
      <c r="E38" s="66">
        <v>5.7993685942507867E-3</v>
      </c>
      <c r="F38" s="72">
        <f t="shared" si="1"/>
        <v>11970.604321123916</v>
      </c>
      <c r="G38" s="66">
        <v>1.5779969741502864E-3</v>
      </c>
      <c r="H38" s="72">
        <f t="shared" si="2"/>
        <v>13181.780984186067</v>
      </c>
      <c r="I38" s="66">
        <v>-3.0075934289542916E-2</v>
      </c>
      <c r="S38" s="111"/>
      <c r="T38" s="111"/>
      <c r="U38" s="66"/>
      <c r="V38" s="66"/>
      <c r="W38" s="111"/>
      <c r="X38" s="111"/>
    </row>
    <row r="39" spans="1:24" ht="15" customHeight="1" outlineLevel="1" x14ac:dyDescent="0.25">
      <c r="A39" s="65">
        <v>41274</v>
      </c>
      <c r="B39" s="141">
        <v>12659</v>
      </c>
      <c r="C39" s="66">
        <f t="shared" si="3"/>
        <v>-2.2069835264444393E-3</v>
      </c>
      <c r="D39" s="72">
        <f t="shared" si="0"/>
        <v>13492.723314721083</v>
      </c>
      <c r="E39" s="66">
        <v>9.1142790371581128E-3</v>
      </c>
      <c r="F39" s="72">
        <f t="shared" si="1"/>
        <v>11953.559194723251</v>
      </c>
      <c r="G39" s="66">
        <v>-1.4239152797478338E-3</v>
      </c>
      <c r="H39" s="72">
        <f t="shared" si="2"/>
        <v>13011.890942463104</v>
      </c>
      <c r="I39" s="66">
        <v>-1.2888246430947214E-2</v>
      </c>
      <c r="S39" s="111"/>
      <c r="T39" s="111"/>
      <c r="U39" s="66"/>
      <c r="V39" s="66"/>
      <c r="W39" s="111"/>
      <c r="X39" s="111"/>
    </row>
    <row r="40" spans="1:24" ht="15" customHeight="1" outlineLevel="1" x14ac:dyDescent="0.25">
      <c r="A40" s="65">
        <v>41305</v>
      </c>
      <c r="B40" s="141">
        <v>13191</v>
      </c>
      <c r="C40" s="66">
        <f t="shared" si="3"/>
        <v>4.2025436448376752E-2</v>
      </c>
      <c r="D40" s="72">
        <f t="shared" si="0"/>
        <v>14191.592550312918</v>
      </c>
      <c r="E40" s="66">
        <v>5.1796010285732441E-2</v>
      </c>
      <c r="F40" s="72">
        <f t="shared" si="1"/>
        <v>11869.953821883488</v>
      </c>
      <c r="G40" s="66">
        <v>-6.9941823583949958E-3</v>
      </c>
      <c r="H40" s="72">
        <f t="shared" si="2"/>
        <v>14302.802321530246</v>
      </c>
      <c r="I40" s="66">
        <v>9.9210129010101955E-2</v>
      </c>
      <c r="U40" s="64"/>
      <c r="V40" s="64"/>
    </row>
    <row r="41" spans="1:24" ht="15" customHeight="1" outlineLevel="1" x14ac:dyDescent="0.25">
      <c r="A41" s="65">
        <v>41333</v>
      </c>
      <c r="B41" s="141">
        <v>13421</v>
      </c>
      <c r="C41" s="66">
        <f t="shared" si="3"/>
        <v>1.7436130695170915E-2</v>
      </c>
      <c r="D41" s="72">
        <f t="shared" si="0"/>
        <v>14384.250304435371</v>
      </c>
      <c r="E41" s="66">
        <v>1.3575485164151191E-2</v>
      </c>
      <c r="F41" s="72">
        <f t="shared" si="1"/>
        <v>11929.44973836946</v>
      </c>
      <c r="G41" s="66">
        <v>5.0123123795380309E-3</v>
      </c>
      <c r="H41" s="72">
        <f t="shared" si="2"/>
        <v>14531.542610956743</v>
      </c>
      <c r="I41" s="66">
        <v>1.5992690403206611E-2</v>
      </c>
    </row>
    <row r="42" spans="1:24" ht="15" customHeight="1" outlineLevel="1" x14ac:dyDescent="0.25">
      <c r="A42" s="65">
        <v>41364</v>
      </c>
      <c r="B42" s="141">
        <v>14078</v>
      </c>
      <c r="C42" s="66">
        <f t="shared" si="3"/>
        <v>4.8953133149541861E-2</v>
      </c>
      <c r="D42" s="72">
        <f t="shared" si="0"/>
        <v>14923.702791020405</v>
      </c>
      <c r="E42" s="66">
        <v>3.7502996344459749E-2</v>
      </c>
      <c r="F42" s="72">
        <f t="shared" si="1"/>
        <v>11938.9768622512</v>
      </c>
      <c r="G42" s="66">
        <v>7.9862224081450606E-4</v>
      </c>
      <c r="H42" s="72">
        <f t="shared" si="2"/>
        <v>15332.765969017944</v>
      </c>
      <c r="I42" s="66">
        <v>5.5136841250224888E-2</v>
      </c>
    </row>
    <row r="43" spans="1:24" ht="15" customHeight="1" outlineLevel="1" x14ac:dyDescent="0.25">
      <c r="A43" s="65">
        <v>41394</v>
      </c>
      <c r="B43" s="141">
        <v>14350</v>
      </c>
      <c r="C43" s="66">
        <f t="shared" si="3"/>
        <v>1.932092626793569E-2</v>
      </c>
      <c r="D43" s="72">
        <f t="shared" si="0"/>
        <v>15211.2347915102</v>
      </c>
      <c r="E43" s="66">
        <v>1.9266800238262771E-2</v>
      </c>
      <c r="F43" s="72">
        <f t="shared" si="1"/>
        <v>12059.783385486329</v>
      </c>
      <c r="G43" s="66">
        <v>1.0118666333720494E-2</v>
      </c>
      <c r="H43" s="72">
        <f t="shared" si="2"/>
        <v>15469.352503802658</v>
      </c>
      <c r="I43" s="66">
        <v>8.9081471054019978E-3</v>
      </c>
      <c r="T43" s="112"/>
      <c r="U43" s="112"/>
      <c r="V43" s="112"/>
      <c r="W43" s="112"/>
    </row>
    <row r="44" spans="1:24" ht="15" customHeight="1" outlineLevel="1" x14ac:dyDescent="0.25">
      <c r="A44" s="65">
        <v>41425</v>
      </c>
      <c r="B44" s="141">
        <v>14581</v>
      </c>
      <c r="C44" s="66">
        <f t="shared" si="3"/>
        <v>1.609756097560977E-2</v>
      </c>
      <c r="D44" s="72">
        <f t="shared" si="0"/>
        <v>15567.026684190472</v>
      </c>
      <c r="E44" s="66">
        <v>2.3390073031996694E-2</v>
      </c>
      <c r="F44" s="72">
        <f t="shared" si="1"/>
        <v>11844.612968565389</v>
      </c>
      <c r="G44" s="66">
        <v>-1.7841980244843625E-2</v>
      </c>
      <c r="H44" s="72">
        <f t="shared" si="2"/>
        <v>13517.598371869721</v>
      </c>
      <c r="I44" s="66">
        <v>-0.12616909023523515</v>
      </c>
      <c r="T44" s="112"/>
      <c r="U44" s="112"/>
      <c r="V44" s="112"/>
      <c r="W44" s="112"/>
    </row>
    <row r="45" spans="1:24" ht="15" customHeight="1" outlineLevel="1" x14ac:dyDescent="0.25">
      <c r="A45" s="65">
        <v>41455</v>
      </c>
      <c r="B45" s="141">
        <v>14404</v>
      </c>
      <c r="C45" s="66">
        <f t="shared" si="3"/>
        <v>-1.2139085110760561E-2</v>
      </c>
      <c r="D45" s="72">
        <f t="shared" si="0"/>
        <v>15357.99086595918</v>
      </c>
      <c r="E45" s="66">
        <v>-1.3428114595806839E-2</v>
      </c>
      <c r="F45" s="72">
        <f t="shared" si="1"/>
        <v>11661.394062349877</v>
      </c>
      <c r="G45" s="66">
        <v>-1.546854310071244E-2</v>
      </c>
      <c r="H45" s="72">
        <f t="shared" si="2"/>
        <v>12981.707004529198</v>
      </c>
      <c r="I45" s="66">
        <v>-3.9643977620737569E-2</v>
      </c>
      <c r="T45" s="112"/>
      <c r="U45" s="112"/>
      <c r="V45" s="112"/>
      <c r="W45" s="112"/>
    </row>
    <row r="46" spans="1:24" ht="15" customHeight="1" outlineLevel="1" x14ac:dyDescent="0.25">
      <c r="A46" s="65">
        <v>41486</v>
      </c>
      <c r="B46" s="141">
        <v>15074</v>
      </c>
      <c r="C46" s="66">
        <f t="shared" si="3"/>
        <v>4.6514856984171127E-2</v>
      </c>
      <c r="D46" s="72">
        <f t="shared" si="0"/>
        <v>16139.504675047616</v>
      </c>
      <c r="E46" s="66">
        <v>5.0886461380873271E-2</v>
      </c>
      <c r="F46" s="72">
        <f t="shared" si="1"/>
        <v>11677.33741251932</v>
      </c>
      <c r="G46" s="66">
        <v>1.3671907564567487E-3</v>
      </c>
      <c r="H46" s="72">
        <f t="shared" si="2"/>
        <v>12730.708168693338</v>
      </c>
      <c r="I46" s="66">
        <v>-1.9334809801845765E-2</v>
      </c>
      <c r="T46" s="112"/>
      <c r="U46" s="112"/>
      <c r="V46" s="112"/>
      <c r="W46" s="112"/>
    </row>
    <row r="47" spans="1:24" ht="15" customHeight="1" outlineLevel="1" x14ac:dyDescent="0.25">
      <c r="A47" s="65">
        <v>41517</v>
      </c>
      <c r="B47" s="141">
        <v>14644</v>
      </c>
      <c r="C47" s="66">
        <f t="shared" si="3"/>
        <v>-2.8525938702401499E-2</v>
      </c>
      <c r="D47" s="72">
        <f t="shared" si="0"/>
        <v>15672.083345414965</v>
      </c>
      <c r="E47" s="66">
        <v>-2.8961318147223247E-2</v>
      </c>
      <c r="F47" s="72">
        <f t="shared" si="1"/>
        <v>11617.647064933721</v>
      </c>
      <c r="G47" s="66">
        <v>-5.1116402204499645E-3</v>
      </c>
      <c r="H47" s="72">
        <f t="shared" si="2"/>
        <v>12263.615944799931</v>
      </c>
      <c r="I47" s="66">
        <v>-3.6690199610580621E-2</v>
      </c>
      <c r="T47" s="112"/>
      <c r="U47" s="112"/>
      <c r="V47" s="112"/>
      <c r="W47" s="112"/>
    </row>
    <row r="48" spans="1:24" ht="15" customHeight="1" outlineLevel="1" x14ac:dyDescent="0.25">
      <c r="A48" s="65">
        <v>41547</v>
      </c>
      <c r="B48" s="141">
        <v>14880</v>
      </c>
      <c r="C48" s="66">
        <f t="shared" si="3"/>
        <v>1.6115815350997043E-2</v>
      </c>
      <c r="D48" s="72">
        <f t="shared" si="0"/>
        <v>16163.533019102038</v>
      </c>
      <c r="E48" s="66">
        <v>3.135828612287539E-2</v>
      </c>
      <c r="F48" s="72">
        <f t="shared" si="1"/>
        <v>11727.630256956261</v>
      </c>
      <c r="G48" s="66">
        <v>9.4669076627840187E-3</v>
      </c>
      <c r="H48" s="72">
        <f t="shared" si="2"/>
        <v>12736.357117971471</v>
      </c>
      <c r="I48" s="66">
        <v>3.8548269556010872E-2</v>
      </c>
      <c r="T48" s="112"/>
      <c r="U48" s="112"/>
      <c r="V48" s="112"/>
      <c r="W48" s="112"/>
    </row>
    <row r="49" spans="1:23" ht="15" customHeight="1" outlineLevel="1" x14ac:dyDescent="0.25">
      <c r="A49" s="65">
        <v>41578</v>
      </c>
      <c r="B49" s="141">
        <v>15321</v>
      </c>
      <c r="C49" s="66">
        <f t="shared" si="3"/>
        <v>2.9637096774193461E-2</v>
      </c>
      <c r="D49" s="72">
        <f t="shared" si="0"/>
        <v>16906.526052408164</v>
      </c>
      <c r="E49" s="66">
        <v>4.5967241965482186E-2</v>
      </c>
      <c r="F49" s="72">
        <f t="shared" si="1"/>
        <v>11822.447823207869</v>
      </c>
      <c r="G49" s="66">
        <v>8.0849723408842333E-3</v>
      </c>
      <c r="H49" s="72">
        <f t="shared" si="2"/>
        <v>12809.877771262996</v>
      </c>
      <c r="I49" s="66">
        <v>5.7725024989905283E-3</v>
      </c>
      <c r="T49" s="112"/>
      <c r="U49" s="112"/>
      <c r="V49" s="112"/>
      <c r="W49" s="112"/>
    </row>
    <row r="50" spans="1:23" ht="15" customHeight="1" outlineLevel="1" x14ac:dyDescent="0.25">
      <c r="A50" s="65">
        <v>41608</v>
      </c>
      <c r="B50" s="141">
        <v>15709</v>
      </c>
      <c r="C50" s="66">
        <f t="shared" si="3"/>
        <v>2.5324717707721378E-2</v>
      </c>
      <c r="D50" s="72">
        <f t="shared" si="0"/>
        <v>17421.734694095238</v>
      </c>
      <c r="E50" s="66">
        <v>3.0473950715243836E-2</v>
      </c>
      <c r="F50" s="72">
        <f t="shared" si="1"/>
        <v>11778.182342859373</v>
      </c>
      <c r="G50" s="66">
        <v>-3.7441891062188759E-3</v>
      </c>
      <c r="H50" s="72">
        <f t="shared" si="2"/>
        <v>12385.27913596928</v>
      </c>
      <c r="I50" s="66">
        <v>-3.3146189438765683E-2</v>
      </c>
      <c r="T50" s="112"/>
      <c r="U50" s="112"/>
      <c r="V50" s="112"/>
      <c r="W50" s="112"/>
    </row>
    <row r="51" spans="1:23" ht="15" customHeight="1" outlineLevel="1" x14ac:dyDescent="0.25">
      <c r="A51" s="65">
        <v>41639</v>
      </c>
      <c r="B51" s="141">
        <v>16068</v>
      </c>
      <c r="C51" s="66">
        <f t="shared" si="3"/>
        <v>2.2853141511235631E-2</v>
      </c>
      <c r="D51" s="72">
        <f t="shared" si="0"/>
        <v>17862.811045605446</v>
      </c>
      <c r="E51" s="66">
        <v>2.5317590886038577E-2</v>
      </c>
      <c r="F51" s="72">
        <f t="shared" si="1"/>
        <v>11711.622096420275</v>
      </c>
      <c r="G51" s="66">
        <v>-5.6511475626330743E-3</v>
      </c>
      <c r="H51" s="72">
        <f t="shared" si="2"/>
        <v>12799.338686788869</v>
      </c>
      <c r="I51" s="66">
        <v>3.3431588119566813E-2</v>
      </c>
      <c r="T51" s="112"/>
      <c r="U51" s="112"/>
      <c r="V51" s="112"/>
      <c r="W51" s="112"/>
    </row>
    <row r="52" spans="1:23" ht="15" customHeight="1" outlineLevel="1" x14ac:dyDescent="0.25">
      <c r="A52" s="65">
        <v>41670</v>
      </c>
      <c r="B52" s="141">
        <v>15416</v>
      </c>
      <c r="C52" s="66">
        <f t="shared" si="3"/>
        <v>-4.0577545431914386E-2</v>
      </c>
      <c r="D52" s="72">
        <f t="shared" si="0"/>
        <v>17245.185628027211</v>
      </c>
      <c r="E52" s="66">
        <v>-3.4576048305128282E-2</v>
      </c>
      <c r="F52" s="72">
        <f t="shared" si="1"/>
        <v>11884.665775088621</v>
      </c>
      <c r="G52" s="66">
        <v>1.4775381005611266E-2</v>
      </c>
      <c r="H52" s="72">
        <f t="shared" si="2"/>
        <v>13534.039343649367</v>
      </c>
      <c r="I52" s="66">
        <v>5.7401454468802848E-2</v>
      </c>
      <c r="T52" s="112"/>
      <c r="U52" s="112"/>
      <c r="V52" s="112"/>
      <c r="W52" s="112"/>
    </row>
    <row r="53" spans="1:23" ht="15" customHeight="1" outlineLevel="1" x14ac:dyDescent="0.25">
      <c r="A53" s="65">
        <v>41698</v>
      </c>
      <c r="B53" s="141">
        <v>15792</v>
      </c>
      <c r="C53" s="66">
        <f t="shared" si="3"/>
        <v>2.4390243902439046E-2</v>
      </c>
      <c r="D53" s="72">
        <f t="shared" si="0"/>
        <v>18034.080341006804</v>
      </c>
      <c r="E53" s="66">
        <v>4.5745794217341818E-2</v>
      </c>
      <c r="F53" s="72">
        <f t="shared" si="1"/>
        <v>11947.855882467511</v>
      </c>
      <c r="G53" s="66">
        <v>5.3169444202076921E-3</v>
      </c>
      <c r="H53" s="72">
        <f t="shared" si="2"/>
        <v>14119.506564356196</v>
      </c>
      <c r="I53" s="66">
        <v>4.3258867943335E-2</v>
      </c>
      <c r="T53" s="112"/>
      <c r="U53" s="113"/>
      <c r="V53" s="113"/>
      <c r="W53" s="113"/>
    </row>
    <row r="54" spans="1:23" ht="15" customHeight="1" outlineLevel="1" x14ac:dyDescent="0.25">
      <c r="A54" s="65">
        <v>41729</v>
      </c>
      <c r="B54" s="141">
        <v>16163</v>
      </c>
      <c r="C54" s="66">
        <f t="shared" si="3"/>
        <v>2.349290780141855E-2</v>
      </c>
      <c r="D54" s="72">
        <f t="shared" si="0"/>
        <v>18185.631309224493</v>
      </c>
      <c r="E54" s="66">
        <v>8.4035872831886849E-3</v>
      </c>
      <c r="F54" s="72">
        <f t="shared" si="1"/>
        <v>11927.50542737318</v>
      </c>
      <c r="G54" s="66">
        <v>-1.7032725615809818E-3</v>
      </c>
      <c r="H54" s="72">
        <f t="shared" si="2"/>
        <v>14197.748727492131</v>
      </c>
      <c r="I54" s="66">
        <v>5.5414233336916752E-3</v>
      </c>
      <c r="T54" s="112"/>
      <c r="U54" s="113"/>
      <c r="V54" s="113"/>
      <c r="W54" s="113"/>
    </row>
    <row r="55" spans="1:23" ht="15" customHeight="1" outlineLevel="1" x14ac:dyDescent="0.25">
      <c r="A55" s="65">
        <v>41759</v>
      </c>
      <c r="B55" s="141">
        <v>16252</v>
      </c>
      <c r="C55" s="66">
        <f t="shared" si="3"/>
        <v>5.5064035141991763E-3</v>
      </c>
      <c r="D55" s="72">
        <f t="shared" si="0"/>
        <v>18320.049960380955</v>
      </c>
      <c r="E55" s="66">
        <v>7.3914756584929631E-3</v>
      </c>
      <c r="F55" s="72">
        <f t="shared" si="1"/>
        <v>12028.155926613608</v>
      </c>
      <c r="G55" s="66">
        <v>8.4385205148964637E-3</v>
      </c>
      <c r="H55" s="72">
        <f t="shared" si="2"/>
        <v>14439.979045045517</v>
      </c>
      <c r="I55" s="66">
        <v>1.7061177951708473E-2</v>
      </c>
      <c r="T55" s="112"/>
      <c r="U55" s="113"/>
      <c r="V55" s="113"/>
      <c r="W55" s="113"/>
    </row>
    <row r="56" spans="1:23" ht="15" customHeight="1" outlineLevel="1" x14ac:dyDescent="0.25">
      <c r="A56" s="65">
        <v>41790</v>
      </c>
      <c r="B56" s="141">
        <v>16496</v>
      </c>
      <c r="C56" s="66">
        <f t="shared" si="3"/>
        <v>1.5013536795471349E-2</v>
      </c>
      <c r="D56" s="72">
        <f t="shared" si="0"/>
        <v>18750.13576887075</v>
      </c>
      <c r="E56" s="66">
        <v>2.3476235568129056E-2</v>
      </c>
      <c r="F56" s="72">
        <f t="shared" si="1"/>
        <v>12165.100231117807</v>
      </c>
      <c r="G56" s="66">
        <v>1.1385311708604906E-2</v>
      </c>
      <c r="H56" s="72">
        <f t="shared" si="2"/>
        <v>14774.700367943859</v>
      </c>
      <c r="I56" s="66">
        <v>2.3180180653599169E-2</v>
      </c>
      <c r="T56" s="112"/>
      <c r="U56" s="113"/>
      <c r="V56" s="113"/>
      <c r="W56" s="113"/>
    </row>
    <row r="57" spans="1:23" ht="15" customHeight="1" outlineLevel="1" x14ac:dyDescent="0.25">
      <c r="A57" s="65">
        <v>41820</v>
      </c>
      <c r="B57" s="141">
        <v>16760</v>
      </c>
      <c r="C57" s="66">
        <f t="shared" si="3"/>
        <v>1.600387972841899E-2</v>
      </c>
      <c r="D57" s="72">
        <f t="shared" si="0"/>
        <v>19137.444659918368</v>
      </c>
      <c r="E57" s="66">
        <v>2.0656324616626698E-2</v>
      </c>
      <c r="F57" s="72">
        <f t="shared" si="1"/>
        <v>12171.386836672425</v>
      </c>
      <c r="G57" s="66">
        <v>5.1677383952308809E-4</v>
      </c>
      <c r="H57" s="72">
        <f t="shared" si="2"/>
        <v>15010.522922136974</v>
      </c>
      <c r="I57" s="66">
        <v>1.5961241062104392E-2</v>
      </c>
      <c r="T57" s="112"/>
      <c r="U57" s="113"/>
      <c r="V57" s="113"/>
      <c r="W57" s="113"/>
    </row>
    <row r="58" spans="1:23" ht="15" customHeight="1" outlineLevel="1" x14ac:dyDescent="0.25">
      <c r="A58" s="65">
        <v>41851</v>
      </c>
      <c r="B58" s="141">
        <v>16538</v>
      </c>
      <c r="C58" s="66">
        <f t="shared" si="3"/>
        <v>-1.3245823389021472E-2</v>
      </c>
      <c r="D58" s="72">
        <f t="shared" si="0"/>
        <v>18873.510001795919</v>
      </c>
      <c r="E58" s="66">
        <v>-1.3791530834586063E-2</v>
      </c>
      <c r="F58" s="72">
        <f t="shared" si="1"/>
        <v>12140.86115403093</v>
      </c>
      <c r="G58" s="66">
        <v>-2.5079872204473164E-3</v>
      </c>
      <c r="H58" s="72">
        <f t="shared" si="2"/>
        <v>14646.460788062655</v>
      </c>
      <c r="I58" s="66">
        <v>-2.4253794219081692E-2</v>
      </c>
      <c r="T58" s="112"/>
      <c r="U58" s="113"/>
      <c r="V58" s="113"/>
      <c r="W58" s="113"/>
    </row>
    <row r="59" spans="1:23" ht="15" customHeight="1" outlineLevel="1" x14ac:dyDescent="0.25">
      <c r="A59" s="65">
        <v>41882</v>
      </c>
      <c r="B59" s="141">
        <v>17304</v>
      </c>
      <c r="C59" s="66">
        <f t="shared" si="3"/>
        <v>4.6317571653162304E-2</v>
      </c>
      <c r="D59" s="72">
        <f t="shared" si="0"/>
        <v>19628.571082340139</v>
      </c>
      <c r="E59" s="66">
        <v>4.0006394172168891E-2</v>
      </c>
      <c r="F59" s="72">
        <f t="shared" si="1"/>
        <v>12274.888992040722</v>
      </c>
      <c r="G59" s="66">
        <v>1.1039401267289195E-2</v>
      </c>
      <c r="H59" s="72">
        <f t="shared" si="2"/>
        <v>15318.011250754169</v>
      </c>
      <c r="I59" s="66">
        <v>4.5850698841787718E-2</v>
      </c>
      <c r="T59" s="112"/>
      <c r="U59" s="113"/>
      <c r="V59" s="113"/>
      <c r="W59" s="113"/>
    </row>
    <row r="60" spans="1:23" ht="15" customHeight="1" outlineLevel="1" x14ac:dyDescent="0.25">
      <c r="A60" s="65">
        <v>41912</v>
      </c>
      <c r="B60" s="141">
        <v>16963</v>
      </c>
      <c r="C60" s="66">
        <f t="shared" si="3"/>
        <v>-1.9706426259824328E-2</v>
      </c>
      <c r="D60" s="72">
        <f t="shared" si="0"/>
        <v>19353.322629931976</v>
      </c>
      <c r="E60" s="66">
        <v>-1.4022847167708741E-2</v>
      </c>
      <c r="F60" s="72">
        <f t="shared" si="1"/>
        <v>12191.542860667128</v>
      </c>
      <c r="G60" s="66">
        <v>-6.7899702740804591E-3</v>
      </c>
      <c r="H60" s="72">
        <f t="shared" si="2"/>
        <v>14359.966315717928</v>
      </c>
      <c r="I60" s="66">
        <v>-6.25436892135115E-2</v>
      </c>
      <c r="T60" s="112"/>
      <c r="U60" s="113"/>
      <c r="V60" s="113"/>
      <c r="W60" s="113"/>
    </row>
    <row r="61" spans="1:23" ht="15" customHeight="1" outlineLevel="1" x14ac:dyDescent="0.25">
      <c r="A61" s="65">
        <v>41943</v>
      </c>
      <c r="B61" s="141">
        <v>17653</v>
      </c>
      <c r="C61" s="66">
        <f t="shared" si="3"/>
        <v>4.067676708129464E-2</v>
      </c>
      <c r="D61" s="72">
        <f t="shared" si="0"/>
        <v>19826.023730231293</v>
      </c>
      <c r="E61" s="66">
        <v>2.4424803396200012E-2</v>
      </c>
      <c r="F61" s="72">
        <f t="shared" si="1"/>
        <v>12311.377228404122</v>
      </c>
      <c r="G61" s="66">
        <v>9.8293029115787967E-3</v>
      </c>
      <c r="H61" s="72">
        <f t="shared" si="2"/>
        <v>15089.523899355048</v>
      </c>
      <c r="I61" s="66">
        <v>5.0804964830493571E-2</v>
      </c>
      <c r="T61" s="112"/>
      <c r="U61" s="113"/>
      <c r="V61" s="113"/>
      <c r="W61" s="113"/>
    </row>
    <row r="62" spans="1:23" ht="15" customHeight="1" outlineLevel="1" x14ac:dyDescent="0.25">
      <c r="A62" s="65">
        <v>41973</v>
      </c>
      <c r="B62" s="141">
        <v>18197</v>
      </c>
      <c r="C62" s="66">
        <f t="shared" si="3"/>
        <v>3.0816291848410948E-2</v>
      </c>
      <c r="D62" s="72">
        <f t="shared" si="0"/>
        <v>20359.226692353743</v>
      </c>
      <c r="E62" s="66">
        <v>2.6894094820909986E-2</v>
      </c>
      <c r="F62" s="72">
        <f t="shared" si="1"/>
        <v>12398.741602503347</v>
      </c>
      <c r="G62" s="66">
        <v>7.0962307854285367E-3</v>
      </c>
      <c r="H62" s="72">
        <f t="shared" si="2"/>
        <v>15413.53751242768</v>
      </c>
      <c r="I62" s="66">
        <v>2.147275256885206E-2</v>
      </c>
      <c r="T62" s="112"/>
      <c r="U62" s="113"/>
      <c r="V62" s="113"/>
      <c r="W62" s="113"/>
    </row>
    <row r="63" spans="1:23" ht="15" customHeight="1" outlineLevel="1" x14ac:dyDescent="0.25">
      <c r="A63" s="65">
        <v>42004</v>
      </c>
      <c r="B63" s="141">
        <v>18193</v>
      </c>
      <c r="C63" s="66">
        <f t="shared" si="3"/>
        <v>-2.1981645326152321E-4</v>
      </c>
      <c r="D63" s="72">
        <f t="shared" si="0"/>
        <v>20307.937491591838</v>
      </c>
      <c r="E63" s="66">
        <v>-2.5192116349471716E-3</v>
      </c>
      <c r="F63" s="72">
        <f t="shared" si="1"/>
        <v>12410.342658114445</v>
      </c>
      <c r="G63" s="66">
        <v>9.3566395550626069E-4</v>
      </c>
      <c r="H63" s="72">
        <f t="shared" si="2"/>
        <v>15017.183623524628</v>
      </c>
      <c r="I63" s="66">
        <v>-2.5714660802783174E-2</v>
      </c>
      <c r="T63" s="112"/>
      <c r="U63" s="113"/>
      <c r="V63" s="113"/>
      <c r="W63" s="113"/>
    </row>
    <row r="64" spans="1:23" ht="15" customHeight="1" outlineLevel="1" x14ac:dyDescent="0.25">
      <c r="A64" s="65">
        <v>42035</v>
      </c>
      <c r="B64" s="141">
        <v>17498</v>
      </c>
      <c r="C64" s="66">
        <f t="shared" si="3"/>
        <v>-3.8201506073764602E-2</v>
      </c>
      <c r="D64" s="72">
        <f t="shared" si="0"/>
        <v>19698.28560522449</v>
      </c>
      <c r="E64" s="66">
        <v>-3.0020374379218118E-2</v>
      </c>
      <c r="F64" s="72">
        <f t="shared" si="1"/>
        <v>12670.55627978239</v>
      </c>
      <c r="G64" s="66">
        <v>2.0967480821152407E-2</v>
      </c>
      <c r="H64" s="72">
        <f t="shared" si="2"/>
        <v>14949.143294159649</v>
      </c>
      <c r="I64" s="66">
        <v>-4.530831550757175E-3</v>
      </c>
      <c r="T64" s="112"/>
      <c r="U64" s="113"/>
      <c r="V64" s="113"/>
      <c r="W64" s="113"/>
    </row>
    <row r="65" spans="1:23" ht="15" customHeight="1" outlineLevel="1" x14ac:dyDescent="0.25">
      <c r="A65" s="65">
        <v>42063</v>
      </c>
      <c r="B65" s="141">
        <v>18459</v>
      </c>
      <c r="C65" s="66">
        <f t="shared" si="3"/>
        <v>5.4920562349982882E-2</v>
      </c>
      <c r="D65" s="72">
        <f t="shared" si="0"/>
        <v>20830.4192867483</v>
      </c>
      <c r="E65" s="66">
        <v>5.747371645497612E-2</v>
      </c>
      <c r="F65" s="72">
        <f t="shared" si="1"/>
        <v>12551.434826077364</v>
      </c>
      <c r="G65" s="66">
        <v>-9.4014383484567476E-3</v>
      </c>
      <c r="H65" s="72">
        <f t="shared" si="2"/>
        <v>15224.002617244942</v>
      </c>
      <c r="I65" s="66">
        <v>1.8386292624051226E-2</v>
      </c>
      <c r="T65" s="112"/>
      <c r="U65" s="113"/>
      <c r="V65" s="113"/>
      <c r="W65" s="113"/>
    </row>
    <row r="66" spans="1:23" ht="15" customHeight="1" outlineLevel="1" x14ac:dyDescent="0.25">
      <c r="A66" s="65">
        <v>42094</v>
      </c>
      <c r="B66" s="141">
        <v>18188</v>
      </c>
      <c r="C66" s="66">
        <f t="shared" si="3"/>
        <v>-1.468118532964946E-2</v>
      </c>
      <c r="D66" s="72">
        <f t="shared" si="0"/>
        <v>20500.972372190474</v>
      </c>
      <c r="E66" s="66">
        <v>-1.581566410271007E-2</v>
      </c>
      <c r="F66" s="72">
        <f t="shared" si="1"/>
        <v>12609.699345599027</v>
      </c>
      <c r="G66" s="66">
        <v>4.6420604758756756E-3</v>
      </c>
      <c r="H66" s="72">
        <f t="shared" si="2"/>
        <v>15368.767481581579</v>
      </c>
      <c r="I66" s="66">
        <v>9.5089884031323013E-3</v>
      </c>
      <c r="T66" s="112"/>
      <c r="U66" s="113"/>
      <c r="V66" s="113"/>
      <c r="W66" s="113"/>
    </row>
    <row r="67" spans="1:23" ht="15" customHeight="1" outlineLevel="1" x14ac:dyDescent="0.25">
      <c r="A67" s="65">
        <v>42124</v>
      </c>
      <c r="B67" s="141">
        <v>18338</v>
      </c>
      <c r="C67" s="66">
        <f t="shared" si="3"/>
        <v>8.2471959533758632E-3</v>
      </c>
      <c r="D67" s="72">
        <f t="shared" si="0"/>
        <v>20697.67076712925</v>
      </c>
      <c r="E67" s="66">
        <v>9.5945885574479917E-3</v>
      </c>
      <c r="F67" s="72">
        <f t="shared" si="1"/>
        <v>12564.461709752395</v>
      </c>
      <c r="G67" s="66">
        <v>-3.5875269193011983E-3</v>
      </c>
      <c r="H67" s="72">
        <f t="shared" si="2"/>
        <v>15289.26062830875</v>
      </c>
      <c r="I67" s="66">
        <v>-5.1732745236801048E-3</v>
      </c>
      <c r="T67" s="112"/>
      <c r="U67" s="113"/>
      <c r="V67" s="113"/>
      <c r="W67" s="113"/>
    </row>
    <row r="68" spans="1:23" ht="15" customHeight="1" outlineLevel="1" x14ac:dyDescent="0.25">
      <c r="A68" s="65">
        <v>42155</v>
      </c>
      <c r="B68" s="141">
        <v>18501</v>
      </c>
      <c r="C68" s="66">
        <f t="shared" si="3"/>
        <v>8.8886465263386949E-3</v>
      </c>
      <c r="D68" s="72">
        <f t="shared" ref="D68:D95" si="16">D67*(1+E68)</f>
        <v>20963.814308897956</v>
      </c>
      <c r="E68" s="66">
        <v>1.2858622825877575E-2</v>
      </c>
      <c r="F68" s="72">
        <f t="shared" ref="F68:F123" si="17">F67*(1+G68)</f>
        <v>12534.19526857707</v>
      </c>
      <c r="G68" s="66">
        <v>-2.4088927862172538E-3</v>
      </c>
      <c r="H68" s="72">
        <f t="shared" ref="H68:H123" si="18">H67*(1+I68)</f>
        <v>15350.13438023132</v>
      </c>
      <c r="I68" s="66">
        <v>3.9814712694385967E-3</v>
      </c>
      <c r="T68" s="112"/>
      <c r="U68" s="113"/>
      <c r="V68" s="113"/>
      <c r="W68" s="113"/>
    </row>
    <row r="69" spans="1:23" ht="15" customHeight="1" outlineLevel="1" x14ac:dyDescent="0.25">
      <c r="A69" s="65">
        <v>42185</v>
      </c>
      <c r="B69" s="141">
        <v>18343</v>
      </c>
      <c r="C69" s="66">
        <f t="shared" ref="C69:C95" si="19">B69/B68-1</f>
        <v>-8.5400789146532485E-3</v>
      </c>
      <c r="D69" s="72">
        <f t="shared" si="16"/>
        <v>20557.97234530612</v>
      </c>
      <c r="E69" s="66">
        <v>-1.9359166114135018E-2</v>
      </c>
      <c r="F69" s="72">
        <f t="shared" si="17"/>
        <v>12397.51020553904</v>
      </c>
      <c r="G69" s="66">
        <v>-1.0904973164148513E-2</v>
      </c>
      <c r="H69" s="72">
        <f t="shared" si="18"/>
        <v>14283.494718773651</v>
      </c>
      <c r="I69" s="66">
        <v>-6.9487317507222812E-2</v>
      </c>
      <c r="T69" s="112"/>
      <c r="U69" s="113"/>
      <c r="V69" s="113"/>
      <c r="W69" s="113"/>
    </row>
    <row r="70" spans="1:23" ht="15" customHeight="1" outlineLevel="1" x14ac:dyDescent="0.25">
      <c r="A70" s="65">
        <v>42216</v>
      </c>
      <c r="B70" s="141">
        <v>18250</v>
      </c>
      <c r="C70" s="66">
        <f t="shared" si="19"/>
        <v>-5.0700539715422543E-3</v>
      </c>
      <c r="D70" s="72">
        <f t="shared" si="16"/>
        <v>20988.704656326528</v>
      </c>
      <c r="E70" s="66">
        <v>2.0952081449742588E-2</v>
      </c>
      <c r="F70" s="72">
        <f t="shared" si="17"/>
        <v>12483.7079930405</v>
      </c>
      <c r="G70" s="66">
        <v>6.9528305339041641E-3</v>
      </c>
      <c r="H70" s="72">
        <f t="shared" si="18"/>
        <v>14692.242571018278</v>
      </c>
      <c r="I70" s="66">
        <v>2.8616795839703446E-2</v>
      </c>
      <c r="T70" s="112"/>
      <c r="U70" s="113"/>
      <c r="V70" s="113"/>
      <c r="W70" s="113"/>
    </row>
    <row r="71" spans="1:23" ht="15" customHeight="1" outlineLevel="1" x14ac:dyDescent="0.25">
      <c r="A71" s="65">
        <v>42247</v>
      </c>
      <c r="B71" s="141">
        <v>16888</v>
      </c>
      <c r="C71" s="66">
        <f t="shared" si="19"/>
        <v>-7.4630136986301387E-2</v>
      </c>
      <c r="D71" s="72">
        <f t="shared" si="16"/>
        <v>19722.367824489793</v>
      </c>
      <c r="E71" s="66">
        <v>-6.0334206068073382E-2</v>
      </c>
      <c r="F71" s="72">
        <f t="shared" si="17"/>
        <v>12465.755521508239</v>
      </c>
      <c r="G71" s="66">
        <v>-1.4380720489671761E-3</v>
      </c>
      <c r="H71" s="72">
        <f t="shared" si="18"/>
        <v>14158.964896627338</v>
      </c>
      <c r="I71" s="66">
        <v>-3.6296547093693898E-2</v>
      </c>
      <c r="U71" s="64"/>
      <c r="V71" s="64"/>
      <c r="W71" s="64"/>
    </row>
    <row r="72" spans="1:23" ht="15" customHeight="1" outlineLevel="1" x14ac:dyDescent="0.25">
      <c r="A72" s="65">
        <v>42277</v>
      </c>
      <c r="B72" s="141">
        <v>15995</v>
      </c>
      <c r="C72" s="66">
        <f t="shared" si="19"/>
        <v>-5.2877783041212711E-2</v>
      </c>
      <c r="D72" s="72">
        <f t="shared" si="16"/>
        <v>19234.366164299317</v>
      </c>
      <c r="E72" s="66">
        <v>-2.4743563477429453E-2</v>
      </c>
      <c r="F72" s="72">
        <f t="shared" si="17"/>
        <v>12550.073808379968</v>
      </c>
      <c r="G72" s="66">
        <v>6.7639933035945621E-3</v>
      </c>
      <c r="H72" s="72">
        <f t="shared" si="18"/>
        <v>13805.273221675563</v>
      </c>
      <c r="I72" s="66">
        <v>-2.4980051686972149E-2</v>
      </c>
      <c r="U72" s="64"/>
      <c r="V72" s="64"/>
      <c r="W72" s="64"/>
    </row>
    <row r="73" spans="1:23" ht="15" customHeight="1" outlineLevel="1" x14ac:dyDescent="0.25">
      <c r="A73" s="65">
        <v>42308</v>
      </c>
      <c r="B73" s="141">
        <v>17092</v>
      </c>
      <c r="C73" s="66">
        <f t="shared" si="19"/>
        <v>6.8583932478899712E-2</v>
      </c>
      <c r="D73" s="72">
        <f t="shared" si="16"/>
        <v>20856.872015292513</v>
      </c>
      <c r="E73" s="66">
        <v>8.4354526535150853E-2</v>
      </c>
      <c r="F73" s="72">
        <f t="shared" si="17"/>
        <v>12552.212550475868</v>
      </c>
      <c r="G73" s="66">
        <v>1.7041669463901954E-4</v>
      </c>
      <c r="H73" s="72">
        <f t="shared" si="18"/>
        <v>13799.034083666878</v>
      </c>
      <c r="I73" s="66">
        <v>-4.5193875619120583E-4</v>
      </c>
      <c r="U73" s="64"/>
      <c r="V73" s="64"/>
      <c r="W73" s="64"/>
    </row>
    <row r="74" spans="1:23" ht="15" customHeight="1" outlineLevel="1" x14ac:dyDescent="0.25">
      <c r="A74" s="65">
        <v>42338</v>
      </c>
      <c r="B74" s="141">
        <v>17033</v>
      </c>
      <c r="C74" s="66">
        <f t="shared" si="19"/>
        <v>-3.4519073250643961E-3</v>
      </c>
      <c r="D74" s="72">
        <f t="shared" si="16"/>
        <v>20918.882383020402</v>
      </c>
      <c r="E74" s="66">
        <v>2.9731384304618746E-3</v>
      </c>
      <c r="F74" s="72">
        <f t="shared" si="17"/>
        <v>12519.029642806134</v>
      </c>
      <c r="G74" s="66">
        <v>-2.6435903261116112E-3</v>
      </c>
      <c r="H74" s="72">
        <f t="shared" si="18"/>
        <v>13941.69113110869</v>
      </c>
      <c r="I74" s="66">
        <v>1.0338190816606918E-2</v>
      </c>
      <c r="U74" s="64"/>
      <c r="V74" s="64"/>
      <c r="W74" s="64"/>
    </row>
    <row r="75" spans="1:23" ht="15" customHeight="1" outlineLevel="1" x14ac:dyDescent="0.25">
      <c r="A75" s="65">
        <v>42369</v>
      </c>
      <c r="B75" s="141">
        <v>16144</v>
      </c>
      <c r="C75" s="66">
        <f t="shared" si="19"/>
        <v>-5.2192802207479572E-2</v>
      </c>
      <c r="D75" s="72">
        <f t="shared" si="16"/>
        <v>20588.950591564619</v>
      </c>
      <c r="E75" s="66">
        <v>-1.5771960729775159E-2</v>
      </c>
      <c r="F75" s="72">
        <f t="shared" si="17"/>
        <v>12478.587974083644</v>
      </c>
      <c r="G75" s="66">
        <v>-3.2304156053922783E-3</v>
      </c>
      <c r="H75" s="72">
        <f t="shared" si="18"/>
        <v>13659.749543256787</v>
      </c>
      <c r="I75" s="66">
        <v>-2.0222911639664387E-2</v>
      </c>
      <c r="U75" s="64"/>
      <c r="V75" s="64"/>
      <c r="W75" s="64"/>
    </row>
    <row r="76" spans="1:23" ht="15" customHeight="1" outlineLevel="1" x14ac:dyDescent="0.25">
      <c r="A76" s="65">
        <v>42400</v>
      </c>
      <c r="B76" s="141">
        <v>15304</v>
      </c>
      <c r="C76" s="66">
        <f t="shared" si="19"/>
        <v>-5.2031714568880116E-2</v>
      </c>
      <c r="D76" s="72">
        <f t="shared" si="16"/>
        <v>19567.261092353736</v>
      </c>
      <c r="E76" s="66">
        <v>-4.9623194473518928E-2</v>
      </c>
      <c r="F76" s="72">
        <f t="shared" si="17"/>
        <v>12650.2706350546</v>
      </c>
      <c r="G76" s="66">
        <v>1.3758180118417007E-2</v>
      </c>
      <c r="H76" s="72">
        <f t="shared" si="18"/>
        <v>12906.837348424993</v>
      </c>
      <c r="I76" s="66">
        <v>-5.5119033657793026E-2</v>
      </c>
      <c r="U76" s="64"/>
      <c r="V76" s="64"/>
      <c r="W76" s="64"/>
    </row>
    <row r="77" spans="1:23" ht="15" customHeight="1" outlineLevel="1" x14ac:dyDescent="0.25">
      <c r="A77" s="65">
        <v>42429</v>
      </c>
      <c r="B77" s="141">
        <v>15075</v>
      </c>
      <c r="C77" s="66">
        <f t="shared" si="19"/>
        <v>-1.4963408259278665E-2</v>
      </c>
      <c r="D77" s="72">
        <f t="shared" si="16"/>
        <v>19540.862239020404</v>
      </c>
      <c r="E77" s="66">
        <v>-1.3491338010330756E-3</v>
      </c>
      <c r="F77" s="72">
        <f t="shared" si="17"/>
        <v>12740.032992715895</v>
      </c>
      <c r="G77" s="66">
        <v>7.0956867446423377E-3</v>
      </c>
      <c r="H77" s="72">
        <f t="shared" si="18"/>
        <v>13245.099803706646</v>
      </c>
      <c r="I77" s="66">
        <v>2.6208004807849461E-2</v>
      </c>
      <c r="U77" s="64"/>
      <c r="V77" s="64"/>
      <c r="W77" s="64"/>
    </row>
    <row r="78" spans="1:23" ht="15" customHeight="1" outlineLevel="1" x14ac:dyDescent="0.25">
      <c r="A78" s="65">
        <v>42460</v>
      </c>
      <c r="B78" s="141">
        <v>16181</v>
      </c>
      <c r="C78" s="66">
        <f t="shared" si="19"/>
        <v>7.3366500829187498E-2</v>
      </c>
      <c r="D78" s="72">
        <f t="shared" si="16"/>
        <v>20866.46180282993</v>
      </c>
      <c r="E78" s="66">
        <v>6.7837311762143582E-2</v>
      </c>
      <c r="F78" s="72">
        <f t="shared" si="17"/>
        <v>12856.886083591935</v>
      </c>
      <c r="G78" s="66">
        <v>9.1721183879862611E-3</v>
      </c>
      <c r="H78" s="72">
        <f t="shared" si="18"/>
        <v>14211.238755619021</v>
      </c>
      <c r="I78" s="66">
        <v>7.2943123587638103E-2</v>
      </c>
      <c r="U78" s="64"/>
      <c r="V78" s="64"/>
      <c r="W78" s="64"/>
    </row>
    <row r="79" spans="1:23" ht="15" customHeight="1" outlineLevel="1" x14ac:dyDescent="0.25">
      <c r="A79" s="65">
        <v>42490</v>
      </c>
      <c r="B79" s="141">
        <v>16487</v>
      </c>
      <c r="C79" s="66">
        <f t="shared" si="19"/>
        <v>1.891106853717317E-2</v>
      </c>
      <c r="D79" s="72">
        <f t="shared" si="16"/>
        <v>20947.38236957823</v>
      </c>
      <c r="E79" s="66">
        <v>3.8780205054853578E-3</v>
      </c>
      <c r="F79" s="72">
        <f t="shared" si="17"/>
        <v>12906.271582897283</v>
      </c>
      <c r="G79" s="66">
        <v>3.8411711035049034E-3</v>
      </c>
      <c r="H79" s="72">
        <f t="shared" si="18"/>
        <v>14453.806323875579</v>
      </c>
      <c r="I79" s="66">
        <v>1.7068713883977793E-2</v>
      </c>
      <c r="U79" s="64"/>
      <c r="V79" s="64"/>
      <c r="W79" s="64"/>
    </row>
    <row r="80" spans="1:23" ht="15" customHeight="1" outlineLevel="1" x14ac:dyDescent="0.25">
      <c r="A80" s="65">
        <v>42521</v>
      </c>
      <c r="B80" s="141">
        <v>16806</v>
      </c>
      <c r="C80" s="66">
        <f t="shared" si="19"/>
        <v>1.9348577667253064E-2</v>
      </c>
      <c r="D80" s="72">
        <f t="shared" si="16"/>
        <v>21323.539091972787</v>
      </c>
      <c r="E80" s="66">
        <v>1.7957218508640294E-2</v>
      </c>
      <c r="F80" s="72">
        <f t="shared" si="17"/>
        <v>12909.576911590946</v>
      </c>
      <c r="G80" s="66">
        <v>2.5610252135432887E-4</v>
      </c>
      <c r="H80" s="72">
        <f t="shared" si="18"/>
        <v>15062.628155777074</v>
      </c>
      <c r="I80" s="66">
        <v>4.2121903273036887E-2</v>
      </c>
      <c r="U80" s="64"/>
      <c r="V80" s="64"/>
      <c r="W80" s="64"/>
    </row>
    <row r="81" spans="1:23" ht="15" customHeight="1" outlineLevel="1" x14ac:dyDescent="0.25">
      <c r="A81" s="65">
        <v>42551</v>
      </c>
      <c r="B81" s="141">
        <v>16623</v>
      </c>
      <c r="C81" s="66">
        <f t="shared" si="19"/>
        <v>-1.0888968225633677E-2</v>
      </c>
      <c r="D81" s="72">
        <f t="shared" si="16"/>
        <v>21378.815058340137</v>
      </c>
      <c r="E81" s="66">
        <v>2.5922510390481435E-3</v>
      </c>
      <c r="F81" s="72">
        <f t="shared" si="17"/>
        <v>13141.533213446381</v>
      </c>
      <c r="G81" s="66">
        <v>1.7967769466338712E-2</v>
      </c>
      <c r="H81" s="72">
        <f t="shared" si="18"/>
        <v>15542.704531742609</v>
      </c>
      <c r="I81" s="66">
        <v>3.1872019344871605E-2</v>
      </c>
      <c r="U81" s="64"/>
      <c r="V81" s="64"/>
      <c r="W81" s="64"/>
    </row>
    <row r="82" spans="1:23" ht="15" customHeight="1" outlineLevel="1" x14ac:dyDescent="0.25">
      <c r="A82" s="65">
        <v>42582</v>
      </c>
      <c r="B82" s="141">
        <v>17379</v>
      </c>
      <c r="C82" s="66">
        <f t="shared" si="19"/>
        <v>4.5479155387114334E-2</v>
      </c>
      <c r="D82" s="72">
        <f t="shared" si="16"/>
        <v>22167.009393578232</v>
      </c>
      <c r="E82" s="66">
        <v>3.6868008497534133E-2</v>
      </c>
      <c r="F82" s="72">
        <f t="shared" si="17"/>
        <v>13224.620103353804</v>
      </c>
      <c r="G82" s="66">
        <v>6.322465465628424E-3</v>
      </c>
      <c r="H82" s="72">
        <f t="shared" si="18"/>
        <v>16072.525386426034</v>
      </c>
      <c r="I82" s="66">
        <v>3.4088073513935724E-2</v>
      </c>
      <c r="U82" s="64"/>
      <c r="V82" s="64"/>
      <c r="W82" s="64"/>
    </row>
    <row r="83" spans="1:23" ht="15" customHeight="1" outlineLevel="1" x14ac:dyDescent="0.25">
      <c r="A83" s="65">
        <v>42613</v>
      </c>
      <c r="B83" s="141">
        <v>17379</v>
      </c>
      <c r="C83" s="66">
        <f t="shared" si="19"/>
        <v>0</v>
      </c>
      <c r="D83" s="72">
        <f t="shared" si="16"/>
        <v>22198.149265469387</v>
      </c>
      <c r="E83" s="66">
        <v>1.4047845308431395E-3</v>
      </c>
      <c r="F83" s="72">
        <f t="shared" si="17"/>
        <v>13209.519287949413</v>
      </c>
      <c r="G83" s="66">
        <v>-1.1418713948962989E-3</v>
      </c>
      <c r="H83" s="72">
        <f t="shared" si="18"/>
        <v>16288.028585753029</v>
      </c>
      <c r="I83" s="66">
        <v>1.3408172900382986E-2</v>
      </c>
      <c r="U83" s="64"/>
      <c r="V83" s="64"/>
      <c r="W83" s="64"/>
    </row>
    <row r="84" spans="1:23" ht="15" customHeight="1" outlineLevel="1" x14ac:dyDescent="0.25">
      <c r="A84" s="65">
        <v>42643</v>
      </c>
      <c r="B84" s="141">
        <v>17294</v>
      </c>
      <c r="C84" s="66">
        <f t="shared" si="19"/>
        <v>-4.8909603544508018E-3</v>
      </c>
      <c r="D84" s="72">
        <f t="shared" si="16"/>
        <v>22202.297656707484</v>
      </c>
      <c r="E84" s="66">
        <v>1.8688004970535133E-4</v>
      </c>
      <c r="F84" s="72">
        <f t="shared" si="17"/>
        <v>13201.742043964317</v>
      </c>
      <c r="G84" s="66">
        <v>-5.8876056089263162E-4</v>
      </c>
      <c r="H84" s="72">
        <f t="shared" si="18"/>
        <v>16373.943202386132</v>
      </c>
      <c r="I84" s="66">
        <v>5.2747093474683204E-3</v>
      </c>
      <c r="U84" s="64"/>
      <c r="V84" s="64"/>
      <c r="W84" s="64"/>
    </row>
    <row r="85" spans="1:23" ht="15" customHeight="1" outlineLevel="1" x14ac:dyDescent="0.25">
      <c r="A85" s="65">
        <v>42674</v>
      </c>
      <c r="B85" s="141">
        <v>16587</v>
      </c>
      <c r="C85" s="66">
        <f t="shared" si="19"/>
        <v>-4.088123048456116E-2</v>
      </c>
      <c r="D85" s="72">
        <f t="shared" si="16"/>
        <v>21797.317696489794</v>
      </c>
      <c r="E85" s="66">
        <v>-1.8240452699062937E-2</v>
      </c>
      <c r="F85" s="72">
        <f t="shared" si="17"/>
        <v>13100.767492891178</v>
      </c>
      <c r="G85" s="66">
        <v>-7.6485777965419333E-3</v>
      </c>
      <c r="H85" s="72">
        <f t="shared" si="18"/>
        <v>16356.65910384856</v>
      </c>
      <c r="I85" s="66">
        <v>-1.0555855925439284E-3</v>
      </c>
      <c r="U85" s="64"/>
      <c r="V85" s="64"/>
      <c r="W85" s="64"/>
    </row>
    <row r="86" spans="1:23" x14ac:dyDescent="0.25">
      <c r="A86" s="65">
        <v>42704</v>
      </c>
      <c r="B86" s="141">
        <v>17461</v>
      </c>
      <c r="C86" s="66">
        <f t="shared" si="19"/>
        <v>5.269186712485685E-2</v>
      </c>
      <c r="D86" s="72">
        <f t="shared" si="16"/>
        <v>22604.583856380948</v>
      </c>
      <c r="E86" s="66">
        <v>3.7035114647209877E-2</v>
      </c>
      <c r="F86" s="72">
        <f t="shared" si="17"/>
        <v>12790.909130451715</v>
      </c>
      <c r="G86" s="66">
        <v>-2.3651924408825686E-2</v>
      </c>
      <c r="H86" s="72">
        <f t="shared" si="18"/>
        <v>16635.059559317157</v>
      </c>
      <c r="I86" s="66">
        <v>1.7020618556701006E-2</v>
      </c>
    </row>
    <row r="87" spans="1:23" x14ac:dyDescent="0.25">
      <c r="A87" s="65">
        <v>42735</v>
      </c>
      <c r="B87" s="141">
        <v>17640</v>
      </c>
      <c r="C87" s="66">
        <f t="shared" si="19"/>
        <v>1.0251417444590905E-2</v>
      </c>
      <c r="D87" s="72">
        <f t="shared" si="16"/>
        <v>23051.370980244898</v>
      </c>
      <c r="E87" s="66">
        <v>1.9765332850302686E-2</v>
      </c>
      <c r="F87" s="72">
        <f t="shared" si="17"/>
        <v>12808.926412350516</v>
      </c>
      <c r="G87" s="66">
        <v>1.4086005705338245E-3</v>
      </c>
      <c r="H87" s="72">
        <f t="shared" si="18"/>
        <v>16731.681885775975</v>
      </c>
      <c r="I87" s="66">
        <v>5.8083547049700979E-3</v>
      </c>
    </row>
    <row r="88" spans="1:23" x14ac:dyDescent="0.25">
      <c r="A88" s="65">
        <v>42766</v>
      </c>
      <c r="B88" s="142">
        <v>18005</v>
      </c>
      <c r="C88" s="66">
        <f t="shared" si="19"/>
        <v>2.0691609977324221E-2</v>
      </c>
      <c r="D88" s="72">
        <f t="shared" si="16"/>
        <v>23488.568316571429</v>
      </c>
      <c r="E88" s="114">
        <v>1.8966218395479073E-2</v>
      </c>
      <c r="F88" s="72">
        <f t="shared" si="17"/>
        <v>12834.072834568988</v>
      </c>
      <c r="G88" s="114">
        <v>1.9631951507055323E-3</v>
      </c>
      <c r="H88" s="72">
        <f t="shared" si="18"/>
        <v>16991.702177921688</v>
      </c>
      <c r="I88" s="114">
        <v>1.5540595017334402E-2</v>
      </c>
    </row>
    <row r="89" spans="1:23" x14ac:dyDescent="0.25">
      <c r="A89" s="65">
        <v>42794</v>
      </c>
      <c r="B89" s="142">
        <v>18678</v>
      </c>
      <c r="C89" s="66">
        <f t="shared" si="19"/>
        <v>3.7378505970563802E-2</v>
      </c>
      <c r="D89" s="72">
        <f t="shared" si="16"/>
        <v>24421.255967401361</v>
      </c>
      <c r="E89" s="114">
        <v>3.970815241948622E-2</v>
      </c>
      <c r="F89" s="72">
        <f t="shared" si="17"/>
        <v>12920.335432436992</v>
      </c>
      <c r="G89" s="114">
        <v>6.7213735639439776E-3</v>
      </c>
      <c r="H89" s="72">
        <f t="shared" si="18"/>
        <v>17960.623448135229</v>
      </c>
      <c r="I89" s="114">
        <v>5.7023202270606976E-2</v>
      </c>
    </row>
    <row r="90" spans="1:23" x14ac:dyDescent="0.25">
      <c r="A90" s="65">
        <v>42825</v>
      </c>
      <c r="B90" s="142">
        <v>18486</v>
      </c>
      <c r="C90" s="66">
        <f t="shared" si="19"/>
        <v>-1.0279473176999732E-2</v>
      </c>
      <c r="D90" s="72">
        <f t="shared" si="16"/>
        <v>24449.702078748298</v>
      </c>
      <c r="E90" s="114">
        <v>1.1648095161407301E-3</v>
      </c>
      <c r="F90" s="72">
        <f t="shared" si="17"/>
        <v>12913.530343950035</v>
      </c>
      <c r="G90" s="114">
        <v>-5.2669596099441662E-4</v>
      </c>
      <c r="H90" s="72">
        <f t="shared" si="18"/>
        <v>18509.75190557526</v>
      </c>
      <c r="I90" s="114">
        <v>3.0574019828751853E-2</v>
      </c>
    </row>
    <row r="91" spans="1:23" x14ac:dyDescent="0.25">
      <c r="A91" s="71" t="s">
        <v>70</v>
      </c>
      <c r="B91" s="142">
        <v>18582</v>
      </c>
      <c r="C91" s="66">
        <f t="shared" si="19"/>
        <v>5.1931191171696867E-3</v>
      </c>
      <c r="D91" s="72">
        <f t="shared" si="16"/>
        <v>24700.81443668027</v>
      </c>
      <c r="E91" s="115">
        <v>1.0270569233243876E-2</v>
      </c>
      <c r="F91" s="72">
        <f t="shared" si="17"/>
        <v>13013.208687692328</v>
      </c>
      <c r="G91" s="115">
        <v>7.7189073078680615E-3</v>
      </c>
      <c r="H91" s="72">
        <f t="shared" si="18"/>
        <v>19164.439833108165</v>
      </c>
      <c r="I91" s="115">
        <v>3.5369892091082544E-2</v>
      </c>
    </row>
    <row r="92" spans="1:23" x14ac:dyDescent="0.25">
      <c r="A92" s="71" t="s">
        <v>71</v>
      </c>
      <c r="B92" s="142">
        <v>18621</v>
      </c>
      <c r="C92" s="66">
        <f t="shared" si="19"/>
        <v>2.0988052954471481E-3</v>
      </c>
      <c r="D92" s="72">
        <f t="shared" si="16"/>
        <v>25048.417297306121</v>
      </c>
      <c r="E92" s="115">
        <v>1.40725262932897E-2</v>
      </c>
      <c r="F92" s="72">
        <f t="shared" si="17"/>
        <v>13113.340704000413</v>
      </c>
      <c r="G92" s="115">
        <v>7.6946446269465785E-3</v>
      </c>
      <c r="H92" s="72">
        <f t="shared" si="18"/>
        <v>18919.595822605195</v>
      </c>
      <c r="I92" s="115">
        <v>-1.2775954457065919E-2</v>
      </c>
    </row>
    <row r="93" spans="1:23" x14ac:dyDescent="0.25">
      <c r="A93" s="71" t="s">
        <v>72</v>
      </c>
      <c r="B93" s="142">
        <v>19467</v>
      </c>
      <c r="C93" s="66">
        <f t="shared" si="19"/>
        <v>4.5432576123731305E-2</v>
      </c>
      <c r="D93" s="72">
        <f t="shared" si="16"/>
        <v>25204.763159292514</v>
      </c>
      <c r="E93" s="115">
        <v>6.2417461403123653E-3</v>
      </c>
      <c r="F93" s="72">
        <f t="shared" si="17"/>
        <v>13100.184199592295</v>
      </c>
      <c r="G93" s="115">
        <v>-1.0032915871776016E-3</v>
      </c>
      <c r="H93" s="72">
        <f t="shared" si="18"/>
        <v>19375.052897239166</v>
      </c>
      <c r="I93" s="115">
        <v>2.4073298335992366E-2</v>
      </c>
    </row>
    <row r="94" spans="1:23" x14ac:dyDescent="0.25">
      <c r="A94" s="116">
        <v>42947</v>
      </c>
      <c r="B94" s="142">
        <v>19775</v>
      </c>
      <c r="C94" s="66">
        <f t="shared" si="19"/>
        <v>1.5821646889607965E-2</v>
      </c>
      <c r="D94" s="72">
        <f t="shared" si="16"/>
        <v>25723.042688000001</v>
      </c>
      <c r="E94" s="115">
        <v>2.0562761309518951E-2</v>
      </c>
      <c r="F94" s="72">
        <f t="shared" si="17"/>
        <v>13156.569218484228</v>
      </c>
      <c r="G94" s="115">
        <v>4.3041393947489404E-3</v>
      </c>
      <c r="H94" s="72">
        <f t="shared" si="18"/>
        <v>19422.605246386436</v>
      </c>
      <c r="I94" s="115">
        <v>2.4543080939947171E-3</v>
      </c>
    </row>
    <row r="95" spans="1:23" x14ac:dyDescent="0.25">
      <c r="A95" s="116">
        <v>42978</v>
      </c>
      <c r="B95" s="142">
        <v>19602</v>
      </c>
      <c r="C95" s="66">
        <f t="shared" si="19"/>
        <v>-8.7484197218710147E-3</v>
      </c>
      <c r="D95" s="72">
        <f t="shared" si="16"/>
        <v>25801.808246312929</v>
      </c>
      <c r="E95" s="115">
        <v>3.0620622633290573E-3</v>
      </c>
      <c r="F95" s="72">
        <f t="shared" si="17"/>
        <v>13274.524085591493</v>
      </c>
      <c r="G95" s="115">
        <v>8.9654730764874291E-3</v>
      </c>
      <c r="H95" s="72">
        <f t="shared" si="18"/>
        <v>19678.409904742501</v>
      </c>
      <c r="I95" s="115">
        <v>1.3170460662256245E-2</v>
      </c>
    </row>
    <row r="96" spans="1:23" x14ac:dyDescent="0.25">
      <c r="A96" s="116">
        <v>43008</v>
      </c>
      <c r="B96" s="142">
        <v>20377</v>
      </c>
      <c r="C96" s="66">
        <f t="shared" ref="C96" si="20">B96/B95-1</f>
        <v>3.9536781961024392E-2</v>
      </c>
      <c r="D96" s="72">
        <f t="shared" ref="D96" si="21">D95*(1+E96)</f>
        <v>26334.04145463946</v>
      </c>
      <c r="E96" s="115">
        <v>2.0627748382813005E-2</v>
      </c>
      <c r="F96" s="72">
        <f t="shared" si="17"/>
        <v>13211.333978212602</v>
      </c>
      <c r="G96" s="115">
        <v>-4.7602540755098399E-3</v>
      </c>
      <c r="H96" s="72">
        <f t="shared" si="18"/>
        <v>19995.172627696928</v>
      </c>
      <c r="I96" s="115">
        <v>1.6096967411888707E-2</v>
      </c>
    </row>
    <row r="97" spans="1:9" x14ac:dyDescent="0.25">
      <c r="A97" s="116">
        <f>EOMONTH(A96,1)</f>
        <v>43039</v>
      </c>
      <c r="B97" s="142">
        <v>20512</v>
      </c>
      <c r="C97" s="66">
        <f t="shared" ref="C97:C101" si="22">B97/B96-1</f>
        <v>6.6251165529764844E-3</v>
      </c>
      <c r="D97" s="72">
        <f t="shared" ref="D97:D101" si="23">D96*(1+E97)</f>
        <v>26948.542109986392</v>
      </c>
      <c r="E97" s="115">
        <v>2.3334840434781512E-2</v>
      </c>
      <c r="F97" s="72">
        <f t="shared" si="17"/>
        <v>13218.981601464611</v>
      </c>
      <c r="G97" s="115">
        <v>5.7886836141007869E-4</v>
      </c>
      <c r="H97" s="72">
        <f t="shared" si="18"/>
        <v>19373.788207102265</v>
      </c>
      <c r="I97" s="115">
        <v>-3.1076721975079713E-2</v>
      </c>
    </row>
    <row r="98" spans="1:9" x14ac:dyDescent="0.25">
      <c r="A98" s="116">
        <f t="shared" ref="A98:A123" si="24">EOMONTH(A97,1)</f>
        <v>43069</v>
      </c>
      <c r="B98" s="142">
        <v>21498</v>
      </c>
      <c r="C98" s="66">
        <f t="shared" si="22"/>
        <v>4.8069422776911175E-2</v>
      </c>
      <c r="D98" s="72">
        <f t="shared" si="23"/>
        <v>27775.041720163263</v>
      </c>
      <c r="E98" s="115">
        <v>3.0669548163445581E-2</v>
      </c>
      <c r="F98" s="72">
        <f t="shared" si="17"/>
        <v>13202.001285430488</v>
      </c>
      <c r="G98" s="115">
        <v>-1.2845404090918722E-3</v>
      </c>
      <c r="H98" s="72">
        <f t="shared" si="18"/>
        <v>19489.127947587138</v>
      </c>
      <c r="I98" s="115">
        <v>5.9533912135258937E-3</v>
      </c>
    </row>
    <row r="99" spans="1:9" x14ac:dyDescent="0.25">
      <c r="A99" s="116">
        <f t="shared" si="24"/>
        <v>43100</v>
      </c>
      <c r="B99" s="142">
        <v>21602</v>
      </c>
      <c r="C99" s="66">
        <f t="shared" si="22"/>
        <v>4.8376593171457483E-3</v>
      </c>
      <c r="D99" s="72">
        <f t="shared" si="23"/>
        <v>28083.854428952385</v>
      </c>
      <c r="E99" s="115">
        <v>1.1118352652732089E-2</v>
      </c>
      <c r="F99" s="72">
        <f t="shared" si="17"/>
        <v>13262.59897814768</v>
      </c>
      <c r="G99" s="115">
        <v>4.5900383894119656E-3</v>
      </c>
      <c r="H99" s="72">
        <f t="shared" si="18"/>
        <v>19939.020385618762</v>
      </c>
      <c r="I99" s="115">
        <v>2.308427751316211E-2</v>
      </c>
    </row>
    <row r="100" spans="1:9" x14ac:dyDescent="0.25">
      <c r="A100" s="116">
        <f t="shared" si="24"/>
        <v>43131</v>
      </c>
      <c r="B100" s="142">
        <v>22363</v>
      </c>
      <c r="C100" s="66">
        <f t="shared" si="22"/>
        <v>3.5228219609295452E-2</v>
      </c>
      <c r="D100" s="72">
        <f t="shared" si="23"/>
        <v>29691.760097795926</v>
      </c>
      <c r="E100" s="115">
        <v>5.7253738902232287E-2</v>
      </c>
      <c r="F100" s="72">
        <f t="shared" si="17"/>
        <v>13109.840944207121</v>
      </c>
      <c r="G100" s="115">
        <v>-1.1517956185831513E-2</v>
      </c>
      <c r="H100" s="72">
        <f t="shared" si="18"/>
        <v>18583.441184218369</v>
      </c>
      <c r="I100" s="115">
        <v>-6.7986248831869434E-2</v>
      </c>
    </row>
    <row r="101" spans="1:9" x14ac:dyDescent="0.25">
      <c r="A101" s="116">
        <f t="shared" si="24"/>
        <v>43159</v>
      </c>
      <c r="B101" s="142">
        <v>21559</v>
      </c>
      <c r="C101" s="66">
        <f t="shared" si="22"/>
        <v>-3.5952242543487056E-2</v>
      </c>
      <c r="D101" s="72">
        <f t="shared" si="23"/>
        <v>28597.446814312934</v>
      </c>
      <c r="E101" s="115">
        <v>-3.6855790289246793E-2</v>
      </c>
      <c r="F101" s="72">
        <f t="shared" si="17"/>
        <v>12985.599471545242</v>
      </c>
      <c r="G101" s="115">
        <v>-9.4769626260627904E-3</v>
      </c>
      <c r="H101" s="72">
        <f t="shared" si="18"/>
        <v>17974.87229034425</v>
      </c>
      <c r="I101" s="115">
        <v>-3.2747911855579015E-2</v>
      </c>
    </row>
    <row r="102" spans="1:9" x14ac:dyDescent="0.25">
      <c r="A102" s="116">
        <f t="shared" si="24"/>
        <v>43190</v>
      </c>
      <c r="B102" s="142">
        <v>20976</v>
      </c>
      <c r="C102" s="66">
        <f t="shared" ref="C102:C104" si="25">B102/B101-1</f>
        <v>-2.7042070596966505E-2</v>
      </c>
      <c r="D102" s="72">
        <f t="shared" ref="D102:D104" si="26">D101*(1+E102)</f>
        <v>27870.670219483</v>
      </c>
      <c r="E102" s="115">
        <v>-2.5414037817746205E-2</v>
      </c>
      <c r="F102" s="72">
        <f t="shared" si="17"/>
        <v>13068.880792552291</v>
      </c>
      <c r="G102" s="115">
        <v>6.4133597520499297E-3</v>
      </c>
      <c r="H102" s="72">
        <f t="shared" si="18"/>
        <v>19158.959509181615</v>
      </c>
      <c r="I102" s="115">
        <v>6.587458312421135E-2</v>
      </c>
    </row>
    <row r="103" spans="1:9" x14ac:dyDescent="0.25">
      <c r="A103" s="116">
        <f t="shared" si="24"/>
        <v>43220</v>
      </c>
      <c r="B103" s="142">
        <v>21216</v>
      </c>
      <c r="C103" s="66">
        <f t="shared" si="25"/>
        <v>1.1441647597254079E-2</v>
      </c>
      <c r="D103" s="72">
        <f t="shared" si="26"/>
        <v>27977.612513088443</v>
      </c>
      <c r="E103" s="115">
        <v>3.8370908472336041E-3</v>
      </c>
      <c r="F103" s="72">
        <f t="shared" si="17"/>
        <v>12971.665242738613</v>
      </c>
      <c r="G103" s="115">
        <v>-7.4387050702213742E-3</v>
      </c>
      <c r="H103" s="72">
        <f t="shared" si="18"/>
        <v>19236.442858235416</v>
      </c>
      <c r="I103" s="115">
        <v>4.0442357538605922E-3</v>
      </c>
    </row>
    <row r="104" spans="1:9" x14ac:dyDescent="0.25">
      <c r="A104" s="116">
        <f t="shared" si="24"/>
        <v>43251</v>
      </c>
      <c r="B104" s="142">
        <v>21434</v>
      </c>
      <c r="C104" s="66">
        <f t="shared" si="25"/>
        <v>1.0275263951734503E-2</v>
      </c>
      <c r="D104" s="72">
        <f t="shared" si="26"/>
        <v>28651.375900408177</v>
      </c>
      <c r="E104" s="115">
        <v>2.4082233142822096E-2</v>
      </c>
      <c r="F104" s="72">
        <f t="shared" si="17"/>
        <v>13064.214446161235</v>
      </c>
      <c r="G104" s="115">
        <v>7.1347203069729304E-3</v>
      </c>
      <c r="H104" s="72">
        <f t="shared" si="18"/>
        <v>19792.906518469437</v>
      </c>
      <c r="I104" s="115">
        <v>2.8927575869142075E-2</v>
      </c>
    </row>
    <row r="105" spans="1:9" x14ac:dyDescent="0.25">
      <c r="A105" s="116">
        <f t="shared" si="24"/>
        <v>43281</v>
      </c>
      <c r="B105" s="142">
        <v>21187</v>
      </c>
      <c r="C105" s="66">
        <f t="shared" ref="C105:C107" si="27">B105/B104-1</f>
        <v>-1.1523747317346289E-2</v>
      </c>
      <c r="D105" s="72">
        <f t="shared" ref="D105:D107" si="28">D104*(1+E105)</f>
        <v>28827.709465632666</v>
      </c>
      <c r="E105" s="115">
        <v>6.154453658261394E-3</v>
      </c>
      <c r="F105" s="72">
        <f t="shared" si="17"/>
        <v>13048.141475258706</v>
      </c>
      <c r="G105" s="115">
        <v>-1.2303051950629529E-3</v>
      </c>
      <c r="H105" s="72">
        <f t="shared" si="18"/>
        <v>20092.806706265259</v>
      </c>
      <c r="I105" s="115">
        <v>1.5151902400790673E-2</v>
      </c>
    </row>
    <row r="106" spans="1:9" x14ac:dyDescent="0.25">
      <c r="A106" s="116">
        <f t="shared" si="24"/>
        <v>43312</v>
      </c>
      <c r="B106" s="142">
        <v>21820</v>
      </c>
      <c r="C106" s="66">
        <f t="shared" si="27"/>
        <v>2.9876811252183E-2</v>
      </c>
      <c r="D106" s="72">
        <f t="shared" si="28"/>
        <v>29900.526539972801</v>
      </c>
      <c r="E106" s="115">
        <v>3.7214787238615266E-2</v>
      </c>
      <c r="F106" s="72">
        <f t="shared" si="17"/>
        <v>13051.252372852743</v>
      </c>
      <c r="G106" s="115">
        <v>2.3841691170622958E-4</v>
      </c>
      <c r="H106" s="72">
        <f t="shared" si="18"/>
        <v>20830.711244805891</v>
      </c>
      <c r="I106" s="115">
        <v>3.6724811487413689E-2</v>
      </c>
    </row>
    <row r="107" spans="1:9" x14ac:dyDescent="0.25">
      <c r="A107" s="116">
        <f t="shared" si="24"/>
        <v>43343</v>
      </c>
      <c r="B107" s="142">
        <v>21951</v>
      </c>
      <c r="C107" s="66">
        <f t="shared" si="27"/>
        <v>6.0036663611364727E-3</v>
      </c>
      <c r="D107" s="72">
        <f t="shared" si="28"/>
        <v>30874.80585360546</v>
      </c>
      <c r="E107" s="115">
        <v>3.2584018623557753E-2</v>
      </c>
      <c r="F107" s="72">
        <f t="shared" si="17"/>
        <v>13135.246607891762</v>
      </c>
      <c r="G107" s="115">
        <v>6.4357222310504891E-3</v>
      </c>
      <c r="H107" s="72">
        <f t="shared" si="18"/>
        <v>20903.810334718455</v>
      </c>
      <c r="I107" s="115">
        <v>3.5091979843362431E-3</v>
      </c>
    </row>
    <row r="108" spans="1:9" x14ac:dyDescent="0.25">
      <c r="A108" s="116">
        <f t="shared" si="24"/>
        <v>43373</v>
      </c>
      <c r="B108" s="142">
        <v>22161</v>
      </c>
      <c r="C108" s="66">
        <f t="shared" ref="C108:C110" si="29">B108/B107-1</f>
        <v>9.566762334290102E-3</v>
      </c>
      <c r="D108" s="72">
        <f t="shared" ref="D108:D110" si="30">D107*(1+E108)</f>
        <v>31050.54679151022</v>
      </c>
      <c r="E108" s="115">
        <v>5.6920499755706011E-3</v>
      </c>
      <c r="F108" s="72">
        <f t="shared" si="17"/>
        <v>13050.669079553863</v>
      </c>
      <c r="G108" s="115">
        <v>-6.4389752901239383E-3</v>
      </c>
      <c r="H108" s="72">
        <f t="shared" si="18"/>
        <v>20665.121149548377</v>
      </c>
      <c r="I108" s="115">
        <v>-1.1418453446912835E-2</v>
      </c>
    </row>
    <row r="109" spans="1:9" x14ac:dyDescent="0.25">
      <c r="A109" s="116">
        <f t="shared" si="24"/>
        <v>43404</v>
      </c>
      <c r="B109" s="142">
        <v>20631</v>
      </c>
      <c r="C109" s="66">
        <f t="shared" si="29"/>
        <v>-6.9040205766887741E-2</v>
      </c>
      <c r="D109" s="72">
        <f t="shared" si="30"/>
        <v>28928.240609142871</v>
      </c>
      <c r="E109" s="115">
        <v>-6.8350042162466096E-2</v>
      </c>
      <c r="F109" s="72">
        <f t="shared" si="17"/>
        <v>12947.555786384823</v>
      </c>
      <c r="G109" s="115">
        <v>-7.900996687639994E-3</v>
      </c>
      <c r="H109" s="72">
        <f t="shared" si="18"/>
        <v>20280.992598635312</v>
      </c>
      <c r="I109" s="115">
        <v>-1.8588255453874325E-2</v>
      </c>
    </row>
    <row r="110" spans="1:9" x14ac:dyDescent="0.25">
      <c r="A110" s="116">
        <f t="shared" si="24"/>
        <v>43434</v>
      </c>
      <c r="B110" s="142">
        <v>21506</v>
      </c>
      <c r="C110" s="66">
        <f t="shared" si="29"/>
        <v>4.2411904415685209E-2</v>
      </c>
      <c r="D110" s="72">
        <f t="shared" si="30"/>
        <v>29517.743166639473</v>
      </c>
      <c r="E110" s="115">
        <v>2.0378099223576251E-2</v>
      </c>
      <c r="F110" s="72">
        <f t="shared" si="17"/>
        <v>13024.809743303425</v>
      </c>
      <c r="G110" s="115">
        <v>5.9666826846067611E-3</v>
      </c>
      <c r="H110" s="72">
        <f t="shared" si="18"/>
        <v>20671.107349529681</v>
      </c>
      <c r="I110" s="115">
        <v>1.9235486083684972E-2</v>
      </c>
    </row>
    <row r="111" spans="1:9" x14ac:dyDescent="0.25">
      <c r="A111" s="116">
        <f t="shared" si="24"/>
        <v>43465</v>
      </c>
      <c r="B111" s="142">
        <v>19617</v>
      </c>
      <c r="C111" s="66">
        <f t="shared" ref="C111:C113" si="31">B111/B110-1</f>
        <v>-8.7835952757369995E-2</v>
      </c>
      <c r="D111" s="72">
        <f t="shared" ref="D111:D113" si="32">D110*(1+E111)</f>
        <v>26852.590359401376</v>
      </c>
      <c r="E111" s="115">
        <v>-9.028985692409619E-2</v>
      </c>
      <c r="F111" s="72">
        <f t="shared" si="17"/>
        <v>13264.089616578156</v>
      </c>
      <c r="G111" s="115">
        <v>1.8371083953664158E-2</v>
      </c>
      <c r="H111" s="72">
        <f t="shared" si="18"/>
        <v>19454.306812484618</v>
      </c>
      <c r="I111" s="115">
        <v>-5.8864796958869592E-2</v>
      </c>
    </row>
    <row r="112" spans="1:9" x14ac:dyDescent="0.25">
      <c r="A112" s="116">
        <f t="shared" si="24"/>
        <v>43496</v>
      </c>
      <c r="B112" s="142">
        <v>21148</v>
      </c>
      <c r="C112" s="66">
        <f t="shared" si="31"/>
        <v>7.8044553193658661E-2</v>
      </c>
      <c r="D112" s="72">
        <f t="shared" si="32"/>
        <v>29004.420157333348</v>
      </c>
      <c r="E112" s="115">
        <v>8.0134905762586639E-2</v>
      </c>
      <c r="F112" s="72">
        <f t="shared" si="17"/>
        <v>13404.987353441449</v>
      </c>
      <c r="G112" s="115">
        <v>1.0622495846770441E-2</v>
      </c>
      <c r="H112" s="72">
        <f t="shared" si="18"/>
        <v>21240.555161835833</v>
      </c>
      <c r="I112" s="115">
        <v>9.1817630233163028E-2</v>
      </c>
    </row>
    <row r="113" spans="1:9" x14ac:dyDescent="0.25">
      <c r="A113" s="116">
        <f t="shared" si="24"/>
        <v>43524</v>
      </c>
      <c r="B113" s="142">
        <v>21351</v>
      </c>
      <c r="C113" s="66">
        <f t="shared" si="31"/>
        <v>9.5990164554566881E-3</v>
      </c>
      <c r="D113" s="72">
        <f t="shared" si="32"/>
        <v>29935.707052680289</v>
      </c>
      <c r="E113" s="115">
        <v>3.2108447274422636E-2</v>
      </c>
      <c r="F113" s="72">
        <f t="shared" si="17"/>
        <v>13397.210109456353</v>
      </c>
      <c r="G113" s="115">
        <v>-5.8017540636468024E-4</v>
      </c>
      <c r="H113" s="72">
        <f t="shared" si="18"/>
        <v>21079.265013043761</v>
      </c>
      <c r="I113" s="115">
        <v>-7.5934996784770004E-3</v>
      </c>
    </row>
    <row r="114" spans="1:9" x14ac:dyDescent="0.25">
      <c r="A114" s="116">
        <f t="shared" si="24"/>
        <v>43555</v>
      </c>
      <c r="B114" s="142">
        <v>21532</v>
      </c>
      <c r="C114" s="66">
        <f t="shared" ref="C114:C116" si="33">B114/B113-1</f>
        <v>8.477354690646699E-3</v>
      </c>
      <c r="D114" s="72">
        <f t="shared" ref="D114:D116" si="34">D113*(1+E114)</f>
        <v>30517.397704598658</v>
      </c>
      <c r="E114" s="115">
        <v>1.9431331650016537E-2</v>
      </c>
      <c r="F114" s="72">
        <f t="shared" si="17"/>
        <v>13654.442454263346</v>
      </c>
      <c r="G114" s="115">
        <v>1.9200441189276107E-2</v>
      </c>
      <c r="H114" s="72">
        <f t="shared" si="18"/>
        <v>21466.344507609578</v>
      </c>
      <c r="I114" s="115">
        <v>1.8363045121653654E-2</v>
      </c>
    </row>
    <row r="115" spans="1:9" x14ac:dyDescent="0.25">
      <c r="A115" s="116">
        <f t="shared" si="24"/>
        <v>43585</v>
      </c>
      <c r="B115" s="142">
        <v>21894</v>
      </c>
      <c r="C115" s="66">
        <f t="shared" si="33"/>
        <v>1.6812186513096794E-2</v>
      </c>
      <c r="D115" s="72">
        <f t="shared" si="34"/>
        <v>31753.025666231311</v>
      </c>
      <c r="E115" s="115">
        <v>4.0489296420135323E-2</v>
      </c>
      <c r="F115" s="72">
        <f t="shared" si="17"/>
        <v>13657.94221405664</v>
      </c>
      <c r="G115" s="115">
        <v>2.5630924184683046E-4</v>
      </c>
      <c r="H115" s="72">
        <f t="shared" si="18"/>
        <v>21893.303897825499</v>
      </c>
      <c r="I115" s="115">
        <v>1.9889711080737005E-2</v>
      </c>
    </row>
    <row r="116" spans="1:9" x14ac:dyDescent="0.25">
      <c r="A116" s="116">
        <f t="shared" si="24"/>
        <v>43616</v>
      </c>
      <c r="B116" s="142">
        <v>20448</v>
      </c>
      <c r="C116" s="66">
        <f t="shared" si="33"/>
        <v>-6.604549191559328E-2</v>
      </c>
      <c r="D116" s="72">
        <f t="shared" si="34"/>
        <v>29735.183517768724</v>
      </c>
      <c r="E116" s="115">
        <v>-6.3548027506824978E-2</v>
      </c>
      <c r="F116" s="72">
        <f t="shared" si="17"/>
        <v>13900.397795291954</v>
      </c>
      <c r="G116" s="115">
        <v>1.7751984701310342E-2</v>
      </c>
      <c r="H116" s="72">
        <f t="shared" si="18"/>
        <v>20445.570941783313</v>
      </c>
      <c r="I116" s="115">
        <v>-6.6126746460865471E-2</v>
      </c>
    </row>
    <row r="117" spans="1:9" x14ac:dyDescent="0.25">
      <c r="A117" s="116">
        <f t="shared" si="24"/>
        <v>43646</v>
      </c>
      <c r="B117" s="142">
        <v>21355</v>
      </c>
      <c r="C117" s="66">
        <f t="shared" ref="C117:C119" si="35">B117/B116-1</f>
        <v>4.435641627543041E-2</v>
      </c>
      <c r="D117" s="72">
        <f t="shared" ref="D117:D123" si="36">D116*(1+E117)</f>
        <v>31830.821470748313</v>
      </c>
      <c r="E117" s="115">
        <v>7.0476711594105623E-2</v>
      </c>
      <c r="F117" s="72">
        <f t="shared" si="17"/>
        <v>14074.932112390776</v>
      </c>
      <c r="G117" s="115">
        <v>1.2556066356456119E-2</v>
      </c>
      <c r="H117" s="72">
        <f t="shared" si="18"/>
        <v>21502.093082145824</v>
      </c>
      <c r="I117" s="115">
        <v>5.1674866080817727E-2</v>
      </c>
    </row>
    <row r="118" spans="1:9" x14ac:dyDescent="0.25">
      <c r="A118" s="116">
        <f t="shared" si="24"/>
        <v>43677</v>
      </c>
      <c r="B118" s="142">
        <v>21747</v>
      </c>
      <c r="C118" s="66">
        <f t="shared" si="35"/>
        <v>1.8356356825099507E-2</v>
      </c>
      <c r="D118" s="72">
        <f t="shared" si="36"/>
        <v>32288.329761578243</v>
      </c>
      <c r="E118" s="115">
        <v>1.4373122328946719E-2</v>
      </c>
      <c r="F118" s="72">
        <f t="shared" si="17"/>
        <v>14105.911467598065</v>
      </c>
      <c r="G118" s="115">
        <v>2.2010305243331807E-3</v>
      </c>
      <c r="H118" s="72">
        <f t="shared" si="18"/>
        <v>21985.879215846249</v>
      </c>
      <c r="I118" s="115">
        <v>2.2499490252050558E-2</v>
      </c>
    </row>
    <row r="119" spans="1:9" x14ac:dyDescent="0.25">
      <c r="A119" s="116">
        <f t="shared" si="24"/>
        <v>43708</v>
      </c>
      <c r="B119" s="142">
        <v>20409</v>
      </c>
      <c r="C119" s="66">
        <f t="shared" si="35"/>
        <v>-6.1525727686577492E-2</v>
      </c>
      <c r="D119" s="72">
        <f t="shared" si="36"/>
        <v>31776.838509442186</v>
      </c>
      <c r="E119" s="115">
        <v>-1.5841366088397368E-2</v>
      </c>
      <c r="F119" s="72">
        <f t="shared" si="17"/>
        <v>14471.441934897493</v>
      </c>
      <c r="G119" s="115">
        <v>2.5913282395048975E-2</v>
      </c>
      <c r="H119" s="72">
        <f t="shared" si="18"/>
        <v>20595.816130046504</v>
      </c>
      <c r="I119" s="115">
        <v>-6.3225267097704374E-2</v>
      </c>
    </row>
    <row r="120" spans="1:9" x14ac:dyDescent="0.25">
      <c r="A120" s="116">
        <f t="shared" si="24"/>
        <v>43738</v>
      </c>
      <c r="B120" s="142">
        <v>21642</v>
      </c>
      <c r="C120" s="66">
        <f t="shared" ref="C120:C123" si="37">B120/B119-1</f>
        <v>6.0414523004556742E-2</v>
      </c>
      <c r="D120" s="72">
        <f t="shared" si="36"/>
        <v>32371.40533676192</v>
      </c>
      <c r="E120" s="115">
        <v>1.8710697955149458E-2</v>
      </c>
      <c r="F120" s="72">
        <f t="shared" si="17"/>
        <v>14394.382409078518</v>
      </c>
      <c r="G120" s="115">
        <v>-5.3249376368741386E-3</v>
      </c>
      <c r="H120" s="72">
        <f t="shared" si="18"/>
        <v>21949.456139903665</v>
      </c>
      <c r="I120" s="115">
        <v>6.5724028672133228E-2</v>
      </c>
    </row>
    <row r="121" spans="1:9" x14ac:dyDescent="0.25">
      <c r="A121" s="116">
        <f t="shared" si="24"/>
        <v>43769</v>
      </c>
      <c r="B121" s="142">
        <v>22204</v>
      </c>
      <c r="C121" s="66">
        <f t="shared" si="37"/>
        <v>2.5968025136309025E-2</v>
      </c>
      <c r="D121" s="72">
        <f t="shared" si="36"/>
        <v>33072.537331210893</v>
      </c>
      <c r="E121" s="115">
        <v>2.1658991543773043E-2</v>
      </c>
      <c r="F121" s="72">
        <f t="shared" si="17"/>
        <v>14437.740544295419</v>
      </c>
      <c r="G121" s="115">
        <v>3.0121566861773807E-3</v>
      </c>
      <c r="H121" s="72">
        <f t="shared" si="18"/>
        <v>22573.538566123701</v>
      </c>
      <c r="I121" s="115">
        <v>2.843270567809042E-2</v>
      </c>
    </row>
    <row r="122" spans="1:9" x14ac:dyDescent="0.25">
      <c r="A122" s="116">
        <f t="shared" si="24"/>
        <v>43799</v>
      </c>
      <c r="B122" s="142">
        <v>22532</v>
      </c>
      <c r="C122" s="66">
        <f t="shared" si="37"/>
        <v>1.4772113132768938E-2</v>
      </c>
      <c r="D122" s="72">
        <f t="shared" si="36"/>
        <v>34273.038655346951</v>
      </c>
      <c r="E122" s="115">
        <v>3.6299039052051674E-2</v>
      </c>
      <c r="F122" s="72">
        <f t="shared" si="17"/>
        <v>14430.35216250958</v>
      </c>
      <c r="G122" s="115">
        <v>-5.1174086160998833E-4</v>
      </c>
      <c r="H122" s="72">
        <f t="shared" si="18"/>
        <v>22902.863877771291</v>
      </c>
      <c r="I122" s="115">
        <v>1.4588998117548657E-2</v>
      </c>
    </row>
    <row r="123" spans="1:9" x14ac:dyDescent="0.25">
      <c r="A123" s="116">
        <f t="shared" si="24"/>
        <v>43830</v>
      </c>
      <c r="B123" s="142">
        <v>23141</v>
      </c>
      <c r="C123" s="66">
        <f t="shared" si="37"/>
        <v>2.702822652227943E-2</v>
      </c>
      <c r="D123" s="72">
        <f t="shared" si="36"/>
        <v>35307.496579537423</v>
      </c>
      <c r="E123" s="115">
        <v>3.0182848232194415E-2</v>
      </c>
      <c r="F123" s="72">
        <f t="shared" si="17"/>
        <v>14420.306555695499</v>
      </c>
      <c r="G123" s="115">
        <v>-6.9614425905561994E-4</v>
      </c>
      <c r="H123" s="72">
        <f t="shared" si="18"/>
        <v>23743.039692048875</v>
      </c>
      <c r="I123" s="115">
        <v>3.6684312440638855E-2</v>
      </c>
    </row>
  </sheetData>
  <mergeCells count="19">
    <mergeCell ref="M2:P2"/>
    <mergeCell ref="S23:T23"/>
    <mergeCell ref="S19:T19"/>
    <mergeCell ref="S22:T22"/>
    <mergeCell ref="S18:T18"/>
    <mergeCell ref="S15:T15"/>
    <mergeCell ref="S16:T16"/>
    <mergeCell ref="S17:T17"/>
    <mergeCell ref="K6:P6"/>
    <mergeCell ref="S20:T20"/>
    <mergeCell ref="S21:T21"/>
    <mergeCell ref="W6:W7"/>
    <mergeCell ref="X6:X7"/>
    <mergeCell ref="S1:U1"/>
    <mergeCell ref="S2:U2"/>
    <mergeCell ref="S3:U3"/>
    <mergeCell ref="S4:U4"/>
    <mergeCell ref="V6:V7"/>
    <mergeCell ref="U6:U7"/>
  </mergeCells>
  <hyperlinks>
    <hyperlink ref="M23" r:id="rId1" xr:uid="{2D470A2D-0297-49B3-A480-C8127D66E7BC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5"/>
  <sheetViews>
    <sheetView zoomScale="120" zoomScaleNormal="120" workbookViewId="0">
      <selection activeCell="A7" sqref="A7"/>
    </sheetView>
  </sheetViews>
  <sheetFormatPr defaultColWidth="9.140625" defaultRowHeight="15" x14ac:dyDescent="0.25"/>
  <cols>
    <col min="1" max="1" width="20" style="1" bestFit="1" customWidth="1"/>
    <col min="2" max="2" width="9.28515625" style="2" customWidth="1"/>
    <col min="3" max="3" width="5" style="2" customWidth="1"/>
    <col min="4" max="4" width="25.42578125" style="1" bestFit="1" customWidth="1"/>
    <col min="5" max="5" width="9.140625" style="3"/>
    <col min="6" max="6" width="3.140625" style="1" customWidth="1"/>
    <col min="7" max="7" width="16.140625" style="1" bestFit="1" customWidth="1"/>
    <col min="8" max="16384" width="9.140625" style="1"/>
  </cols>
  <sheetData>
    <row r="1" spans="1:8" x14ac:dyDescent="0.25">
      <c r="A1" s="188" t="s">
        <v>66</v>
      </c>
      <c r="B1" s="189"/>
      <c r="C1" s="189"/>
      <c r="D1" s="189"/>
      <c r="E1" s="189"/>
      <c r="F1" s="189"/>
      <c r="G1" s="189"/>
      <c r="H1" s="190"/>
    </row>
    <row r="2" spans="1:8" x14ac:dyDescent="0.25">
      <c r="A2" s="46"/>
      <c r="B2" s="8"/>
      <c r="H2" s="42"/>
    </row>
    <row r="3" spans="1:8" x14ac:dyDescent="0.25">
      <c r="A3" s="186" t="s">
        <v>21</v>
      </c>
      <c r="B3" s="187"/>
      <c r="D3" s="47" t="s">
        <v>54</v>
      </c>
      <c r="E3" s="48"/>
      <c r="G3" s="152" t="s">
        <v>49</v>
      </c>
      <c r="H3" s="153"/>
    </row>
    <row r="4" spans="1:8" x14ac:dyDescent="0.25">
      <c r="A4" s="49" t="s">
        <v>190</v>
      </c>
      <c r="B4" s="10">
        <v>29</v>
      </c>
      <c r="D4" s="9" t="s">
        <v>91</v>
      </c>
      <c r="E4" s="11">
        <v>0.125</v>
      </c>
      <c r="G4" s="150" t="s">
        <v>25</v>
      </c>
      <c r="H4" s="151">
        <v>0.27580502785606659</v>
      </c>
    </row>
    <row r="5" spans="1:8" x14ac:dyDescent="0.25">
      <c r="A5" s="49" t="s">
        <v>19</v>
      </c>
      <c r="B5" s="12" t="s">
        <v>183</v>
      </c>
      <c r="D5" s="9" t="s">
        <v>94</v>
      </c>
      <c r="E5" s="11">
        <v>9.4E-2</v>
      </c>
      <c r="G5" s="150" t="s">
        <v>23</v>
      </c>
      <c r="H5" s="151">
        <v>0.21581394300428428</v>
      </c>
    </row>
    <row r="6" spans="1:8" x14ac:dyDescent="0.25">
      <c r="A6" s="49" t="s">
        <v>20</v>
      </c>
      <c r="B6" s="13" t="s">
        <v>184</v>
      </c>
      <c r="D6" s="9" t="s">
        <v>65</v>
      </c>
      <c r="E6" s="11">
        <v>7.1999999999999995E-2</v>
      </c>
      <c r="G6" s="150" t="s">
        <v>50</v>
      </c>
      <c r="H6" s="151">
        <v>0.13651440067991541</v>
      </c>
    </row>
    <row r="7" spans="1:8" x14ac:dyDescent="0.25">
      <c r="A7" s="49" t="s">
        <v>191</v>
      </c>
      <c r="B7" s="56">
        <v>13.66</v>
      </c>
      <c r="C7" s="50"/>
      <c r="D7" s="9" t="s">
        <v>97</v>
      </c>
      <c r="E7" s="11">
        <v>5.8999999999999997E-2</v>
      </c>
      <c r="G7" s="150" t="s">
        <v>53</v>
      </c>
      <c r="H7" s="151">
        <v>0.12718471493134687</v>
      </c>
    </row>
    <row r="8" spans="1:8" x14ac:dyDescent="0.25">
      <c r="A8" s="4"/>
      <c r="B8" s="51"/>
      <c r="D8" s="9" t="s">
        <v>100</v>
      </c>
      <c r="E8" s="11">
        <v>5.8000000000000003E-2</v>
      </c>
      <c r="G8" s="150" t="s">
        <v>51</v>
      </c>
      <c r="H8" s="151">
        <v>0.11307476682042029</v>
      </c>
    </row>
    <row r="9" spans="1:8" x14ac:dyDescent="0.25">
      <c r="A9" s="4"/>
      <c r="B9" s="52"/>
      <c r="D9" s="9" t="s">
        <v>103</v>
      </c>
      <c r="E9" s="11">
        <v>4.7E-2</v>
      </c>
      <c r="G9" s="150" t="s">
        <v>26</v>
      </c>
      <c r="H9" s="151">
        <v>6.8156423490306262E-2</v>
      </c>
    </row>
    <row r="10" spans="1:8" x14ac:dyDescent="0.25">
      <c r="A10" s="4"/>
      <c r="B10" s="52"/>
      <c r="D10" s="9" t="s">
        <v>106</v>
      </c>
      <c r="E10" s="11">
        <v>4.2000000000000003E-2</v>
      </c>
      <c r="G10" s="150" t="s">
        <v>58</v>
      </c>
      <c r="H10" s="151">
        <v>3.2308227361305147E-2</v>
      </c>
    </row>
    <row r="11" spans="1:8" x14ac:dyDescent="0.25">
      <c r="A11" s="4"/>
      <c r="D11" s="9" t="s">
        <v>109</v>
      </c>
      <c r="E11" s="11">
        <v>4.2000000000000003E-2</v>
      </c>
      <c r="G11" s="150" t="s">
        <v>24</v>
      </c>
      <c r="H11" s="151">
        <v>3.1142495856355184E-2</v>
      </c>
    </row>
    <row r="12" spans="1:8" x14ac:dyDescent="0.25">
      <c r="A12" s="4"/>
      <c r="D12" s="9" t="s">
        <v>112</v>
      </c>
      <c r="E12" s="11">
        <v>3.5000000000000003E-2</v>
      </c>
      <c r="G12" s="150" t="s">
        <v>22</v>
      </c>
      <c r="H12" s="151">
        <v>0</v>
      </c>
    </row>
    <row r="13" spans="1:8" x14ac:dyDescent="0.25">
      <c r="A13" s="4"/>
      <c r="D13" s="9" t="s">
        <v>115</v>
      </c>
      <c r="E13" s="11">
        <v>0.03</v>
      </c>
      <c r="G13" s="150" t="s">
        <v>52</v>
      </c>
      <c r="H13" s="151">
        <v>0</v>
      </c>
    </row>
    <row r="14" spans="1:8" x14ac:dyDescent="0.25">
      <c r="A14" s="4"/>
      <c r="D14" s="121"/>
      <c r="E14" s="122"/>
      <c r="G14" s="150" t="s">
        <v>74</v>
      </c>
      <c r="H14" s="151">
        <v>0</v>
      </c>
    </row>
    <row r="15" spans="1:8" ht="15.75" thickBot="1" x14ac:dyDescent="0.3">
      <c r="A15" s="5"/>
      <c r="B15" s="44"/>
      <c r="C15" s="44"/>
      <c r="D15" s="43"/>
      <c r="E15" s="53"/>
      <c r="F15" s="54"/>
      <c r="G15" s="43"/>
      <c r="H15" s="55"/>
    </row>
  </sheetData>
  <mergeCells count="2">
    <mergeCell ref="A3:B3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showGridLines="0" zoomScaleNormal="100" workbookViewId="0">
      <pane ySplit="2" topLeftCell="A3" activePane="bottomLeft" state="frozenSplit"/>
      <selection pane="bottomLeft" activeCell="H33" sqref="H33"/>
    </sheetView>
  </sheetViews>
  <sheetFormatPr defaultRowHeight="15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customWidth="1"/>
    <col min="7" max="7" width="13.7109375" customWidth="1"/>
    <col min="9" max="9" width="21" customWidth="1"/>
    <col min="10" max="10" width="10.5703125" customWidth="1"/>
    <col min="11" max="11" width="17.140625" customWidth="1"/>
    <col min="17" max="17" width="24.42578125" customWidth="1"/>
    <col min="18" max="18" width="9.28515625" customWidth="1"/>
  </cols>
  <sheetData>
    <row r="1" spans="1:18" ht="38.1" customHeight="1" x14ac:dyDescent="0.25"/>
    <row r="2" spans="1:18" ht="3" customHeight="1" x14ac:dyDescent="0.25"/>
    <row r="3" spans="1:18" ht="12.95" customHeight="1" x14ac:dyDescent="0.25">
      <c r="C3" s="15" t="s">
        <v>27</v>
      </c>
    </row>
    <row r="4" spans="1:18" ht="12.95" customHeight="1" x14ac:dyDescent="0.25">
      <c r="C4" s="15" t="s">
        <v>87</v>
      </c>
    </row>
    <row r="5" spans="1:18" ht="12.95" customHeight="1" x14ac:dyDescent="0.25">
      <c r="C5" s="15" t="s">
        <v>182</v>
      </c>
      <c r="I5" s="16" t="s">
        <v>42</v>
      </c>
      <c r="J5" s="17">
        <f>AVERAGE(J10:J49)</f>
        <v>27.732260652780564</v>
      </c>
      <c r="K5" s="17">
        <f>AVERAGE(K10:K49)</f>
        <v>2666.3230597193101</v>
      </c>
      <c r="L5" s="18"/>
      <c r="M5" s="18"/>
      <c r="N5" s="18"/>
      <c r="O5" s="18"/>
      <c r="P5" s="18"/>
      <c r="Q5" s="18"/>
      <c r="R5" s="18"/>
    </row>
    <row r="6" spans="1:18" ht="12.95" customHeight="1" x14ac:dyDescent="0.25">
      <c r="C6" s="15" t="s">
        <v>28</v>
      </c>
      <c r="I6" s="16" t="s">
        <v>43</v>
      </c>
      <c r="J6" s="17">
        <f>MEDIAN(J10:J49)</f>
        <v>13.656001307058411</v>
      </c>
      <c r="K6" s="17">
        <f>MEDIAN(K10:K49)</f>
        <v>1815.2415729700001</v>
      </c>
      <c r="L6" s="18"/>
      <c r="M6" s="18"/>
      <c r="N6" s="18"/>
      <c r="O6" s="18"/>
      <c r="P6" s="18"/>
      <c r="Q6" s="18"/>
      <c r="R6" s="18"/>
    </row>
    <row r="7" spans="1:18" ht="12.95" customHeight="1" thickBot="1" x14ac:dyDescent="0.3">
      <c r="A7" s="19" t="s">
        <v>29</v>
      </c>
      <c r="B7" s="19" t="s">
        <v>30</v>
      </c>
      <c r="C7" s="19" t="s">
        <v>31</v>
      </c>
      <c r="D7" s="19" t="s">
        <v>32</v>
      </c>
      <c r="E7" s="19" t="s">
        <v>33</v>
      </c>
      <c r="F7" s="19" t="s">
        <v>34</v>
      </c>
      <c r="G7" s="19" t="s">
        <v>35</v>
      </c>
      <c r="H7" s="20" t="s">
        <v>62</v>
      </c>
      <c r="I7" s="21" t="s">
        <v>44</v>
      </c>
      <c r="J7" s="21" t="s">
        <v>45</v>
      </c>
      <c r="K7" s="21" t="s">
        <v>46</v>
      </c>
      <c r="L7" s="18"/>
      <c r="M7" s="21" t="s">
        <v>47</v>
      </c>
      <c r="N7" s="18"/>
      <c r="O7" s="21" t="s">
        <v>48</v>
      </c>
      <c r="P7" s="18"/>
      <c r="Q7" s="21" t="s">
        <v>49</v>
      </c>
      <c r="R7" s="21" t="s">
        <v>48</v>
      </c>
    </row>
    <row r="8" spans="1:18" ht="12.95" customHeight="1" x14ac:dyDescent="0.25">
      <c r="A8" s="22" t="s">
        <v>88</v>
      </c>
      <c r="B8" s="23"/>
      <c r="C8" s="23"/>
      <c r="D8" s="23"/>
      <c r="E8" s="24"/>
      <c r="F8" s="24"/>
      <c r="G8" s="24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2.95" customHeight="1" x14ac:dyDescent="0.25">
      <c r="A9" s="22" t="s">
        <v>67</v>
      </c>
      <c r="B9" s="23"/>
      <c r="C9" s="23"/>
      <c r="D9" s="23"/>
      <c r="E9" s="24"/>
      <c r="F9" s="24"/>
      <c r="G9" s="24"/>
      <c r="I9" s="18"/>
      <c r="J9" s="25"/>
      <c r="K9" s="25"/>
      <c r="L9" s="18"/>
      <c r="M9" s="6"/>
      <c r="N9" s="26"/>
      <c r="O9" s="6"/>
      <c r="P9" s="18"/>
      <c r="Q9" s="18" t="s">
        <v>23</v>
      </c>
      <c r="R9" s="14">
        <f t="shared" ref="R9:R19" si="0">SUMIF(I:I,Q9,O:O)</f>
        <v>0.99257817496811107</v>
      </c>
    </row>
    <row r="10" spans="1:18" ht="12.95" customHeight="1" x14ac:dyDescent="0.25">
      <c r="A10" s="24" t="s">
        <v>172</v>
      </c>
      <c r="B10" s="24" t="s">
        <v>173</v>
      </c>
      <c r="C10" s="24" t="s">
        <v>174</v>
      </c>
      <c r="D10" s="27">
        <v>169694.03</v>
      </c>
      <c r="E10" s="28">
        <v>100</v>
      </c>
      <c r="F10" s="29">
        <v>169694.03</v>
      </c>
      <c r="G10" s="29">
        <v>169694.03</v>
      </c>
      <c r="I10" s="38" t="s">
        <v>59</v>
      </c>
      <c r="J10" s="25"/>
      <c r="K10" s="25"/>
      <c r="L10" s="18"/>
      <c r="M10" s="6">
        <f>G10/$G$45</f>
        <v>9.6652898317716202E-2</v>
      </c>
      <c r="N10" s="26"/>
      <c r="O10" s="6"/>
      <c r="P10" s="18"/>
      <c r="Q10" s="38" t="s">
        <v>58</v>
      </c>
      <c r="R10" s="14">
        <f t="shared" si="0"/>
        <v>7.4218250318887971E-3</v>
      </c>
    </row>
    <row r="11" spans="1:18" ht="12.95" customHeight="1" x14ac:dyDescent="0.25">
      <c r="A11" s="30" t="s">
        <v>68</v>
      </c>
      <c r="D11" s="31">
        <v>169694.03</v>
      </c>
      <c r="E11" s="32"/>
      <c r="F11" s="33">
        <v>169694.03</v>
      </c>
      <c r="G11" s="33">
        <v>169694.03</v>
      </c>
      <c r="I11" s="18"/>
      <c r="J11" s="25"/>
      <c r="K11" s="25"/>
      <c r="L11" s="18"/>
      <c r="M11" s="6"/>
      <c r="N11" s="6"/>
      <c r="O11" s="6"/>
      <c r="P11" s="18"/>
      <c r="Q11" s="18" t="s">
        <v>25</v>
      </c>
      <c r="R11" s="14">
        <f t="shared" si="0"/>
        <v>0</v>
      </c>
    </row>
    <row r="12" spans="1:18" ht="12.95" customHeight="1" x14ac:dyDescent="0.25">
      <c r="A12" s="22" t="s">
        <v>60</v>
      </c>
      <c r="B12" s="23"/>
      <c r="C12" s="23"/>
      <c r="D12" s="23"/>
      <c r="E12" s="24"/>
      <c r="F12" s="24"/>
      <c r="G12" s="24"/>
      <c r="P12" s="18"/>
      <c r="Q12" s="18" t="s">
        <v>50</v>
      </c>
      <c r="R12" s="14">
        <f t="shared" si="0"/>
        <v>0</v>
      </c>
    </row>
    <row r="13" spans="1:18" ht="12.95" customHeight="1" x14ac:dyDescent="0.25">
      <c r="A13" s="24" t="s">
        <v>89</v>
      </c>
      <c r="B13" s="24" t="s">
        <v>90</v>
      </c>
      <c r="C13" s="34" t="s">
        <v>91</v>
      </c>
      <c r="D13" s="27">
        <v>23225</v>
      </c>
      <c r="E13" s="28">
        <v>9.42</v>
      </c>
      <c r="F13" s="29">
        <v>239189.82</v>
      </c>
      <c r="G13" s="29">
        <v>218779.5</v>
      </c>
      <c r="H13" s="45">
        <f>RANK(O13,O:O)</f>
        <v>1</v>
      </c>
      <c r="I13" s="35" t="s">
        <v>23</v>
      </c>
      <c r="J13" s="36">
        <v>16.558765293204306</v>
      </c>
      <c r="K13" s="36">
        <v>13471.60039458</v>
      </c>
      <c r="L13" s="35"/>
      <c r="M13" s="7">
        <f>G13/$G$45</f>
        <v>0.12461058746439573</v>
      </c>
      <c r="N13" s="37">
        <f>ROUND(M13,3)</f>
        <v>0.125</v>
      </c>
      <c r="O13" s="7">
        <f>G13/SUM($G$42)</f>
        <v>0.13794319728522528</v>
      </c>
      <c r="P13" s="18"/>
      <c r="Q13" s="18" t="s">
        <v>53</v>
      </c>
      <c r="R13" s="14">
        <f t="shared" si="0"/>
        <v>0</v>
      </c>
    </row>
    <row r="14" spans="1:18" ht="12.95" customHeight="1" x14ac:dyDescent="0.25">
      <c r="A14" s="24" t="s">
        <v>92</v>
      </c>
      <c r="B14" s="24" t="s">
        <v>93</v>
      </c>
      <c r="C14" s="34" t="s">
        <v>94</v>
      </c>
      <c r="D14" s="27">
        <v>9350</v>
      </c>
      <c r="E14" s="28">
        <v>17.68</v>
      </c>
      <c r="F14" s="29">
        <v>168555.17</v>
      </c>
      <c r="G14" s="29">
        <v>165308</v>
      </c>
      <c r="H14" s="45">
        <f t="shared" ref="H14:H41" si="1">RANK(O14,O:O)</f>
        <v>2</v>
      </c>
      <c r="I14" s="35" t="s">
        <v>23</v>
      </c>
      <c r="J14" s="36" t="s">
        <v>75</v>
      </c>
      <c r="K14" s="36">
        <v>9563.4294090399999</v>
      </c>
      <c r="L14" s="35"/>
      <c r="M14" s="7">
        <f t="shared" ref="M14:M41" si="2">G14/$G$45</f>
        <v>9.4154740241038704E-2</v>
      </c>
      <c r="N14" s="37">
        <f t="shared" ref="N14:N22" si="3">ROUND(M14,3)</f>
        <v>9.4E-2</v>
      </c>
      <c r="O14" s="7">
        <f t="shared" ref="O14:O41" si="4">G14/SUM($G$42)</f>
        <v>0.10422875112533861</v>
      </c>
      <c r="P14" s="18"/>
      <c r="Q14" s="18" t="s">
        <v>51</v>
      </c>
      <c r="R14" s="14">
        <f t="shared" si="0"/>
        <v>0</v>
      </c>
    </row>
    <row r="15" spans="1:18" ht="12.95" customHeight="1" x14ac:dyDescent="0.25">
      <c r="A15" s="24" t="s">
        <v>63</v>
      </c>
      <c r="B15" s="24" t="s">
        <v>64</v>
      </c>
      <c r="C15" s="34" t="s">
        <v>65</v>
      </c>
      <c r="D15" s="27">
        <v>5110</v>
      </c>
      <c r="E15" s="28">
        <v>24.86</v>
      </c>
      <c r="F15" s="29">
        <v>113850.13</v>
      </c>
      <c r="G15" s="29">
        <v>127034.6</v>
      </c>
      <c r="H15" s="45">
        <f t="shared" si="1"/>
        <v>3</v>
      </c>
      <c r="I15" s="35" t="s">
        <v>23</v>
      </c>
      <c r="J15" s="36">
        <v>19.135161983338371</v>
      </c>
      <c r="K15" s="36">
        <v>7008.7635912799997</v>
      </c>
      <c r="L15" s="35"/>
      <c r="M15" s="7">
        <f t="shared" si="2"/>
        <v>7.2355298985071842E-2</v>
      </c>
      <c r="N15" s="37">
        <f t="shared" si="3"/>
        <v>7.1999999999999995E-2</v>
      </c>
      <c r="O15" s="7">
        <f t="shared" si="4"/>
        <v>8.009689614360431E-2</v>
      </c>
      <c r="P15" s="18"/>
      <c r="Q15" s="18" t="s">
        <v>26</v>
      </c>
      <c r="R15" s="14">
        <f t="shared" si="0"/>
        <v>0</v>
      </c>
    </row>
    <row r="16" spans="1:18" ht="12.95" customHeight="1" x14ac:dyDescent="0.25">
      <c r="A16" s="24" t="s">
        <v>95</v>
      </c>
      <c r="B16" s="24" t="s">
        <v>96</v>
      </c>
      <c r="C16" s="24" t="s">
        <v>97</v>
      </c>
      <c r="D16" s="27">
        <v>6420</v>
      </c>
      <c r="E16" s="28">
        <v>16.11</v>
      </c>
      <c r="F16" s="29">
        <v>107130.93</v>
      </c>
      <c r="G16" s="29">
        <v>103426.2</v>
      </c>
      <c r="H16" s="45">
        <f t="shared" si="1"/>
        <v>4</v>
      </c>
      <c r="I16" s="35" t="s">
        <v>23</v>
      </c>
      <c r="J16" s="36">
        <v>13.7995785692395</v>
      </c>
      <c r="K16" s="36">
        <v>6694.0397658000002</v>
      </c>
      <c r="L16" s="35"/>
      <c r="M16" s="7">
        <f t="shared" si="2"/>
        <v>5.8908625082377847E-2</v>
      </c>
      <c r="N16" s="37">
        <f t="shared" si="3"/>
        <v>5.8999999999999997E-2</v>
      </c>
      <c r="O16" s="7">
        <f t="shared" si="4"/>
        <v>6.5211506156020851E-2</v>
      </c>
      <c r="P16" s="18"/>
      <c r="Q16" s="18" t="s">
        <v>24</v>
      </c>
      <c r="R16" s="14">
        <f t="shared" si="0"/>
        <v>0</v>
      </c>
    </row>
    <row r="17" spans="1:18" ht="12.95" customHeight="1" x14ac:dyDescent="0.25">
      <c r="A17" s="24" t="s">
        <v>98</v>
      </c>
      <c r="B17" s="24" t="s">
        <v>99</v>
      </c>
      <c r="C17" s="34" t="s">
        <v>100</v>
      </c>
      <c r="D17" s="27">
        <v>2745</v>
      </c>
      <c r="E17" s="28">
        <v>37.22</v>
      </c>
      <c r="F17" s="29">
        <v>95957.6</v>
      </c>
      <c r="G17" s="29">
        <v>102168.9</v>
      </c>
      <c r="H17" s="45">
        <f t="shared" si="1"/>
        <v>5</v>
      </c>
      <c r="I17" s="35" t="s">
        <v>23</v>
      </c>
      <c r="J17" s="36">
        <v>15.638655975085348</v>
      </c>
      <c r="K17" s="36">
        <v>5027.1148335999997</v>
      </c>
      <c r="L17" s="35"/>
      <c r="M17" s="7">
        <f t="shared" si="2"/>
        <v>5.8192502723477743E-2</v>
      </c>
      <c r="N17" s="37">
        <f t="shared" si="3"/>
        <v>5.8000000000000003E-2</v>
      </c>
      <c r="O17" s="7">
        <f t="shared" si="4"/>
        <v>6.4418762859931811E-2</v>
      </c>
      <c r="P17" s="18"/>
      <c r="Q17" s="18" t="s">
        <v>22</v>
      </c>
      <c r="R17" s="14">
        <f t="shared" si="0"/>
        <v>0</v>
      </c>
    </row>
    <row r="18" spans="1:18" ht="12.95" customHeight="1" x14ac:dyDescent="0.25">
      <c r="A18" s="24" t="s">
        <v>101</v>
      </c>
      <c r="B18" s="24" t="s">
        <v>102</v>
      </c>
      <c r="C18" s="34" t="s">
        <v>103</v>
      </c>
      <c r="D18" s="27">
        <v>3990</v>
      </c>
      <c r="E18" s="28">
        <v>20.56</v>
      </c>
      <c r="F18" s="29">
        <v>76674.42</v>
      </c>
      <c r="G18" s="29">
        <v>82034.399999999994</v>
      </c>
      <c r="H18" s="45">
        <f t="shared" si="1"/>
        <v>6</v>
      </c>
      <c r="I18" s="35" t="s">
        <v>23</v>
      </c>
      <c r="J18" s="36">
        <v>6.3234958678728823</v>
      </c>
      <c r="K18" s="36">
        <v>3847.9795823999993</v>
      </c>
      <c r="L18" s="35"/>
      <c r="M18" s="7">
        <f t="shared" si="2"/>
        <v>4.672446356395011E-2</v>
      </c>
      <c r="N18" s="37">
        <f t="shared" si="3"/>
        <v>4.7E-2</v>
      </c>
      <c r="O18" s="7">
        <f t="shared" si="4"/>
        <v>5.1723710052244763E-2</v>
      </c>
      <c r="P18" s="18"/>
      <c r="Q18" s="18" t="s">
        <v>52</v>
      </c>
      <c r="R18" s="14">
        <f t="shared" si="0"/>
        <v>0</v>
      </c>
    </row>
    <row r="19" spans="1:18" ht="12.95" customHeight="1" x14ac:dyDescent="0.25">
      <c r="A19" s="24" t="s">
        <v>104</v>
      </c>
      <c r="B19" s="24" t="s">
        <v>105</v>
      </c>
      <c r="C19" s="34" t="s">
        <v>106</v>
      </c>
      <c r="D19" s="27">
        <v>5025</v>
      </c>
      <c r="E19" s="28">
        <v>14.62</v>
      </c>
      <c r="F19" s="29">
        <v>71216.98</v>
      </c>
      <c r="G19" s="29">
        <v>73465.5</v>
      </c>
      <c r="H19" s="45">
        <f t="shared" si="1"/>
        <v>7</v>
      </c>
      <c r="I19" s="35" t="s">
        <v>23</v>
      </c>
      <c r="J19" s="36" t="s">
        <v>75</v>
      </c>
      <c r="K19" s="36">
        <v>3989.7970058399997</v>
      </c>
      <c r="L19" s="35"/>
      <c r="M19" s="7">
        <f t="shared" si="2"/>
        <v>4.1843861574624511E-2</v>
      </c>
      <c r="N19" s="37">
        <f t="shared" si="3"/>
        <v>4.2000000000000003E-2</v>
      </c>
      <c r="O19" s="7">
        <f t="shared" si="4"/>
        <v>4.6320911969164005E-2</v>
      </c>
      <c r="P19" s="18"/>
      <c r="Q19" s="18" t="s">
        <v>74</v>
      </c>
      <c r="R19" s="14">
        <f t="shared" si="0"/>
        <v>0</v>
      </c>
    </row>
    <row r="20" spans="1:18" ht="12.95" customHeight="1" x14ac:dyDescent="0.25">
      <c r="A20" s="24" t="s">
        <v>107</v>
      </c>
      <c r="B20" s="24" t="s">
        <v>108</v>
      </c>
      <c r="C20" s="34" t="s">
        <v>109</v>
      </c>
      <c r="D20" s="27">
        <v>9590</v>
      </c>
      <c r="E20" s="28">
        <v>7.65</v>
      </c>
      <c r="F20" s="29">
        <v>70321.2</v>
      </c>
      <c r="G20" s="29">
        <v>73363.5</v>
      </c>
      <c r="H20" s="45">
        <f t="shared" si="1"/>
        <v>8</v>
      </c>
      <c r="I20" s="35" t="s">
        <v>23</v>
      </c>
      <c r="J20" s="36">
        <v>14.184239540036508</v>
      </c>
      <c r="K20" s="36">
        <v>3456.0420835500004</v>
      </c>
      <c r="L20" s="35"/>
      <c r="M20" s="7">
        <f t="shared" si="2"/>
        <v>4.1785765272542422E-2</v>
      </c>
      <c r="N20" s="37">
        <f t="shared" si="3"/>
        <v>4.2000000000000003E-2</v>
      </c>
      <c r="O20" s="7">
        <f t="shared" si="4"/>
        <v>4.6256599699855898E-2</v>
      </c>
      <c r="P20" s="18"/>
      <c r="Q20" s="18"/>
      <c r="R20" s="18"/>
    </row>
    <row r="21" spans="1:18" ht="12.95" customHeight="1" x14ac:dyDescent="0.25">
      <c r="A21" s="24" t="s">
        <v>110</v>
      </c>
      <c r="B21" s="24" t="s">
        <v>111</v>
      </c>
      <c r="C21" s="34" t="s">
        <v>112</v>
      </c>
      <c r="D21" s="27">
        <v>3335</v>
      </c>
      <c r="E21" s="28">
        <v>18.29</v>
      </c>
      <c r="F21" s="29">
        <v>61537.86</v>
      </c>
      <c r="G21" s="29">
        <v>60997.15</v>
      </c>
      <c r="H21" s="45">
        <f t="shared" si="1"/>
        <v>9</v>
      </c>
      <c r="I21" s="35" t="s">
        <v>23</v>
      </c>
      <c r="J21" s="36">
        <v>17.337676993621695</v>
      </c>
      <c r="K21" s="36">
        <v>2808.1971438399996</v>
      </c>
      <c r="L21" s="35"/>
      <c r="M21" s="7">
        <f t="shared" si="2"/>
        <v>3.4742243652416543E-2</v>
      </c>
      <c r="N21" s="37">
        <f t="shared" si="3"/>
        <v>3.5000000000000003E-2</v>
      </c>
      <c r="O21" s="7">
        <f t="shared" si="4"/>
        <v>3.8459462135558765E-2</v>
      </c>
      <c r="P21" s="18"/>
      <c r="Q21" s="18"/>
      <c r="R21" s="18"/>
    </row>
    <row r="22" spans="1:18" ht="12.95" customHeight="1" x14ac:dyDescent="0.25">
      <c r="A22" s="24" t="s">
        <v>113</v>
      </c>
      <c r="B22" s="24" t="s">
        <v>114</v>
      </c>
      <c r="C22" s="34" t="s">
        <v>115</v>
      </c>
      <c r="D22" s="27">
        <v>3125</v>
      </c>
      <c r="E22" s="28">
        <v>16.649999999999999</v>
      </c>
      <c r="F22" s="29">
        <v>50381.46</v>
      </c>
      <c r="G22" s="29">
        <v>52031.25</v>
      </c>
      <c r="H22" s="45">
        <f t="shared" si="1"/>
        <v>10</v>
      </c>
      <c r="I22" s="35" t="s">
        <v>23</v>
      </c>
      <c r="J22" s="36">
        <v>6.0815318369222684</v>
      </c>
      <c r="K22" s="36">
        <v>2377.6581784499995</v>
      </c>
      <c r="L22" s="35"/>
      <c r="M22" s="7">
        <f t="shared" si="2"/>
        <v>2.963552174224203E-2</v>
      </c>
      <c r="N22" s="37">
        <f t="shared" si="3"/>
        <v>0.03</v>
      </c>
      <c r="O22" s="7">
        <f t="shared" si="4"/>
        <v>3.2806350612131746E-2</v>
      </c>
      <c r="P22" s="18"/>
      <c r="Q22" s="18"/>
      <c r="R22" s="18"/>
    </row>
    <row r="23" spans="1:18" ht="12.95" customHeight="1" x14ac:dyDescent="0.25">
      <c r="A23" s="24" t="s">
        <v>122</v>
      </c>
      <c r="B23" s="24" t="s">
        <v>123</v>
      </c>
      <c r="C23" s="24" t="s">
        <v>124</v>
      </c>
      <c r="D23" s="27">
        <v>3145</v>
      </c>
      <c r="E23" s="28">
        <v>16.54</v>
      </c>
      <c r="F23" s="29">
        <v>50145.919999999998</v>
      </c>
      <c r="G23" s="29">
        <v>52018.3</v>
      </c>
      <c r="H23">
        <f t="shared" si="1"/>
        <v>11</v>
      </c>
      <c r="I23" s="18" t="s">
        <v>23</v>
      </c>
      <c r="J23" s="25">
        <v>15.187828540561179</v>
      </c>
      <c r="K23" s="25">
        <v>1863.8845119399998</v>
      </c>
      <c r="L23" s="18"/>
      <c r="M23" s="147">
        <f t="shared" si="2"/>
        <v>2.962814579016396E-2</v>
      </c>
      <c r="N23" s="26"/>
      <c r="O23" s="147">
        <f t="shared" si="4"/>
        <v>3.2798185475979395E-2</v>
      </c>
      <c r="P23" s="18"/>
      <c r="Q23" s="18"/>
      <c r="R23" s="18"/>
    </row>
    <row r="24" spans="1:18" ht="12.95" customHeight="1" x14ac:dyDescent="0.25">
      <c r="A24" s="24" t="s">
        <v>119</v>
      </c>
      <c r="B24" s="24" t="s">
        <v>120</v>
      </c>
      <c r="C24" s="24" t="s">
        <v>121</v>
      </c>
      <c r="D24" s="27">
        <v>2300</v>
      </c>
      <c r="E24" s="28">
        <v>20.27</v>
      </c>
      <c r="F24" s="29">
        <v>46901.01</v>
      </c>
      <c r="G24" s="29">
        <v>46621</v>
      </c>
      <c r="H24">
        <f t="shared" si="1"/>
        <v>12</v>
      </c>
      <c r="I24" s="18" t="s">
        <v>23</v>
      </c>
      <c r="J24" s="25">
        <v>11.784883987071902</v>
      </c>
      <c r="K24" s="25">
        <v>1502.5147837699999</v>
      </c>
      <c r="L24" s="18"/>
      <c r="M24" s="147">
        <f t="shared" si="2"/>
        <v>2.6553997052637897E-2</v>
      </c>
      <c r="N24" s="26"/>
      <c r="O24" s="147">
        <f t="shared" si="4"/>
        <v>2.939512066091424E-2</v>
      </c>
      <c r="P24" s="18"/>
      <c r="Q24" s="18"/>
      <c r="R24" s="18"/>
    </row>
    <row r="25" spans="1:18" ht="12.95" customHeight="1" x14ac:dyDescent="0.25">
      <c r="A25" s="24" t="s">
        <v>131</v>
      </c>
      <c r="B25" s="24" t="s">
        <v>132</v>
      </c>
      <c r="C25" s="24" t="s">
        <v>133</v>
      </c>
      <c r="D25" s="27">
        <v>7395</v>
      </c>
      <c r="E25" s="28">
        <v>6.23</v>
      </c>
      <c r="F25" s="29">
        <v>44676.19</v>
      </c>
      <c r="G25" s="29">
        <v>46070.85</v>
      </c>
      <c r="H25">
        <f t="shared" si="1"/>
        <v>13</v>
      </c>
      <c r="I25" s="18" t="s">
        <v>23</v>
      </c>
      <c r="J25" s="25">
        <v>13.211020109321693</v>
      </c>
      <c r="K25" s="25">
        <v>1815.2415729700001</v>
      </c>
      <c r="L25" s="18"/>
      <c r="M25" s="147">
        <f t="shared" si="2"/>
        <v>2.6240647242927493E-2</v>
      </c>
      <c r="N25" s="26"/>
      <c r="O25" s="147">
        <f t="shared" si="4"/>
        <v>2.9048244239739191E-2</v>
      </c>
      <c r="P25" s="18"/>
      <c r="Q25" s="18"/>
      <c r="R25" s="18"/>
    </row>
    <row r="26" spans="1:18" ht="12.95" customHeight="1" x14ac:dyDescent="0.25">
      <c r="A26" s="24" t="s">
        <v>137</v>
      </c>
      <c r="B26" s="24" t="s">
        <v>138</v>
      </c>
      <c r="C26" s="24" t="s">
        <v>139</v>
      </c>
      <c r="D26" s="27">
        <v>1990</v>
      </c>
      <c r="E26" s="28">
        <v>22.29</v>
      </c>
      <c r="F26" s="29">
        <v>41966.41</v>
      </c>
      <c r="G26" s="29">
        <v>44357.1</v>
      </c>
      <c r="H26">
        <f t="shared" si="1"/>
        <v>14</v>
      </c>
      <c r="I26" s="18" t="s">
        <v>23</v>
      </c>
      <c r="J26" s="25">
        <v>9.135246276855467</v>
      </c>
      <c r="K26" s="25">
        <v>2233.0618398299998</v>
      </c>
      <c r="L26" s="18"/>
      <c r="M26" s="147">
        <f t="shared" si="2"/>
        <v>2.5264543932210042E-2</v>
      </c>
      <c r="N26" s="26"/>
      <c r="O26" s="147">
        <f t="shared" si="4"/>
        <v>2.7967703538496366E-2</v>
      </c>
      <c r="P26" s="18"/>
      <c r="Q26" s="18"/>
      <c r="R26" s="18"/>
    </row>
    <row r="27" spans="1:18" ht="12.95" customHeight="1" x14ac:dyDescent="0.25">
      <c r="A27" s="24" t="s">
        <v>134</v>
      </c>
      <c r="B27" s="24" t="s">
        <v>135</v>
      </c>
      <c r="C27" s="24" t="s">
        <v>136</v>
      </c>
      <c r="D27" s="27">
        <v>2165</v>
      </c>
      <c r="E27" s="28">
        <v>20.420000000000002</v>
      </c>
      <c r="F27" s="29">
        <v>44290.42</v>
      </c>
      <c r="G27" s="29">
        <v>44209.3</v>
      </c>
      <c r="H27">
        <f t="shared" si="1"/>
        <v>15</v>
      </c>
      <c r="I27" s="18" t="s">
        <v>23</v>
      </c>
      <c r="J27" s="25">
        <v>13.797297348847261</v>
      </c>
      <c r="K27" s="25">
        <v>1173.8760248600001</v>
      </c>
      <c r="L27" s="18"/>
      <c r="M27" s="147">
        <f t="shared" si="2"/>
        <v>2.5180361251349922E-2</v>
      </c>
      <c r="N27" s="26"/>
      <c r="O27" s="147">
        <f t="shared" si="4"/>
        <v>2.7874513799244032E-2</v>
      </c>
      <c r="P27" s="18"/>
      <c r="Q27" s="18"/>
      <c r="R27" s="18"/>
    </row>
    <row r="28" spans="1:18" ht="12.95" customHeight="1" x14ac:dyDescent="0.25">
      <c r="A28" s="24" t="s">
        <v>128</v>
      </c>
      <c r="B28" s="24" t="s">
        <v>129</v>
      </c>
      <c r="C28" s="24" t="s">
        <v>130</v>
      </c>
      <c r="D28" s="27">
        <v>2275</v>
      </c>
      <c r="E28" s="28">
        <v>18.38</v>
      </c>
      <c r="F28" s="29">
        <v>42298.28</v>
      </c>
      <c r="G28" s="29">
        <v>41814.5</v>
      </c>
      <c r="H28">
        <f t="shared" si="1"/>
        <v>16</v>
      </c>
      <c r="I28" s="18" t="s">
        <v>23</v>
      </c>
      <c r="J28" s="25">
        <v>13.514705265269562</v>
      </c>
      <c r="K28" s="25">
        <v>1008.2019079</v>
      </c>
      <c r="L28" s="18"/>
      <c r="M28" s="147">
        <f t="shared" si="2"/>
        <v>2.3816351209916719E-2</v>
      </c>
      <c r="N28" s="26"/>
      <c r="O28" s="147">
        <f t="shared" si="4"/>
        <v>2.6364562597880753E-2</v>
      </c>
      <c r="P28" s="18"/>
      <c r="Q28" s="18"/>
      <c r="R28" s="18"/>
    </row>
    <row r="29" spans="1:18" ht="12.95" customHeight="1" x14ac:dyDescent="0.25">
      <c r="A29" s="24" t="s">
        <v>116</v>
      </c>
      <c r="B29" s="24" t="s">
        <v>117</v>
      </c>
      <c r="C29" s="24" t="s">
        <v>118</v>
      </c>
      <c r="D29" s="27">
        <v>2240</v>
      </c>
      <c r="E29" s="28">
        <v>18.04</v>
      </c>
      <c r="F29" s="29">
        <v>38154.06</v>
      </c>
      <c r="G29" s="29">
        <v>40409.599999999999</v>
      </c>
      <c r="H29">
        <f t="shared" si="1"/>
        <v>17</v>
      </c>
      <c r="I29" s="18" t="s">
        <v>23</v>
      </c>
      <c r="J29" s="25">
        <v>14.578614947223109</v>
      </c>
      <c r="K29" s="25">
        <v>2159.9788641199998</v>
      </c>
      <c r="L29" s="18"/>
      <c r="M29" s="147">
        <f t="shared" si="2"/>
        <v>2.30161600844743E-2</v>
      </c>
      <c r="N29" s="26"/>
      <c r="O29" s="147">
        <f t="shared" si="4"/>
        <v>2.5478755665028208E-2</v>
      </c>
      <c r="P29" s="18"/>
      <c r="Q29" s="18"/>
      <c r="R29" s="18"/>
    </row>
    <row r="30" spans="1:18" ht="12.95" customHeight="1" x14ac:dyDescent="0.25">
      <c r="A30" s="24" t="s">
        <v>140</v>
      </c>
      <c r="B30" s="24" t="s">
        <v>141</v>
      </c>
      <c r="C30" s="24" t="s">
        <v>142</v>
      </c>
      <c r="D30" s="27">
        <v>1945</v>
      </c>
      <c r="E30" s="28">
        <v>14.35</v>
      </c>
      <c r="F30" s="29">
        <v>25050.83</v>
      </c>
      <c r="G30" s="29">
        <v>27910.75</v>
      </c>
      <c r="H30">
        <f t="shared" si="1"/>
        <v>18</v>
      </c>
      <c r="I30" s="18" t="s">
        <v>23</v>
      </c>
      <c r="J30" s="25">
        <v>12.698115264788639</v>
      </c>
      <c r="K30" s="25">
        <v>1854.2396697999998</v>
      </c>
      <c r="L30" s="18"/>
      <c r="M30" s="147">
        <f t="shared" si="2"/>
        <v>1.5897170228800609E-2</v>
      </c>
      <c r="N30" s="26"/>
      <c r="O30" s="147">
        <f t="shared" si="4"/>
        <v>1.7598075201874952E-2</v>
      </c>
      <c r="P30" s="18"/>
      <c r="Q30" s="18"/>
      <c r="R30" s="18"/>
    </row>
    <row r="31" spans="1:18" ht="12.95" customHeight="1" x14ac:dyDescent="0.25">
      <c r="A31" s="24" t="s">
        <v>125</v>
      </c>
      <c r="B31" s="24" t="s">
        <v>126</v>
      </c>
      <c r="C31" s="24" t="s">
        <v>127</v>
      </c>
      <c r="D31" s="27">
        <v>1485</v>
      </c>
      <c r="E31" s="28">
        <v>17.87</v>
      </c>
      <c r="F31" s="29">
        <v>29332.55</v>
      </c>
      <c r="G31" s="29">
        <v>26536.95</v>
      </c>
      <c r="H31">
        <f t="shared" si="1"/>
        <v>19</v>
      </c>
      <c r="I31" s="18" t="s">
        <v>23</v>
      </c>
      <c r="J31" s="25" t="s">
        <v>75</v>
      </c>
      <c r="K31" s="25">
        <v>1052.35997546</v>
      </c>
      <c r="L31" s="18"/>
      <c r="M31" s="147">
        <f t="shared" si="2"/>
        <v>1.5114692779777337E-2</v>
      </c>
      <c r="N31" s="26"/>
      <c r="O31" s="147">
        <f t="shared" si="4"/>
        <v>1.673187720603694E-2</v>
      </c>
      <c r="P31" s="18"/>
      <c r="Q31" s="18"/>
      <c r="R31" s="18"/>
    </row>
    <row r="32" spans="1:18" ht="12.95" customHeight="1" x14ac:dyDescent="0.25">
      <c r="A32" s="24" t="s">
        <v>162</v>
      </c>
      <c r="B32" s="24" t="s">
        <v>163</v>
      </c>
      <c r="C32" s="24" t="s">
        <v>164</v>
      </c>
      <c r="D32" s="27">
        <v>2070</v>
      </c>
      <c r="E32" s="28">
        <v>11.81</v>
      </c>
      <c r="F32" s="29">
        <v>23714.91</v>
      </c>
      <c r="G32" s="29">
        <v>24446.7</v>
      </c>
      <c r="H32">
        <f t="shared" si="1"/>
        <v>20</v>
      </c>
      <c r="I32" s="18" t="s">
        <v>23</v>
      </c>
      <c r="J32" s="25">
        <v>12.518669798224385</v>
      </c>
      <c r="K32" s="25">
        <v>376.50981514</v>
      </c>
      <c r="L32" s="18"/>
      <c r="M32" s="147">
        <f t="shared" si="2"/>
        <v>1.3924145765786296E-2</v>
      </c>
      <c r="N32" s="26"/>
      <c r="O32" s="147">
        <f t="shared" si="4"/>
        <v>1.5413948569553896E-2</v>
      </c>
      <c r="P32" s="18"/>
      <c r="Q32" s="18"/>
      <c r="R32" s="18"/>
    </row>
    <row r="33" spans="1:18" ht="12.95" customHeight="1" x14ac:dyDescent="0.25">
      <c r="A33" s="24" t="s">
        <v>147</v>
      </c>
      <c r="B33" s="24" t="s">
        <v>148</v>
      </c>
      <c r="C33" s="24" t="s">
        <v>149</v>
      </c>
      <c r="D33" s="27">
        <v>1360</v>
      </c>
      <c r="E33" s="28">
        <v>15.42</v>
      </c>
      <c r="F33" s="29">
        <v>23771.82</v>
      </c>
      <c r="G33" s="29">
        <v>20971.2</v>
      </c>
      <c r="H33">
        <f t="shared" si="1"/>
        <v>21</v>
      </c>
      <c r="I33" s="18" t="s">
        <v>23</v>
      </c>
      <c r="J33" s="25">
        <v>5.0063878769746566</v>
      </c>
      <c r="K33" s="25">
        <v>504.88557209999999</v>
      </c>
      <c r="L33" s="18"/>
      <c r="M33" s="147">
        <f t="shared" si="2"/>
        <v>1.1944599708077474E-2</v>
      </c>
      <c r="N33" s="26"/>
      <c r="O33" s="147">
        <f t="shared" si="4"/>
        <v>1.3222602569746783E-2</v>
      </c>
      <c r="P33" s="18"/>
      <c r="Q33" s="18"/>
      <c r="R33" s="18"/>
    </row>
    <row r="34" spans="1:18" ht="12.95" customHeight="1" x14ac:dyDescent="0.25">
      <c r="A34" s="24" t="s">
        <v>143</v>
      </c>
      <c r="B34" s="24" t="s">
        <v>144</v>
      </c>
      <c r="C34" s="24" t="s">
        <v>145</v>
      </c>
      <c r="D34" s="27">
        <v>1280</v>
      </c>
      <c r="E34" s="28">
        <v>15.84</v>
      </c>
      <c r="F34" s="29">
        <v>19771.16</v>
      </c>
      <c r="G34" s="29">
        <v>20275.2</v>
      </c>
      <c r="H34">
        <f t="shared" si="1"/>
        <v>22</v>
      </c>
      <c r="I34" s="18" t="s">
        <v>23</v>
      </c>
      <c r="J34" s="25">
        <v>12.19448365337788</v>
      </c>
      <c r="K34" s="25">
        <v>457.23126239999999</v>
      </c>
      <c r="L34" s="18"/>
      <c r="M34" s="147">
        <f t="shared" si="2"/>
        <v>1.1548177882105572E-2</v>
      </c>
      <c r="N34" s="26"/>
      <c r="O34" s="147">
        <f t="shared" si="4"/>
        <v>1.2783765908585583E-2</v>
      </c>
      <c r="P34" s="18"/>
      <c r="Q34" s="18"/>
      <c r="R34" s="18"/>
    </row>
    <row r="35" spans="1:18" ht="12.95" customHeight="1" x14ac:dyDescent="0.25">
      <c r="A35" s="24" t="s">
        <v>150</v>
      </c>
      <c r="B35" s="24" t="s">
        <v>151</v>
      </c>
      <c r="C35" s="24" t="s">
        <v>152</v>
      </c>
      <c r="D35" s="27">
        <v>1830</v>
      </c>
      <c r="E35" s="28">
        <v>10.33</v>
      </c>
      <c r="F35" s="29">
        <v>19055.93</v>
      </c>
      <c r="G35" s="29">
        <v>18903.900000000001</v>
      </c>
      <c r="H35">
        <f t="shared" si="1"/>
        <v>23</v>
      </c>
      <c r="I35" s="18" t="s">
        <v>23</v>
      </c>
      <c r="J35" s="25">
        <v>2.0216929660361558</v>
      </c>
      <c r="K35" s="25">
        <v>549.80783507000001</v>
      </c>
      <c r="L35" s="18"/>
      <c r="M35" s="147">
        <f t="shared" si="2"/>
        <v>1.0767124362054903E-2</v>
      </c>
      <c r="N35" s="26"/>
      <c r="O35" s="147">
        <f t="shared" si="4"/>
        <v>1.1919144193858063E-2</v>
      </c>
      <c r="P35" s="18"/>
      <c r="Q35" s="18"/>
      <c r="R35" s="18"/>
    </row>
    <row r="36" spans="1:18" ht="12.95" customHeight="1" x14ac:dyDescent="0.25">
      <c r="A36" s="24" t="s">
        <v>159</v>
      </c>
      <c r="B36" s="24" t="s">
        <v>160</v>
      </c>
      <c r="C36" s="24" t="s">
        <v>161</v>
      </c>
      <c r="D36" s="27">
        <v>2100</v>
      </c>
      <c r="E36" s="28">
        <v>7.92</v>
      </c>
      <c r="F36" s="29">
        <v>17530.32</v>
      </c>
      <c r="G36" s="29">
        <v>16632</v>
      </c>
      <c r="H36">
        <f t="shared" si="1"/>
        <v>24</v>
      </c>
      <c r="I36" s="18" t="s">
        <v>23</v>
      </c>
      <c r="J36" s="25">
        <v>35.744750334177056</v>
      </c>
      <c r="K36" s="25">
        <v>749.28312359999995</v>
      </c>
      <c r="L36" s="18"/>
      <c r="M36" s="147">
        <f t="shared" si="2"/>
        <v>9.4731146689147269E-3</v>
      </c>
      <c r="N36" s="26"/>
      <c r="O36" s="147">
        <f t="shared" si="4"/>
        <v>1.048668297188661E-2</v>
      </c>
      <c r="P36" s="18"/>
      <c r="Q36" s="18"/>
      <c r="R36" s="18"/>
    </row>
    <row r="37" spans="1:18" ht="12.95" customHeight="1" x14ac:dyDescent="0.25">
      <c r="A37" s="24" t="s">
        <v>175</v>
      </c>
      <c r="B37" s="24" t="s">
        <v>146</v>
      </c>
      <c r="C37" s="24" t="s">
        <v>176</v>
      </c>
      <c r="D37" s="27">
        <v>818</v>
      </c>
      <c r="E37" s="28">
        <v>16.940000000000001</v>
      </c>
      <c r="F37" s="29">
        <v>14792.11</v>
      </c>
      <c r="G37" s="29">
        <v>13856.92</v>
      </c>
      <c r="H37">
        <f t="shared" si="1"/>
        <v>25</v>
      </c>
      <c r="I37" s="18" t="s">
        <v>23</v>
      </c>
      <c r="J37" s="25">
        <v>16.150683602883216</v>
      </c>
      <c r="K37" s="25">
        <v>388.70512142000007</v>
      </c>
      <c r="L37" s="18"/>
      <c r="M37" s="147">
        <f t="shared" si="2"/>
        <v>7.892507943601362E-3</v>
      </c>
      <c r="N37" s="26"/>
      <c r="O37" s="147">
        <f t="shared" si="4"/>
        <v>8.7369604982440487E-3</v>
      </c>
    </row>
    <row r="38" spans="1:18" ht="12.95" customHeight="1" x14ac:dyDescent="0.25">
      <c r="A38" s="24" t="s">
        <v>153</v>
      </c>
      <c r="B38" s="24" t="s">
        <v>154</v>
      </c>
      <c r="C38" s="24" t="s">
        <v>155</v>
      </c>
      <c r="D38" s="27">
        <v>810</v>
      </c>
      <c r="E38" s="28">
        <v>14.59</v>
      </c>
      <c r="F38" s="29">
        <v>14995.22</v>
      </c>
      <c r="G38" s="29">
        <v>11817.9</v>
      </c>
      <c r="H38">
        <f t="shared" si="1"/>
        <v>26</v>
      </c>
      <c r="I38" s="18" t="s">
        <v>23</v>
      </c>
      <c r="J38" s="25" t="s">
        <v>75</v>
      </c>
      <c r="K38" s="25">
        <v>246.52146695000002</v>
      </c>
      <c r="L38" s="18"/>
      <c r="M38" s="147">
        <f t="shared" si="2"/>
        <v>6.7311400821168446E-3</v>
      </c>
      <c r="N38" s="26"/>
      <c r="O38" s="147">
        <f t="shared" si="4"/>
        <v>7.4513330142772227E-3</v>
      </c>
    </row>
    <row r="39" spans="1:18" ht="12.95" customHeight="1" x14ac:dyDescent="0.25">
      <c r="A39" s="24" t="s">
        <v>165</v>
      </c>
      <c r="B39" s="24" t="s">
        <v>166</v>
      </c>
      <c r="C39" s="24" t="s">
        <v>167</v>
      </c>
      <c r="D39" s="27">
        <v>615</v>
      </c>
      <c r="E39" s="28">
        <v>19.14</v>
      </c>
      <c r="F39" s="29">
        <v>11200.21</v>
      </c>
      <c r="G39" s="29">
        <v>11771.1</v>
      </c>
      <c r="H39">
        <f t="shared" si="1"/>
        <v>27</v>
      </c>
      <c r="I39" s="18" t="s">
        <v>58</v>
      </c>
      <c r="J39" s="25" t="s">
        <v>75</v>
      </c>
      <c r="K39" s="25">
        <v>425.61371094000003</v>
      </c>
      <c r="L39" s="18"/>
      <c r="M39" s="147">
        <f t="shared" si="2"/>
        <v>6.7044841317497684E-3</v>
      </c>
      <c r="N39" s="26"/>
      <c r="O39" s="147">
        <f t="shared" si="4"/>
        <v>7.4218250318887971E-3</v>
      </c>
    </row>
    <row r="40" spans="1:18" ht="12.95" customHeight="1" x14ac:dyDescent="0.25">
      <c r="A40" s="24" t="s">
        <v>156</v>
      </c>
      <c r="B40" s="24" t="s">
        <v>157</v>
      </c>
      <c r="C40" s="24" t="s">
        <v>158</v>
      </c>
      <c r="D40" s="27">
        <v>3000</v>
      </c>
      <c r="E40" s="28">
        <v>3.52</v>
      </c>
      <c r="F40" s="29">
        <v>12369.62</v>
      </c>
      <c r="G40" s="29">
        <v>10560</v>
      </c>
      <c r="H40">
        <f t="shared" si="1"/>
        <v>28</v>
      </c>
      <c r="I40" s="18" t="s">
        <v>23</v>
      </c>
      <c r="J40" s="25">
        <v>12.979781707086568</v>
      </c>
      <c r="K40" s="25">
        <v>347.93916256</v>
      </c>
      <c r="L40" s="18"/>
      <c r="M40" s="147">
        <f t="shared" si="2"/>
        <v>6.014675980263319E-3</v>
      </c>
      <c r="N40" s="26"/>
      <c r="O40" s="147">
        <f t="shared" si="4"/>
        <v>6.658211410721657E-3</v>
      </c>
    </row>
    <row r="41" spans="1:18" ht="12.95" customHeight="1" x14ac:dyDescent="0.25">
      <c r="A41" s="24" t="s">
        <v>168</v>
      </c>
      <c r="B41" s="24" t="s">
        <v>169</v>
      </c>
      <c r="C41" s="24" t="s">
        <v>170</v>
      </c>
      <c r="D41" s="27">
        <v>1405</v>
      </c>
      <c r="E41" s="28">
        <v>5.85</v>
      </c>
      <c r="F41" s="29">
        <v>9015.41</v>
      </c>
      <c r="G41" s="29">
        <v>8219.25</v>
      </c>
      <c r="H41">
        <f t="shared" si="1"/>
        <v>29</v>
      </c>
      <c r="I41" s="18" t="s">
        <v>23</v>
      </c>
      <c r="J41" s="25">
        <v>355.99098792871399</v>
      </c>
      <c r="K41" s="25">
        <v>368.89052264999998</v>
      </c>
      <c r="L41" s="18"/>
      <c r="M41" s="147">
        <f t="shared" si="2"/>
        <v>4.6814512832177354E-3</v>
      </c>
      <c r="N41" s="26"/>
      <c r="O41" s="147">
        <f t="shared" si="4"/>
        <v>5.1823394069672327E-3</v>
      </c>
    </row>
    <row r="42" spans="1:18" ht="12.95" customHeight="1" x14ac:dyDescent="0.25">
      <c r="A42" s="30" t="s">
        <v>61</v>
      </c>
      <c r="D42" s="31">
        <v>112143</v>
      </c>
      <c r="E42" s="32"/>
      <c r="F42" s="33">
        <v>1583847.95</v>
      </c>
      <c r="G42" s="33">
        <v>1586011.52</v>
      </c>
      <c r="I42" s="18"/>
      <c r="J42" s="25"/>
      <c r="K42" s="25"/>
      <c r="L42" s="18"/>
      <c r="M42" s="6"/>
      <c r="N42" s="26"/>
      <c r="O42" s="6"/>
    </row>
    <row r="43" spans="1:18" ht="12.95" customHeight="1" x14ac:dyDescent="0.25">
      <c r="A43" s="30" t="s">
        <v>171</v>
      </c>
      <c r="D43" s="39">
        <v>281837.03000000003</v>
      </c>
      <c r="E43" s="32"/>
      <c r="F43" s="40">
        <v>1753541.98</v>
      </c>
      <c r="G43" s="40">
        <v>1755705.55</v>
      </c>
      <c r="I43" s="18"/>
      <c r="J43" s="25"/>
      <c r="K43" s="25"/>
      <c r="L43" s="18"/>
      <c r="M43" s="6"/>
      <c r="N43" s="26"/>
      <c r="O43" s="6"/>
    </row>
    <row r="44" spans="1:18" ht="12.95" customHeight="1" x14ac:dyDescent="0.25">
      <c r="A44" s="41"/>
      <c r="B44" s="41"/>
      <c r="C44" s="41"/>
      <c r="D44" s="24"/>
      <c r="E44" s="24"/>
      <c r="F44" s="24"/>
      <c r="G44" s="24"/>
      <c r="I44" s="18"/>
      <c r="J44" s="25"/>
      <c r="K44" s="25"/>
      <c r="L44" s="18"/>
      <c r="M44" s="6"/>
      <c r="N44" s="26"/>
      <c r="O44" s="6"/>
    </row>
    <row r="45" spans="1:18" ht="12.95" customHeight="1" x14ac:dyDescent="0.25">
      <c r="A45" s="30" t="s">
        <v>171</v>
      </c>
      <c r="D45" s="39">
        <v>281837.03000000003</v>
      </c>
      <c r="E45" s="32"/>
      <c r="F45" s="40">
        <v>1753541.98</v>
      </c>
      <c r="G45" s="40">
        <v>1755705.55</v>
      </c>
      <c r="I45" s="18"/>
      <c r="J45" s="25"/>
      <c r="K45" s="25"/>
      <c r="L45" s="18"/>
      <c r="M45" s="6"/>
      <c r="N45" s="26"/>
      <c r="O45" s="6"/>
    </row>
    <row r="46" spans="1:18" ht="12.95" customHeight="1" x14ac:dyDescent="0.25">
      <c r="I46" s="18"/>
      <c r="J46" s="25"/>
      <c r="K46" s="25"/>
      <c r="L46" s="18"/>
      <c r="M46" s="6"/>
      <c r="N46" s="26"/>
      <c r="O46" s="6"/>
    </row>
    <row r="47" spans="1:18" ht="12.95" customHeight="1" x14ac:dyDescent="0.25">
      <c r="I47" s="18"/>
      <c r="J47" s="25"/>
      <c r="K47" s="25"/>
      <c r="L47" s="18"/>
      <c r="M47" s="6"/>
      <c r="N47" s="26"/>
      <c r="O47" s="6"/>
    </row>
    <row r="48" spans="1:18" ht="12.95" customHeight="1" x14ac:dyDescent="0.25">
      <c r="I48" s="18"/>
      <c r="J48" s="25"/>
      <c r="K48" s="25"/>
      <c r="L48" s="18"/>
      <c r="M48" s="6"/>
      <c r="N48" s="26"/>
      <c r="O48" s="6"/>
    </row>
    <row r="49" spans="9:15" ht="12.95" customHeight="1" x14ac:dyDescent="0.25">
      <c r="I49" s="18"/>
      <c r="J49" s="25"/>
      <c r="K49" s="25"/>
      <c r="L49" s="18"/>
      <c r="M49" s="6"/>
      <c r="N49" s="26"/>
      <c r="O49" s="6"/>
    </row>
    <row r="50" spans="9:15" ht="12.95" customHeight="1" x14ac:dyDescent="0.25">
      <c r="I50" s="18"/>
      <c r="J50" s="25"/>
      <c r="K50" s="25"/>
      <c r="L50" s="18"/>
      <c r="M50" s="6"/>
      <c r="N50" s="26"/>
      <c r="O50" s="6"/>
    </row>
    <row r="51" spans="9:15" ht="12.95" customHeight="1" x14ac:dyDescent="0.25">
      <c r="I51" s="18"/>
      <c r="J51" s="25"/>
      <c r="K51" s="25"/>
      <c r="L51" s="18"/>
      <c r="M51" s="6"/>
      <c r="N51" s="26"/>
      <c r="O51" s="6"/>
    </row>
    <row r="52" spans="9:15" ht="12.95" customHeight="1" x14ac:dyDescent="0.25"/>
    <row r="53" spans="9:15" ht="12.95" customHeight="1" x14ac:dyDescent="0.25"/>
    <row r="54" spans="9:15" ht="12.95" customHeight="1" x14ac:dyDescent="0.25"/>
    <row r="55" spans="9:15" ht="12.95" customHeight="1" x14ac:dyDescent="0.25"/>
    <row r="56" spans="9:15" ht="12.95" customHeight="1" x14ac:dyDescent="0.25"/>
    <row r="57" spans="9:15" ht="12.95" customHeight="1" x14ac:dyDescent="0.25"/>
    <row r="58" spans="9:15" ht="12.95" customHeight="1" x14ac:dyDescent="0.25"/>
    <row r="59" spans="9:15" ht="12.95" customHeight="1" x14ac:dyDescent="0.25"/>
    <row r="60" spans="9:15" ht="12.95" customHeight="1" x14ac:dyDescent="0.25"/>
    <row r="61" spans="9:15" ht="12.95" customHeight="1" x14ac:dyDescent="0.25"/>
    <row r="62" spans="9:15" ht="12.95" customHeight="1" x14ac:dyDescent="0.25"/>
    <row r="63" spans="9:15" ht="12.95" customHeight="1" x14ac:dyDescent="0.25"/>
    <row r="64" spans="9:15" ht="12.95" customHeight="1" x14ac:dyDescent="0.25"/>
    <row r="65" ht="12.95" customHeight="1" x14ac:dyDescent="0.25"/>
    <row r="66" ht="12.95" customHeight="1" x14ac:dyDescent="0.25"/>
    <row r="67" ht="12.95" customHeight="1" x14ac:dyDescent="0.25"/>
    <row r="68" ht="12.95" customHeight="1" x14ac:dyDescent="0.25"/>
    <row r="69" ht="12.95" customHeight="1" x14ac:dyDescent="0.25"/>
    <row r="70" ht="12.95" customHeight="1" x14ac:dyDescent="0.25"/>
    <row r="71" ht="12.95" customHeight="1" x14ac:dyDescent="0.25"/>
    <row r="72" ht="12.95" customHeight="1" x14ac:dyDescent="0.25"/>
    <row r="73" ht="12.95" customHeight="1" x14ac:dyDescent="0.25"/>
    <row r="74" ht="12.95" customHeight="1" x14ac:dyDescent="0.25"/>
    <row r="75" ht="12.95" customHeight="1" x14ac:dyDescent="0.25"/>
    <row r="76" ht="12.95" customHeight="1" x14ac:dyDescent="0.25"/>
  </sheetData>
  <pageMargins left="0.25" right="0.25" top="0.25" bottom="0.45832992125984251" header="0.25" footer="0.25"/>
  <pageSetup orientation="landscape" horizontalDpi="0" verticalDpi="0"/>
  <headerFooter alignWithMargins="0">
    <oddFooter xml:space="preserve">&amp;L&amp;"Arial"&amp;8Page: &amp;P of &amp;N &amp;C&amp;R&amp;"Arial"&amp;8 10/3/2016 12:19:25 PM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B4C3-C7EC-4BC8-B6AD-1E728CD03BE0}">
  <sheetPr>
    <tabColor rgb="FFFF0000"/>
  </sheetPr>
  <dimension ref="A1:B4"/>
  <sheetViews>
    <sheetView workbookViewId="0"/>
  </sheetViews>
  <sheetFormatPr defaultRowHeight="15" x14ac:dyDescent="0.25"/>
  <cols>
    <col min="1" max="1" width="41.140625" bestFit="1" customWidth="1"/>
    <col min="2" max="2" width="10.28515625" customWidth="1"/>
  </cols>
  <sheetData>
    <row r="1" spans="1:2" x14ac:dyDescent="0.25">
      <c r="A1" t="s">
        <v>185</v>
      </c>
      <c r="B1" t="s">
        <v>186</v>
      </c>
    </row>
    <row r="2" spans="1:2" x14ac:dyDescent="0.25">
      <c r="A2" t="str">
        <f>'CGG Fact Sheet Backup'!K22</f>
        <v>CGGIX SEC Yield</v>
      </c>
      <c r="B2" s="148">
        <f>'CGG Fact Sheet Backup'!L22*100</f>
        <v>5.8000000000000007</v>
      </c>
    </row>
    <row r="3" spans="1:2" x14ac:dyDescent="0.25">
      <c r="A3" t="str">
        <f>'CGG Fact Sheet Backup'!K23</f>
        <v>S&amp;P 500 Index Dividend Yield</v>
      </c>
      <c r="B3" s="148">
        <f>'CGG Fact Sheet Backup'!L23*100</f>
        <v>1.7999999999999998</v>
      </c>
    </row>
    <row r="4" spans="1:2" x14ac:dyDescent="0.25">
      <c r="A4" t="str">
        <f>'CGG Fact Sheet Backup'!K24</f>
        <v>Bloomberg Barclays US Agg TR Yield to Worst</v>
      </c>
      <c r="B4" s="148">
        <f>'CGG Fact Sheet Backup'!L24*100</f>
        <v>2.3102450000000001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4850-EF96-4B02-958F-C4A7F3DA1524}">
  <sheetPr>
    <tabColor rgb="FFFF0000"/>
  </sheetPr>
  <dimension ref="A1:G11"/>
  <sheetViews>
    <sheetView workbookViewId="0"/>
  </sheetViews>
  <sheetFormatPr defaultRowHeight="15" x14ac:dyDescent="0.25"/>
  <cols>
    <col min="1" max="1" width="38.85546875" bestFit="1" customWidth="1"/>
    <col min="6" max="6" width="15.7109375" bestFit="1" customWidth="1"/>
  </cols>
  <sheetData>
    <row r="1" spans="1:7" x14ac:dyDescent="0.25">
      <c r="A1" t="str">
        <f>'CGG Fact Sheet Backup'!K8</f>
        <v>Share Class/Benchmark</v>
      </c>
      <c r="B1" t="str">
        <f>'CGG Fact Sheet Backup'!L8</f>
        <v>YTD</v>
      </c>
      <c r="C1" t="str">
        <f>'CGG Fact Sheet Backup'!M8</f>
        <v>1YR</v>
      </c>
      <c r="D1" t="str">
        <f>'CGG Fact Sheet Backup'!N8</f>
        <v>5YR</v>
      </c>
      <c r="E1" t="str">
        <f>'CGG Fact Sheet Backup'!O8</f>
        <v>10YR</v>
      </c>
      <c r="F1" t="str">
        <f>'CGG Fact Sheet Backup'!P8</f>
        <v>Since Inception*</v>
      </c>
      <c r="G1" t="s">
        <v>187</v>
      </c>
    </row>
    <row r="2" spans="1:7" x14ac:dyDescent="0.25">
      <c r="A2" t="str">
        <f>'CGG Fact Sheet Backup'!K9</f>
        <v>Class A</v>
      </c>
      <c r="B2" s="148">
        <f>'CGG Fact Sheet Backup'!L9</f>
        <v>17.964010806953155</v>
      </c>
      <c r="C2" s="148">
        <f>'CGG Fact Sheet Backup'!M9</f>
        <v>17.964010806953155</v>
      </c>
      <c r="D2" s="148">
        <f>'CGG Fact Sheet Backup'!N9</f>
        <v>4.9290064313529003</v>
      </c>
      <c r="E2" s="148">
        <f>'CGG Fact Sheet Backup'!O9</f>
        <v>8.8814077411453862</v>
      </c>
      <c r="F2" s="148">
        <f>'CGG Fact Sheet Backup'!P9</f>
        <v>8.7522403083372993</v>
      </c>
      <c r="G2">
        <v>1</v>
      </c>
    </row>
    <row r="3" spans="1:7" x14ac:dyDescent="0.25">
      <c r="A3" t="str">
        <f>'CGG Fact Sheet Backup'!K10</f>
        <v>Class C</v>
      </c>
      <c r="B3" s="148">
        <f>'CGG Fact Sheet Backup'!L10</f>
        <v>16.989999999999998</v>
      </c>
      <c r="C3" s="148">
        <f>'CGG Fact Sheet Backup'!M10</f>
        <v>16.989999999999998</v>
      </c>
      <c r="D3" s="148">
        <f>'CGG Fact Sheet Backup'!N10</f>
        <v>4.1399999999999997</v>
      </c>
      <c r="E3" s="148">
        <f>'CGG Fact Sheet Backup'!O10</f>
        <v>8.0399999999999991</v>
      </c>
      <c r="F3" s="148">
        <f>'CGG Fact Sheet Backup'!P10</f>
        <v>7.91</v>
      </c>
      <c r="G3">
        <v>2</v>
      </c>
    </row>
    <row r="4" spans="1:7" x14ac:dyDescent="0.25">
      <c r="A4" t="str">
        <f>'CGG Fact Sheet Backup'!K11</f>
        <v>S&amp;P 500 TR Index</v>
      </c>
      <c r="B4" s="148">
        <f>'CGG Fact Sheet Backup'!L11</f>
        <v>31.486370986834402</v>
      </c>
      <c r="C4" s="148">
        <f>'CGG Fact Sheet Backup'!M11</f>
        <v>31.486370986834402</v>
      </c>
      <c r="D4" s="148">
        <f>'CGG Fact Sheet Backup'!N11</f>
        <v>11.696668923063559</v>
      </c>
      <c r="E4" s="148">
        <f>'CGG Fact Sheet Backup'!O11</f>
        <v>13.559915182795601</v>
      </c>
      <c r="F4" s="148">
        <f>'CGG Fact Sheet Backup'!P11</f>
        <v>13.44</v>
      </c>
      <c r="G4">
        <v>3</v>
      </c>
    </row>
    <row r="5" spans="1:7" x14ac:dyDescent="0.25">
      <c r="A5" t="str">
        <f>'CGG Fact Sheet Backup'!K12</f>
        <v>Barclays US Agg. TR Index</v>
      </c>
      <c r="B5" s="148">
        <f>'CGG Fact Sheet Backup'!L12</f>
        <v>8.7168963158409465</v>
      </c>
      <c r="C5" s="148">
        <f>'CGG Fact Sheet Backup'!M12</f>
        <v>8.7168963158409465</v>
      </c>
      <c r="D5" s="148">
        <f>'CGG Fact Sheet Backup'!N12</f>
        <v>3.0476623097616784</v>
      </c>
      <c r="E5" s="148">
        <f>'CGG Fact Sheet Backup'!O12</f>
        <v>3.7459954633314529</v>
      </c>
      <c r="F5" s="148">
        <f>'CGG Fact Sheet Backup'!P12</f>
        <v>3.7283451373914867</v>
      </c>
      <c r="G5">
        <v>4</v>
      </c>
    </row>
    <row r="6" spans="1:7" x14ac:dyDescent="0.25">
      <c r="A6" t="str">
        <f>'CGG Fact Sheet Backup'!K13</f>
        <v>FTSE Nareit All Mortgage</v>
      </c>
      <c r="B6" s="148">
        <f>'CGG Fact Sheet Backup'!L13</f>
        <v>22.045159053480141</v>
      </c>
      <c r="C6" s="148">
        <f>'CGG Fact Sheet Backup'!M13</f>
        <v>22.045159053480141</v>
      </c>
      <c r="D6" s="148">
        <f>'CGG Fact Sheet Backup'!N13</f>
        <v>9.5947033565649811</v>
      </c>
      <c r="E6" s="148">
        <f>'CGG Fact Sheet Backup'!O13</f>
        <v>9.1173247048137451</v>
      </c>
      <c r="F6" s="148">
        <f>'CGG Fact Sheet Backup'!P13</f>
        <v>9.0319129659531825</v>
      </c>
      <c r="G6">
        <v>5</v>
      </c>
    </row>
    <row r="7" spans="1:7" x14ac:dyDescent="0.25">
      <c r="A7" t="str">
        <f>'CGG Fact Sheet Backup'!K14</f>
        <v>Class A w/ Sales Charge</v>
      </c>
      <c r="B7" s="148">
        <f>'CGG Fact Sheet Backup'!L14</f>
        <v>11.200000000000001</v>
      </c>
      <c r="C7" s="148">
        <f>'CGG Fact Sheet Backup'!M14</f>
        <v>11.200000000000001</v>
      </c>
      <c r="D7" s="148">
        <f>'CGG Fact Sheet Backup'!N14</f>
        <v>3.6900000000000004</v>
      </c>
      <c r="E7" s="148">
        <f>'CGG Fact Sheet Backup'!O14</f>
        <v>8.24</v>
      </c>
      <c r="F7" s="148">
        <f>'CGG Fact Sheet Backup'!P14</f>
        <v>8.1100000000000012</v>
      </c>
      <c r="G7">
        <v>6</v>
      </c>
    </row>
    <row r="8" spans="1:7" x14ac:dyDescent="0.25">
      <c r="A8" t="str">
        <f>'CGG Fact Sheet Backup'!K15</f>
        <v>Class I</v>
      </c>
      <c r="B8" s="148">
        <f>'CGG Fact Sheet Backup'!L15</f>
        <v>18.47</v>
      </c>
      <c r="C8" s="148">
        <f>'CGG Fact Sheet Backup'!M15</f>
        <v>18.47</v>
      </c>
      <c r="D8" s="148">
        <f>'CGG Fact Sheet Backup'!N15</f>
        <v>5.29</v>
      </c>
      <c r="E8" s="148" t="str">
        <f>'CGG Fact Sheet Backup'!O15</f>
        <v>n/a</v>
      </c>
      <c r="F8" s="148">
        <f>'CGG Fact Sheet Backup'!P15</f>
        <v>9.56</v>
      </c>
      <c r="G8">
        <v>7</v>
      </c>
    </row>
    <row r="9" spans="1:7" x14ac:dyDescent="0.25">
      <c r="A9" t="str">
        <f>'CGG Fact Sheet Backup'!K16</f>
        <v>S&amp;P 500 TR Index</v>
      </c>
      <c r="B9" s="148">
        <f>'CGG Fact Sheet Backup'!L16</f>
        <v>31.486370986834402</v>
      </c>
      <c r="C9" s="148">
        <f>'CGG Fact Sheet Backup'!M16</f>
        <v>31.486370986834402</v>
      </c>
      <c r="D9" s="148">
        <f>'CGG Fact Sheet Backup'!N16</f>
        <v>11.696668923063559</v>
      </c>
      <c r="E9" s="148" t="str">
        <f>'CGG Fact Sheet Backup'!O16</f>
        <v>n/a</v>
      </c>
      <c r="F9" s="148">
        <f>'CGG Fact Sheet Backup'!P16</f>
        <v>13.86</v>
      </c>
      <c r="G9">
        <v>8</v>
      </c>
    </row>
    <row r="10" spans="1:7" x14ac:dyDescent="0.25">
      <c r="A10" t="str">
        <f>'CGG Fact Sheet Backup'!K17</f>
        <v>Barclays US Agg. TR Index</v>
      </c>
      <c r="B10" s="148">
        <f>'CGG Fact Sheet Backup'!L17</f>
        <v>8.7168963158409465</v>
      </c>
      <c r="C10" s="148">
        <f>'CGG Fact Sheet Backup'!M17</f>
        <v>8.7168963158409465</v>
      </c>
      <c r="D10" s="148">
        <f>'CGG Fact Sheet Backup'!N17</f>
        <v>3.0476623097616784</v>
      </c>
      <c r="E10" s="148" t="str">
        <f>'CGG Fact Sheet Backup'!O17</f>
        <v>n/a</v>
      </c>
      <c r="F10" s="148">
        <f>'CGG Fact Sheet Backup'!P17</f>
        <v>3.32</v>
      </c>
      <c r="G10">
        <v>9</v>
      </c>
    </row>
    <row r="11" spans="1:7" x14ac:dyDescent="0.25">
      <c r="A11" t="str">
        <f>'CGG Fact Sheet Backup'!K18</f>
        <v>FTSE Nareit All Mortgage</v>
      </c>
      <c r="B11" s="148">
        <f>'CGG Fact Sheet Backup'!L18</f>
        <v>22.045159053480141</v>
      </c>
      <c r="C11" s="148">
        <f>'CGG Fact Sheet Backup'!M18</f>
        <v>22.045159053480141</v>
      </c>
      <c r="D11" s="148">
        <f>'CGG Fact Sheet Backup'!N18</f>
        <v>9.5947033565649811</v>
      </c>
      <c r="E11" s="148" t="str">
        <f>'CGG Fact Sheet Backup'!O18</f>
        <v>n/a</v>
      </c>
      <c r="F11" s="148">
        <f>'CGG Fact Sheet Backup'!P18</f>
        <v>8.9</v>
      </c>
      <c r="G11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697-1A8A-4F8D-8E36-ED9C40B1D040}">
  <sheetPr>
    <tabColor rgb="FFFF0000"/>
  </sheetPr>
  <dimension ref="A1:C11"/>
  <sheetViews>
    <sheetView workbookViewId="0"/>
  </sheetViews>
  <sheetFormatPr defaultRowHeight="15" x14ac:dyDescent="0.25"/>
  <cols>
    <col min="1" max="1" width="29.42578125" bestFit="1" customWidth="1"/>
  </cols>
  <sheetData>
    <row r="1" spans="1:3" x14ac:dyDescent="0.25">
      <c r="A1" t="s">
        <v>185</v>
      </c>
      <c r="B1" t="s">
        <v>188</v>
      </c>
      <c r="C1" t="s">
        <v>187</v>
      </c>
    </row>
    <row r="2" spans="1:3" x14ac:dyDescent="0.25">
      <c r="A2" t="str">
        <f>'CGG Portfolio'!D4</f>
        <v>Annaly Capital Management Inc</v>
      </c>
      <c r="B2" s="149">
        <f>'CGG Portfolio'!E4*100</f>
        <v>12.5</v>
      </c>
      <c r="C2">
        <v>1</v>
      </c>
    </row>
    <row r="3" spans="1:3" x14ac:dyDescent="0.25">
      <c r="A3" t="str">
        <f>'CGG Portfolio'!D5</f>
        <v>AGNC Investment Corp</v>
      </c>
      <c r="B3" s="149">
        <f>'CGG Portfolio'!E5*100</f>
        <v>9.4</v>
      </c>
      <c r="C3">
        <v>2</v>
      </c>
    </row>
    <row r="4" spans="1:3" x14ac:dyDescent="0.25">
      <c r="A4" t="str">
        <f>'CGG Portfolio'!D6</f>
        <v>Starwood Property Trust Inc</v>
      </c>
      <c r="B4" s="149">
        <f>'CGG Portfolio'!E6*100</f>
        <v>7.1999999999999993</v>
      </c>
      <c r="C4">
        <v>3</v>
      </c>
    </row>
    <row r="5" spans="1:3" x14ac:dyDescent="0.25">
      <c r="A5" t="str">
        <f>'CGG Portfolio'!D7</f>
        <v>New Residential Investment Corp</v>
      </c>
      <c r="B5" s="149">
        <f>'CGG Portfolio'!E7*100</f>
        <v>5.8999999999999995</v>
      </c>
      <c r="C5">
        <v>4</v>
      </c>
    </row>
    <row r="6" spans="1:3" x14ac:dyDescent="0.25">
      <c r="A6" t="str">
        <f>'CGG Portfolio'!D8</f>
        <v>Blackstone Mortgage Trust Inc</v>
      </c>
      <c r="B6" s="149">
        <f>'CGG Portfolio'!E8*100</f>
        <v>5.8000000000000007</v>
      </c>
      <c r="C6">
        <v>5</v>
      </c>
    </row>
    <row r="7" spans="1:3" x14ac:dyDescent="0.25">
      <c r="A7" t="str">
        <f>'CGG Portfolio'!D9</f>
        <v>Chimera Investment Corp</v>
      </c>
      <c r="B7" s="149">
        <f>'CGG Portfolio'!E9*100</f>
        <v>4.7</v>
      </c>
      <c r="C7">
        <v>6</v>
      </c>
    </row>
    <row r="8" spans="1:3" x14ac:dyDescent="0.25">
      <c r="A8" t="str">
        <f>'CGG Portfolio'!D10</f>
        <v>Two Harbors Investment Corp</v>
      </c>
      <c r="B8" s="149">
        <f>'CGG Portfolio'!E10*100</f>
        <v>4.2</v>
      </c>
      <c r="C8">
        <v>7</v>
      </c>
    </row>
    <row r="9" spans="1:3" x14ac:dyDescent="0.25">
      <c r="A9" t="str">
        <f>'CGG Portfolio'!D11</f>
        <v>MFA Financial Inc</v>
      </c>
      <c r="B9" s="149">
        <f>'CGG Portfolio'!E11*100</f>
        <v>4.2</v>
      </c>
      <c r="C9">
        <v>8</v>
      </c>
    </row>
    <row r="10" spans="1:3" x14ac:dyDescent="0.25">
      <c r="A10" t="str">
        <f>'CGG Portfolio'!D12</f>
        <v>Apollo Commercial Real Estate</v>
      </c>
      <c r="B10" s="149">
        <f>'CGG Portfolio'!E12*100</f>
        <v>3.5000000000000004</v>
      </c>
      <c r="C10">
        <v>9</v>
      </c>
    </row>
    <row r="11" spans="1:3" x14ac:dyDescent="0.25">
      <c r="A11" t="str">
        <f>'CGG Portfolio'!D13</f>
        <v>Invesco Mortgage Capital Inc</v>
      </c>
      <c r="B11" s="149">
        <f>'CGG Portfolio'!E13*100</f>
        <v>3</v>
      </c>
      <c r="C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C6FD-37B5-4038-B34A-A8C3721427FB}">
  <sheetPr>
    <tabColor rgb="FFFF0000"/>
  </sheetPr>
  <dimension ref="A1:C5"/>
  <sheetViews>
    <sheetView workbookViewId="0"/>
  </sheetViews>
  <sheetFormatPr defaultRowHeight="15" x14ac:dyDescent="0.25"/>
  <cols>
    <col min="1" max="1" width="28.7109375" bestFit="1" customWidth="1"/>
  </cols>
  <sheetData>
    <row r="1" spans="1:3" x14ac:dyDescent="0.25">
      <c r="A1" t="s">
        <v>185</v>
      </c>
      <c r="B1" t="s">
        <v>188</v>
      </c>
      <c r="C1" t="s">
        <v>187</v>
      </c>
    </row>
    <row r="2" spans="1:3" x14ac:dyDescent="0.25">
      <c r="A2" t="str">
        <f>'CGG Portfolio'!A4</f>
        <v>Long Equity Holdings:</v>
      </c>
      <c r="B2">
        <f>'CGG Portfolio'!B4</f>
        <v>29</v>
      </c>
      <c r="C2">
        <v>1</v>
      </c>
    </row>
    <row r="3" spans="1:3" x14ac:dyDescent="0.25">
      <c r="A3" t="str">
        <f>'CGG Portfolio'!A5</f>
        <v>Median Market Capitalization:</v>
      </c>
      <c r="B3" t="str">
        <f>'CGG Portfolio'!B5</f>
        <v>$1.8B</v>
      </c>
      <c r="C3">
        <v>2</v>
      </c>
    </row>
    <row r="4" spans="1:3" x14ac:dyDescent="0.25">
      <c r="A4" t="str">
        <f>'CGG Portfolio'!A6</f>
        <v>Average Market Capitalization:</v>
      </c>
      <c r="B4" t="str">
        <f>'CGG Portfolio'!B6</f>
        <v>$2.7B</v>
      </c>
      <c r="C4">
        <v>3</v>
      </c>
    </row>
    <row r="5" spans="1:3" x14ac:dyDescent="0.25">
      <c r="A5" t="str">
        <f>'CGG Portfolio'!A7</f>
        <v>Median P/E Ratio:</v>
      </c>
      <c r="B5">
        <f>'CGG Portfolio'!B7</f>
        <v>13.66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CGG Fact Sheet Backup</vt:lpstr>
      <vt:lpstr>CGG Portfolio</vt:lpstr>
      <vt:lpstr>CGG</vt:lpstr>
      <vt:lpstr>CGG_EXPORT_SECVsBonds</vt:lpstr>
      <vt:lpstr>CGG_EXPORT_PerformanceTable</vt:lpstr>
      <vt:lpstr>CGG_EXPORT_TopHoldings</vt:lpstr>
      <vt:lpstr>CGG_EXPORT_PortfolioChar</vt:lpstr>
      <vt:lpstr>CGG!Print_Titles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2021-04-26T13:18:30Z</dcterms:modified>
</cp:coreProperties>
</file>