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LP\"/>
    </mc:Choice>
  </mc:AlternateContent>
  <xr:revisionPtr revIDLastSave="0" documentId="13_ncr:1_{57896A3A-DF9A-4026-AEE5-88C8851A102A}" xr6:coauthVersionLast="46" xr6:coauthVersionMax="46" xr10:uidLastSave="{00000000-0000-0000-0000-000000000000}"/>
  <bookViews>
    <workbookView xWindow="-28920" yWindow="-120" windowWidth="29040" windowHeight="15840" tabRatio="680" xr2:uid="{2098151C-B5D8-4999-8AAB-2D570887D6E5}"/>
  </bookViews>
  <sheets>
    <sheet name="CLP Inputs" sheetId="1" r:id="rId1"/>
    <sheet name="Data Since Change" sheetId="4" r:id="rId2"/>
    <sheet name="CLP - Fact Sheet" sheetId="3" r:id="rId3"/>
    <sheet name="CLP_EXPORT_10kChart" sheetId="5" r:id="rId4"/>
    <sheet name="CLP_EXPORT_PerformanceTable" sheetId="2" r:id="rId5"/>
    <sheet name="CLP_EXPORT_Top10Holdings" sheetId="6" r:id="rId6"/>
    <sheet name="CLP_EXPORT_SectorAllocationBar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14" i="7"/>
  <c r="C13" i="7"/>
  <c r="C12" i="7"/>
  <c r="C11" i="7"/>
  <c r="C10" i="7"/>
  <c r="C9" i="7"/>
  <c r="C8" i="7"/>
  <c r="C7" i="7"/>
  <c r="C6" i="7"/>
  <c r="C2" i="7"/>
  <c r="C3" i="7"/>
  <c r="C4" i="7"/>
  <c r="C5" i="7"/>
  <c r="B13" i="7"/>
  <c r="B12" i="7"/>
  <c r="B11" i="7"/>
  <c r="B10" i="7"/>
  <c r="B9" i="7"/>
  <c r="B8" i="7"/>
  <c r="B7" i="7"/>
  <c r="B6" i="7"/>
  <c r="B2" i="7"/>
  <c r="B3" i="7"/>
  <c r="B4" i="7"/>
  <c r="B5" i="7"/>
  <c r="B14" i="7"/>
  <c r="A2" i="7"/>
  <c r="A3" i="7"/>
  <c r="A4" i="7"/>
  <c r="A5" i="7"/>
  <c r="A6" i="5"/>
  <c r="B6" i="5"/>
  <c r="C6" i="5"/>
  <c r="A7" i="5"/>
  <c r="B7" i="5"/>
  <c r="C7" i="5"/>
  <c r="A8" i="5"/>
  <c r="B8" i="5"/>
  <c r="C8" i="5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O32" i="3"/>
  <c r="N32" i="3"/>
  <c r="O31" i="3"/>
  <c r="N31" i="3"/>
  <c r="O30" i="3"/>
  <c r="N30" i="3"/>
  <c r="O29" i="3"/>
  <c r="N29" i="3"/>
  <c r="O24" i="3"/>
  <c r="N24" i="3"/>
  <c r="M24" i="3"/>
  <c r="O23" i="3"/>
  <c r="N23" i="3"/>
  <c r="M23" i="3"/>
  <c r="O22" i="3"/>
  <c r="N22" i="3"/>
  <c r="M22" i="3"/>
  <c r="O21" i="3"/>
  <c r="N21" i="3"/>
  <c r="M21" i="3"/>
  <c r="D21" i="3"/>
  <c r="O20" i="3"/>
  <c r="N20" i="3"/>
  <c r="M20" i="3"/>
  <c r="A6" i="7" s="1"/>
  <c r="O19" i="3"/>
  <c r="N19" i="3"/>
  <c r="M19" i="3"/>
  <c r="D19" i="3"/>
  <c r="O18" i="3"/>
  <c r="N18" i="3"/>
  <c r="M18" i="3"/>
  <c r="A8" i="7" s="1"/>
  <c r="O17" i="3"/>
  <c r="N17" i="3"/>
  <c r="M17" i="3"/>
  <c r="O16" i="3"/>
  <c r="N16" i="3"/>
  <c r="M16" i="3"/>
  <c r="A10" i="7" s="1"/>
  <c r="O15" i="3"/>
  <c r="N15" i="3"/>
  <c r="M15" i="3"/>
  <c r="A11" i="7" s="1"/>
  <c r="O14" i="3"/>
  <c r="N14" i="3"/>
  <c r="M14" i="3"/>
  <c r="O13" i="3"/>
  <c r="N13" i="3"/>
  <c r="M13" i="3"/>
  <c r="A13" i="7" s="1"/>
  <c r="O12" i="3"/>
  <c r="N12" i="3"/>
  <c r="M12" i="3"/>
  <c r="F11" i="3"/>
  <c r="E11" i="3"/>
  <c r="D11" i="3"/>
  <c r="F10" i="3"/>
  <c r="E10" i="3"/>
  <c r="D10" i="3"/>
  <c r="Q9" i="3"/>
  <c r="P9" i="3"/>
  <c r="N9" i="3"/>
  <c r="M9" i="3"/>
  <c r="F9" i="3"/>
  <c r="E9" i="3"/>
  <c r="D9" i="3"/>
  <c r="Q8" i="3"/>
  <c r="P8" i="3"/>
  <c r="N8" i="3"/>
  <c r="M8" i="3"/>
  <c r="F8" i="3"/>
  <c r="E8" i="3"/>
  <c r="D8" i="3"/>
  <c r="Q7" i="3"/>
  <c r="P7" i="3"/>
  <c r="N7" i="3"/>
  <c r="M7" i="3"/>
  <c r="F7" i="3"/>
  <c r="E7" i="3"/>
  <c r="D7" i="3"/>
  <c r="Q6" i="3"/>
  <c r="P6" i="3"/>
  <c r="N6" i="3"/>
  <c r="M6" i="3"/>
  <c r="F6" i="3"/>
  <c r="E6" i="3"/>
  <c r="D6" i="3"/>
  <c r="Q5" i="3"/>
  <c r="P5" i="3"/>
  <c r="N5" i="3"/>
  <c r="M5" i="3"/>
  <c r="F5" i="3"/>
  <c r="E5" i="3"/>
  <c r="F4" i="3"/>
  <c r="E4" i="3"/>
  <c r="D4" i="3"/>
  <c r="C52" i="4"/>
  <c r="C56" i="4" s="1"/>
  <c r="B52" i="4"/>
  <c r="C51" i="4"/>
  <c r="C55" i="4" s="1"/>
  <c r="B51" i="4"/>
  <c r="C50" i="4"/>
  <c r="B50" i="4"/>
  <c r="B48" i="4"/>
  <c r="B46" i="4"/>
  <c r="B45" i="4"/>
  <c r="B44" i="4"/>
  <c r="B43" i="4"/>
  <c r="B42" i="4"/>
  <c r="B41" i="4"/>
  <c r="B40" i="4"/>
  <c r="B39" i="4"/>
  <c r="G38" i="4"/>
  <c r="F38" i="4"/>
  <c r="E38" i="4"/>
  <c r="D38" i="4"/>
  <c r="C38" i="4"/>
  <c r="H24" i="4"/>
  <c r="D24" i="4"/>
  <c r="D23" i="4"/>
  <c r="D21" i="4"/>
  <c r="H13" i="4"/>
  <c r="F13" i="4"/>
  <c r="E13" i="4"/>
  <c r="D13" i="4"/>
  <c r="J6" i="4"/>
  <c r="J7" i="4" s="1"/>
  <c r="L5" i="4"/>
  <c r="J5" i="4"/>
  <c r="N4" i="4"/>
  <c r="N5" i="4" s="1"/>
  <c r="N6" i="4" s="1"/>
  <c r="N7" i="4" s="1"/>
  <c r="N8" i="4" s="1"/>
  <c r="N9" i="4" s="1"/>
  <c r="M4" i="4"/>
  <c r="L4" i="4"/>
  <c r="K4" i="4"/>
  <c r="O3" i="4"/>
  <c r="N3" i="4"/>
  <c r="Z2" i="4"/>
  <c r="Y2" i="4"/>
  <c r="X2" i="4"/>
  <c r="T2" i="4"/>
  <c r="S2" i="4"/>
  <c r="R2" i="4"/>
  <c r="D39" i="1"/>
  <c r="C39" i="1"/>
  <c r="G6" i="1"/>
  <c r="F6" i="1"/>
  <c r="E6" i="1"/>
  <c r="A12" i="7"/>
  <c r="A9" i="7"/>
  <c r="A7" i="7"/>
  <c r="A14" i="7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2" i="6"/>
  <c r="D44" i="4" l="1"/>
  <c r="H39" i="4"/>
  <c r="Y10" i="4"/>
  <c r="F41" i="4"/>
  <c r="J8" i="4"/>
  <c r="J9" i="4" s="1"/>
  <c r="H42" i="4"/>
  <c r="G41" i="4"/>
  <c r="E44" i="4"/>
  <c r="G45" i="4"/>
  <c r="O4" i="4"/>
  <c r="M5" i="4"/>
  <c r="D39" i="4"/>
  <c r="D43" i="4"/>
  <c r="F44" i="4"/>
  <c r="E47" i="4"/>
  <c r="L6" i="4"/>
  <c r="L7" i="4" s="1"/>
  <c r="L8" i="4" s="1"/>
  <c r="L9" i="4" s="1"/>
  <c r="Y5" i="4" s="1"/>
  <c r="Y12" i="4"/>
  <c r="G40" i="4"/>
  <c r="G44" i="4"/>
  <c r="Y4" i="4"/>
  <c r="H40" i="4"/>
  <c r="D42" i="4"/>
  <c r="F43" i="4"/>
  <c r="H44" i="4"/>
  <c r="G47" i="4"/>
  <c r="E42" i="4"/>
  <c r="G43" i="4"/>
  <c r="C8" i="4"/>
  <c r="D8" i="4" s="1"/>
  <c r="F42" i="4"/>
  <c r="E41" i="4"/>
  <c r="G42" i="4"/>
  <c r="E45" i="4"/>
  <c r="G46" i="4"/>
  <c r="E39" i="4"/>
  <c r="E43" i="4"/>
  <c r="K5" i="4"/>
  <c r="A3" i="5"/>
  <c r="A4" i="5"/>
  <c r="A5" i="5"/>
  <c r="A2" i="5"/>
  <c r="B2" i="5"/>
  <c r="C2" i="5"/>
  <c r="B3" i="5"/>
  <c r="C3" i="5"/>
  <c r="B4" i="5"/>
  <c r="C1" i="5"/>
  <c r="B1" i="5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B7" i="2"/>
  <c r="C7" i="2"/>
  <c r="D7" i="2"/>
  <c r="E7" i="2"/>
  <c r="F7" i="2"/>
  <c r="G7" i="2"/>
  <c r="B1" i="2"/>
  <c r="C1" i="2"/>
  <c r="D1" i="2"/>
  <c r="E1" i="2"/>
  <c r="F1" i="2"/>
  <c r="G1" i="2"/>
  <c r="D40" i="4" l="1"/>
  <c r="X4" i="4"/>
  <c r="K6" i="4"/>
  <c r="E46" i="4"/>
  <c r="Y11" i="4"/>
  <c r="G48" i="4"/>
  <c r="E11" i="4"/>
  <c r="E40" i="4"/>
  <c r="G11" i="4"/>
  <c r="E48" i="4"/>
  <c r="G39" i="4"/>
  <c r="F39" i="4"/>
  <c r="Y13" i="4"/>
  <c r="H41" i="4"/>
  <c r="Z4" i="4"/>
  <c r="M6" i="4"/>
  <c r="Y9" i="4"/>
  <c r="E8" i="4"/>
  <c r="F8" i="4" s="1"/>
  <c r="G8" i="4" s="1"/>
  <c r="H8" i="4"/>
  <c r="D41" i="4"/>
  <c r="F40" i="4"/>
  <c r="O5" i="4"/>
  <c r="H43" i="4"/>
  <c r="C54" i="4"/>
  <c r="O6" i="4" l="1"/>
  <c r="AA4" i="4"/>
  <c r="C4" i="5"/>
  <c r="E19" i="4"/>
  <c r="E17" i="4"/>
  <c r="K7" i="4"/>
  <c r="K8" i="4" s="1"/>
  <c r="B5" i="5"/>
  <c r="D45" i="4"/>
  <c r="D47" i="4"/>
  <c r="M7" i="4"/>
  <c r="F45" i="4"/>
  <c r="F47" i="4"/>
  <c r="G12" i="4"/>
  <c r="G18" i="4" s="1"/>
  <c r="G10" i="4"/>
  <c r="E12" i="4"/>
  <c r="E18" i="4" s="1"/>
  <c r="E10" i="4"/>
  <c r="O7" i="4" l="1"/>
  <c r="O8" i="4" s="1"/>
  <c r="C5" i="5"/>
  <c r="H45" i="4"/>
  <c r="H47" i="4"/>
  <c r="M8" i="4"/>
  <c r="K9" i="4"/>
  <c r="D46" i="4"/>
  <c r="X5" i="4" l="1"/>
  <c r="D11" i="4"/>
  <c r="D48" i="4"/>
  <c r="X10" i="4"/>
  <c r="X12" i="4"/>
  <c r="X9" i="4"/>
  <c r="X11" i="4"/>
  <c r="X13" i="4"/>
  <c r="M9" i="4"/>
  <c r="F46" i="4"/>
  <c r="Z12" i="4"/>
  <c r="Z10" i="4"/>
  <c r="O9" i="4"/>
  <c r="H46" i="4"/>
  <c r="AA5" i="4" l="1"/>
  <c r="H25" i="4" s="1"/>
  <c r="H11" i="4"/>
  <c r="H48" i="4"/>
  <c r="AA12" i="4"/>
  <c r="AA10" i="4"/>
  <c r="AA13" i="4"/>
  <c r="AA9" i="4"/>
  <c r="AA11" i="4"/>
  <c r="D19" i="4"/>
  <c r="D52" i="4"/>
  <c r="D56" i="4" s="1"/>
  <c r="D50" i="4"/>
  <c r="D54" i="4" s="1"/>
  <c r="D17" i="4"/>
  <c r="D51" i="4"/>
  <c r="D55" i="4" s="1"/>
  <c r="D12" i="4"/>
  <c r="D18" i="4" s="1"/>
  <c r="D10" i="4"/>
  <c r="Z5" i="4"/>
  <c r="F48" i="4"/>
  <c r="F11" i="4"/>
  <c r="Z9" i="4"/>
  <c r="Z11" i="4"/>
  <c r="D25" i="4"/>
  <c r="Z13" i="4"/>
  <c r="D22" i="4" l="1"/>
  <c r="D20" i="4"/>
  <c r="F17" i="4"/>
  <c r="F19" i="4"/>
  <c r="H52" i="4"/>
  <c r="H56" i="4" s="1"/>
  <c r="H50" i="4"/>
  <c r="H54" i="4" s="1"/>
  <c r="H17" i="4"/>
  <c r="H51" i="4"/>
  <c r="H55" i="4" s="1"/>
  <c r="H19" i="4"/>
  <c r="F10" i="4"/>
  <c r="F12" i="4"/>
  <c r="F18" i="4" s="1"/>
  <c r="H10" i="4"/>
  <c r="H20" i="4" s="1"/>
  <c r="H12" i="4"/>
  <c r="H18" i="4" s="1"/>
</calcChain>
</file>

<file path=xl/sharedStrings.xml><?xml version="1.0" encoding="utf-8"?>
<sst xmlns="http://schemas.openxmlformats.org/spreadsheetml/2006/main" count="193" uniqueCount="121">
  <si>
    <t>YTD</t>
  </si>
  <si>
    <t>1 Year</t>
  </si>
  <si>
    <t>Class I</t>
  </si>
  <si>
    <t>Class A</t>
  </si>
  <si>
    <t>Class C</t>
  </si>
  <si>
    <t>*A&amp;C Inception: 12/31/2013, I Inception: 6/6/2014</t>
  </si>
  <si>
    <t>ID</t>
  </si>
  <si>
    <t>NASDAQ-100 Index</t>
  </si>
  <si>
    <t>Since 10/1/2020</t>
  </si>
  <si>
    <t>AS OF DATE</t>
  </si>
  <si>
    <t>Load Performance</t>
  </si>
  <si>
    <t>Class A w/ Load</t>
  </si>
  <si>
    <t>gemini</t>
  </si>
  <si>
    <t>Top 10 Holdings</t>
  </si>
  <si>
    <t>Name</t>
  </si>
  <si>
    <t>%</t>
  </si>
  <si>
    <t>ETF/ETN</t>
  </si>
  <si>
    <t>Cash &amp; Equivalents</t>
  </si>
  <si>
    <t>Apple Inc</t>
  </si>
  <si>
    <t>Microsoft Corp</t>
  </si>
  <si>
    <t>Amazon.com Inc</t>
  </si>
  <si>
    <t>Tesla Inc</t>
  </si>
  <si>
    <t>Facebook Inc</t>
  </si>
  <si>
    <t>Alphabet Inc</t>
  </si>
  <si>
    <t>NVIDIA Corp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</si>
  <si>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</si>
  <si>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Portfolio</t>
  </si>
  <si>
    <t>Bmrk</t>
  </si>
  <si>
    <t>Information Technology</t>
  </si>
  <si>
    <t>Cash</t>
  </si>
  <si>
    <t>Consumer Discretionary</t>
  </si>
  <si>
    <t>Communication Services</t>
  </si>
  <si>
    <t>Health Care</t>
  </si>
  <si>
    <t>Consumer Staples</t>
  </si>
  <si>
    <t>Industrials</t>
  </si>
  <si>
    <t>Utilities</t>
  </si>
  <si>
    <t>Financials</t>
  </si>
  <si>
    <t>Materials</t>
  </si>
  <si>
    <t>Energy</t>
  </si>
  <si>
    <t>Real Estate</t>
  </si>
  <si>
    <t>Future</t>
  </si>
  <si>
    <t>PORTFOLIO STATISTICS</t>
  </si>
  <si>
    <t>Metric</t>
  </si>
  <si>
    <t>Number of Holdings</t>
  </si>
  <si>
    <t>Top 10 Holdings (%)</t>
  </si>
  <si>
    <t>Mean Total Mkt Cap ($mil)</t>
  </si>
  <si>
    <t>P/E Ratio (Trailing)</t>
  </si>
  <si>
    <t>Median</t>
  </si>
  <si>
    <t>YES</t>
  </si>
  <si>
    <t>Growth of 10K</t>
  </si>
  <si>
    <t>Return (%)</t>
  </si>
  <si>
    <t>Drawdown</t>
  </si>
  <si>
    <t>CLPFX</t>
  </si>
  <si>
    <t>CLPAX</t>
  </si>
  <si>
    <t>CLPCX</t>
  </si>
  <si>
    <t>CLPAX w/ Load</t>
  </si>
  <si>
    <t>BENCH</t>
  </si>
  <si>
    <t>BENCHMARK</t>
  </si>
  <si>
    <t>S&amp;P 500 Value Index</t>
  </si>
  <si>
    <t>INCEPTION DATE</t>
  </si>
  <si>
    <t>05/01/2007</t>
  </si>
  <si>
    <t>Bloomberg COMP</t>
  </si>
  <si>
    <t>PERFORMANCE DATE</t>
  </si>
  <si>
    <t>FACT SHEET?</t>
  </si>
  <si>
    <t>MAR</t>
  </si>
  <si>
    <t>Risk Free Rate</t>
  </si>
  <si>
    <t>Total Months</t>
  </si>
  <si>
    <t>Inception*</t>
  </si>
  <si>
    <t>Annualized Return*</t>
  </si>
  <si>
    <t>Cumulative Growth of 10K</t>
  </si>
  <si>
    <t>Cumulative Return Since Date Change*</t>
  </si>
  <si>
    <t>Standard Deviation</t>
  </si>
  <si>
    <t>5 Years</t>
  </si>
  <si>
    <t>3 Years</t>
  </si>
  <si>
    <t>2 Years</t>
  </si>
  <si>
    <t>Sharpe Ratio</t>
  </si>
  <si>
    <t>N/A</t>
  </si>
  <si>
    <t>Beta vs. S&amp;P 500 TR</t>
  </si>
  <si>
    <t>Alpha vs. S&amp;P 500 TR</t>
  </si>
  <si>
    <t>Correlation vs. S&amp;P 500 TR</t>
  </si>
  <si>
    <t>% Positive Months</t>
  </si>
  <si>
    <t>Maximum Drawdown Since 12/5/17</t>
  </si>
  <si>
    <t>6MOS</t>
  </si>
  <si>
    <t>3MOS</t>
  </si>
  <si>
    <t>1MOS</t>
  </si>
  <si>
    <t>Downside Risk</t>
  </si>
  <si>
    <t>Excess Return</t>
  </si>
  <si>
    <t>Avg. Excess Return</t>
  </si>
  <si>
    <t>Monthly Arith. Average</t>
  </si>
  <si>
    <t>Monthly Geo. Average</t>
  </si>
  <si>
    <t>Active Return vs. Benchmark</t>
  </si>
  <si>
    <r>
      <t>Sortino Ratio</t>
    </r>
    <r>
      <rPr>
        <b/>
        <sz val="9"/>
        <color theme="1"/>
        <rFont val="Calibri"/>
        <family val="2"/>
      </rPr>
      <t>¹</t>
    </r>
  </si>
  <si>
    <t>R-Squared (vs. S&amp;P GSCI Index)</t>
  </si>
  <si>
    <t>Semi-Variance</t>
  </si>
  <si>
    <t>Inception</t>
  </si>
  <si>
    <t>5YRS</t>
  </si>
  <si>
    <t>3YRS</t>
  </si>
  <si>
    <t>2YRS</t>
  </si>
  <si>
    <t>1YR</t>
  </si>
  <si>
    <t>Current</t>
  </si>
  <si>
    <t>Cumulative</t>
  </si>
  <si>
    <t>Annualized</t>
  </si>
  <si>
    <t>PAGE 1</t>
  </si>
  <si>
    <t>PAGE 2</t>
  </si>
  <si>
    <t>GROWTH OF $10,000 - CHART</t>
  </si>
  <si>
    <t xml:space="preserve">TOP 10 HOLDINGS </t>
  </si>
  <si>
    <t>PERFORMANCE SUMMARY GRAPH</t>
  </si>
  <si>
    <t>SECTOR ALLOCATION</t>
  </si>
  <si>
    <t>Bench</t>
  </si>
  <si>
    <t>Previous Strategy</t>
  </si>
  <si>
    <t xml:space="preserve">PERFORMANCE SUMMARY </t>
  </si>
  <si>
    <t>1yr</t>
  </si>
  <si>
    <t>3yr</t>
  </si>
  <si>
    <t>5yr</t>
  </si>
  <si>
    <t>Class A Load</t>
  </si>
  <si>
    <t>Date</t>
  </si>
  <si>
    <t>Label</t>
  </si>
  <si>
    <t>Sector</t>
  </si>
  <si>
    <t>Invesco QQQ Trust Series 1</t>
  </si>
  <si>
    <t>Class A w/ Sales Charge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</si>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</sst>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-* #,##0_-;\-* #,##0_-;_-* &quot;-&quot;??_-;_-@_-"/>
    <numFmt numFmtId="166" formatCode="_-&quot;$&quot;* #,##0_-;\-&quot;$&quot;* #,##0_-;_-&quot;$&quot;* &quot;-&quot;??_-;_-@_-"/>
    <numFmt numFmtId="167" formatCode="_-* #,##0.0_-;\-* #,##0.0_-;_-* &quot;-&quot;??_-;_-@_-"/>
    <numFmt numFmtId="168" formatCode="[$-1009]d/mmm/yy;@"/>
    <numFmt numFmtId="169" formatCode="[$-10409]#,##0.00;\(#,##0.00\)"/>
    <numFmt numFmtId="170" formatCode="0.000%"/>
    <numFmt numFmtId="171" formatCode="0.0000%"/>
    <numFmt numFmtId="172" formatCode="0.0"/>
    <numFmt numFmtId="173" formatCode="0.000000%"/>
  </numFmts>
  <fonts count="4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rade Gothic LT Std Light"/>
      <family val="3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8"/>
      <color theme="5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7"/>
      <color theme="0"/>
      <name val="Helvetica LT Std"/>
      <family val="2"/>
    </font>
    <font>
      <sz val="8"/>
      <color rgb="FF000000"/>
      <name val="Trade Gothic LT Std Light"/>
      <family val="3"/>
    </font>
    <font>
      <b/>
      <i/>
      <sz val="8"/>
      <color rgb="FFFF0000"/>
      <name val="Calibri"/>
      <family val="2"/>
      <scheme val="minor"/>
    </font>
    <font>
      <sz val="7.5"/>
      <name val="Trade Gothic LT Std Light"/>
      <family val="2"/>
    </font>
    <font>
      <b/>
      <sz val="7.5"/>
      <name val="Trade Gothic LT Std Light"/>
      <family val="2"/>
    </font>
    <font>
      <sz val="7.5"/>
      <name val="Trade Gothic LT Std Light"/>
      <family val="3"/>
    </font>
    <font>
      <sz val="8"/>
      <color rgb="FFFF0000"/>
      <name val="Calibri"/>
      <family val="2"/>
      <scheme val="minor"/>
    </font>
    <font>
      <sz val="8"/>
      <color rgb="FF000000"/>
      <name val="Proxima Nova Lt"/>
      <family val="3"/>
    </font>
    <font>
      <b/>
      <sz val="8"/>
      <name val="Helvetica LT Std Light"/>
      <family val="2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9">
    <xf numFmtId="0" fontId="0" fillId="0" borderId="0" xfId="0"/>
    <xf numFmtId="2" fontId="0" fillId="0" borderId="0" xfId="0" applyNumberFormat="1"/>
    <xf numFmtId="0" fontId="4" fillId="0" borderId="0" xfId="0" applyFont="1"/>
    <xf numFmtId="0" fontId="1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/>
    <xf numFmtId="0" fontId="7" fillId="2" borderId="5" xfId="0" applyFont="1" applyFill="1" applyBorder="1" applyAlignment="1">
      <alignment horizontal="center" vertical="center"/>
    </xf>
    <xf numFmtId="10" fontId="9" fillId="2" borderId="0" xfId="3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8" fillId="2" borderId="0" xfId="3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10" fontId="1" fillId="2" borderId="0" xfId="0" applyNumberFormat="1" applyFont="1" applyFill="1"/>
    <xf numFmtId="0" fontId="1" fillId="2" borderId="0" xfId="0" applyFont="1" applyFill="1" applyAlignment="1">
      <alignment vertical="center"/>
    </xf>
    <xf numFmtId="0" fontId="11" fillId="2" borderId="9" xfId="0" applyFont="1" applyFill="1" applyBorder="1" applyAlignment="1">
      <alignment horizontal="left"/>
    </xf>
    <xf numFmtId="10" fontId="12" fillId="4" borderId="5" xfId="3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10" fontId="14" fillId="5" borderId="13" xfId="3" applyNumberFormat="1" applyFont="1" applyFill="1" applyBorder="1" applyAlignment="1">
      <alignment horizontal="center" vertical="center"/>
    </xf>
    <xf numFmtId="10" fontId="14" fillId="5" borderId="14" xfId="3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9" fontId="15" fillId="0" borderId="17" xfId="3" applyFont="1" applyBorder="1" applyAlignment="1">
      <alignment horizontal="center" vertical="center"/>
    </xf>
    <xf numFmtId="9" fontId="15" fillId="0" borderId="18" xfId="3" applyFont="1" applyBorder="1" applyAlignment="1">
      <alignment horizontal="center" vertical="center"/>
    </xf>
    <xf numFmtId="0" fontId="16" fillId="0" borderId="19" xfId="3" applyNumberFormat="1" applyFont="1" applyBorder="1" applyAlignment="1">
      <alignment horizontal="left" vertical="center"/>
    </xf>
    <xf numFmtId="10" fontId="16" fillId="0" borderId="20" xfId="3" applyNumberFormat="1" applyFont="1" applyBorder="1" applyAlignment="1">
      <alignment horizontal="center" vertical="center"/>
    </xf>
    <xf numFmtId="0" fontId="16" fillId="0" borderId="21" xfId="3" applyNumberFormat="1" applyFont="1" applyBorder="1" applyAlignment="1">
      <alignment horizontal="left" vertical="center"/>
    </xf>
    <xf numFmtId="10" fontId="16" fillId="0" borderId="22" xfId="3" applyNumberFormat="1" applyFont="1" applyBorder="1" applyAlignment="1">
      <alignment horizontal="center" vertical="center"/>
    </xf>
    <xf numFmtId="4" fontId="1" fillId="2" borderId="0" xfId="0" applyNumberFormat="1" applyFont="1" applyFill="1"/>
    <xf numFmtId="10" fontId="6" fillId="2" borderId="0" xfId="0" applyNumberFormat="1" applyFont="1" applyFill="1" applyAlignment="1">
      <alignment vertical="center"/>
    </xf>
    <xf numFmtId="0" fontId="16" fillId="0" borderId="21" xfId="3" applyNumberFormat="1" applyFont="1" applyBorder="1" applyAlignment="1">
      <alignment horizontal="left"/>
    </xf>
    <xf numFmtId="10" fontId="16" fillId="0" borderId="22" xfId="3" applyNumberFormat="1" applyFont="1" applyBorder="1" applyAlignment="1">
      <alignment horizontal="center"/>
    </xf>
    <xf numFmtId="0" fontId="16" fillId="0" borderId="23" xfId="3" applyNumberFormat="1" applyFont="1" applyBorder="1" applyAlignment="1">
      <alignment horizontal="left"/>
    </xf>
    <xf numFmtId="10" fontId="16" fillId="0" borderId="24" xfId="3" applyNumberFormat="1" applyFont="1" applyBorder="1" applyAlignment="1">
      <alignment horizontal="center"/>
    </xf>
    <xf numFmtId="9" fontId="15" fillId="0" borderId="15" xfId="3" applyFont="1" applyBorder="1" applyAlignment="1">
      <alignment vertical="center"/>
    </xf>
    <xf numFmtId="9" fontId="15" fillId="0" borderId="26" xfId="3" applyFont="1" applyBorder="1" applyAlignment="1">
      <alignment horizontal="center" vertical="center"/>
    </xf>
    <xf numFmtId="9" fontId="15" fillId="0" borderId="16" xfId="3" applyFont="1" applyBorder="1" applyAlignment="1">
      <alignment horizontal="center" vertical="center"/>
    </xf>
    <xf numFmtId="0" fontId="16" fillId="0" borderId="27" xfId="3" applyNumberFormat="1" applyFont="1" applyBorder="1" applyAlignment="1">
      <alignment vertical="center"/>
    </xf>
    <xf numFmtId="10" fontId="14" fillId="2" borderId="28" xfId="3" applyNumberFormat="1" applyFont="1" applyFill="1" applyBorder="1" applyAlignment="1">
      <alignment horizontal="center" vertical="center"/>
    </xf>
    <xf numFmtId="164" fontId="14" fillId="6" borderId="29" xfId="3" applyNumberFormat="1" applyFont="1" applyFill="1" applyBorder="1" applyAlignment="1">
      <alignment horizontal="center" vertical="center"/>
    </xf>
    <xf numFmtId="0" fontId="16" fillId="0" borderId="30" xfId="3" applyNumberFormat="1" applyFont="1" applyBorder="1" applyAlignment="1">
      <alignment vertical="center"/>
    </xf>
    <xf numFmtId="10" fontId="14" fillId="2" borderId="31" xfId="3" applyNumberFormat="1" applyFont="1" applyFill="1" applyBorder="1" applyAlignment="1">
      <alignment horizontal="center" vertical="center"/>
    </xf>
    <xf numFmtId="164" fontId="14" fillId="6" borderId="32" xfId="3" applyNumberFormat="1" applyFont="1" applyFill="1" applyBorder="1" applyAlignment="1">
      <alignment horizontal="center" vertical="center"/>
    </xf>
    <xf numFmtId="0" fontId="16" fillId="0" borderId="33" xfId="3" applyNumberFormat="1" applyFont="1" applyBorder="1" applyAlignment="1">
      <alignment vertical="center"/>
    </xf>
    <xf numFmtId="10" fontId="14" fillId="2" borderId="34" xfId="3" applyNumberFormat="1" applyFont="1" applyFill="1" applyBorder="1" applyAlignment="1">
      <alignment horizontal="center" vertical="center"/>
    </xf>
    <xf numFmtId="164" fontId="14" fillId="6" borderId="35" xfId="3" applyNumberFormat="1" applyFont="1" applyFill="1" applyBorder="1" applyAlignment="1">
      <alignment horizontal="center" vertical="center"/>
    </xf>
    <xf numFmtId="0" fontId="16" fillId="0" borderId="36" xfId="3" applyNumberFormat="1" applyFont="1" applyBorder="1" applyAlignment="1">
      <alignment vertical="center"/>
    </xf>
    <xf numFmtId="10" fontId="14" fillId="2" borderId="37" xfId="3" applyNumberFormat="1" applyFont="1" applyFill="1" applyBorder="1" applyAlignment="1">
      <alignment horizontal="center" vertical="center"/>
    </xf>
    <xf numFmtId="164" fontId="14" fillId="0" borderId="38" xfId="3" applyNumberFormat="1" applyFont="1" applyFill="1" applyBorder="1" applyAlignment="1">
      <alignment horizontal="center" vertical="center"/>
    </xf>
    <xf numFmtId="0" fontId="16" fillId="0" borderId="39" xfId="3" applyNumberFormat="1" applyFont="1" applyBorder="1" applyAlignment="1">
      <alignment vertical="center"/>
    </xf>
    <xf numFmtId="10" fontId="14" fillId="2" borderId="0" xfId="3" applyNumberFormat="1" applyFont="1" applyFill="1" applyBorder="1" applyAlignment="1">
      <alignment horizontal="center" vertical="center"/>
    </xf>
    <xf numFmtId="164" fontId="14" fillId="0" borderId="40" xfId="3" applyNumberFormat="1" applyFont="1" applyFill="1" applyBorder="1" applyAlignment="1">
      <alignment horizontal="center" vertical="center"/>
    </xf>
    <xf numFmtId="0" fontId="16" fillId="0" borderId="41" xfId="3" applyNumberFormat="1" applyFont="1" applyBorder="1" applyAlignment="1">
      <alignment vertical="center"/>
    </xf>
    <xf numFmtId="10" fontId="14" fillId="2" borderId="42" xfId="3" applyNumberFormat="1" applyFont="1" applyFill="1" applyBorder="1" applyAlignment="1">
      <alignment horizontal="center" vertical="center"/>
    </xf>
    <xf numFmtId="164" fontId="14" fillId="0" borderId="43" xfId="3" applyNumberFormat="1" applyFont="1" applyFill="1" applyBorder="1" applyAlignment="1">
      <alignment horizontal="center" vertical="center"/>
    </xf>
    <xf numFmtId="0" fontId="16" fillId="0" borderId="0" xfId="3" applyNumberFormat="1" applyFont="1" applyBorder="1" applyAlignment="1">
      <alignment vertical="center"/>
    </xf>
    <xf numFmtId="164" fontId="14" fillId="0" borderId="0" xfId="3" applyNumberFormat="1" applyFont="1" applyBorder="1" applyAlignment="1">
      <alignment horizontal="center" vertical="center"/>
    </xf>
    <xf numFmtId="10" fontId="18" fillId="2" borderId="0" xfId="0" applyNumberFormat="1" applyFont="1" applyFill="1" applyAlignment="1">
      <alignment horizontal="center" vertical="top"/>
    </xf>
    <xf numFmtId="0" fontId="5" fillId="0" borderId="0" xfId="0" applyFont="1"/>
    <xf numFmtId="0" fontId="14" fillId="0" borderId="0" xfId="0" applyFont="1"/>
    <xf numFmtId="0" fontId="11" fillId="0" borderId="0" xfId="0" applyFont="1"/>
    <xf numFmtId="0" fontId="0" fillId="0" borderId="2" xfId="0" applyBorder="1"/>
    <xf numFmtId="168" fontId="13" fillId="4" borderId="50" xfId="0" applyNumberFormat="1" applyFont="1" applyFill="1" applyBorder="1" applyAlignment="1">
      <alignment horizontal="right" vertical="center"/>
    </xf>
    <xf numFmtId="0" fontId="11" fillId="2" borderId="0" xfId="0" applyFont="1" applyFill="1"/>
    <xf numFmtId="168" fontId="12" fillId="2" borderId="51" xfId="0" applyNumberFormat="1" applyFont="1" applyFill="1" applyBorder="1" applyAlignment="1">
      <alignment horizontal="right" vertical="center"/>
    </xf>
    <xf numFmtId="10" fontId="20" fillId="8" borderId="0" xfId="3" applyNumberFormat="1" applyFont="1" applyFill="1" applyAlignment="1">
      <alignment horizontal="center" vertical="center"/>
    </xf>
    <xf numFmtId="10" fontId="19" fillId="8" borderId="0" xfId="0" applyNumberFormat="1" applyFont="1" applyFill="1" applyAlignment="1">
      <alignment horizontal="center" vertical="center"/>
    </xf>
    <xf numFmtId="10" fontId="20" fillId="9" borderId="0" xfId="3" applyNumberFormat="1" applyFont="1" applyFill="1" applyAlignment="1">
      <alignment horizontal="center" vertical="center" wrapText="1"/>
    </xf>
    <xf numFmtId="168" fontId="13" fillId="4" borderId="51" xfId="0" applyNumberFormat="1" applyFont="1" applyFill="1" applyBorder="1" applyAlignment="1">
      <alignment horizontal="right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8" fontId="12" fillId="2" borderId="51" xfId="0" applyNumberFormat="1" applyFont="1" applyFill="1" applyBorder="1" applyAlignment="1">
      <alignment horizontal="right" vertical="center" wrapText="1"/>
    </xf>
    <xf numFmtId="10" fontId="19" fillId="8" borderId="0" xfId="3" applyNumberFormat="1" applyFont="1" applyFill="1" applyAlignment="1">
      <alignment horizontal="center" vertical="center"/>
    </xf>
    <xf numFmtId="10" fontId="19" fillId="9" borderId="2" xfId="3" applyNumberFormat="1" applyFont="1" applyFill="1" applyBorder="1" applyAlignment="1">
      <alignment horizontal="center" vertical="center" wrapText="1"/>
    </xf>
    <xf numFmtId="168" fontId="13" fillId="5" borderId="5" xfId="0" applyNumberFormat="1" applyFont="1" applyFill="1" applyBorder="1" applyAlignment="1">
      <alignment horizontal="right" vertical="center"/>
    </xf>
    <xf numFmtId="168" fontId="21" fillId="5" borderId="51" xfId="0" applyNumberFormat="1" applyFont="1" applyFill="1" applyBorder="1" applyAlignment="1">
      <alignment horizontal="right" vertical="center"/>
    </xf>
    <xf numFmtId="169" fontId="13" fillId="0" borderId="0" xfId="3" applyNumberFormat="1" applyFont="1" applyAlignment="1">
      <alignment horizontal="center" wrapText="1"/>
    </xf>
    <xf numFmtId="166" fontId="13" fillId="0" borderId="2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8" fontId="12" fillId="0" borderId="51" xfId="0" applyNumberFormat="1" applyFont="1" applyBorder="1" applyAlignment="1">
      <alignment horizontal="right" vertical="center"/>
    </xf>
    <xf numFmtId="10" fontId="13" fillId="0" borderId="0" xfId="3" applyNumberFormat="1" applyFont="1" applyAlignment="1">
      <alignment horizontal="center" wrapText="1"/>
    </xf>
    <xf numFmtId="10" fontId="14" fillId="0" borderId="2" xfId="3" applyNumberFormat="1" applyFont="1" applyBorder="1" applyAlignment="1">
      <alignment horizontal="center"/>
    </xf>
    <xf numFmtId="170" fontId="0" fillId="0" borderId="0" xfId="3" applyNumberFormat="1" applyFont="1"/>
    <xf numFmtId="168" fontId="15" fillId="5" borderId="51" xfId="0" applyNumberFormat="1" applyFont="1" applyFill="1" applyBorder="1" applyAlignment="1">
      <alignment horizontal="right" vertical="center"/>
    </xf>
    <xf numFmtId="2" fontId="16" fillId="0" borderId="0" xfId="2" applyNumberFormat="1" applyFont="1" applyAlignment="1">
      <alignment horizontal="center"/>
    </xf>
    <xf numFmtId="10" fontId="14" fillId="5" borderId="0" xfId="3" applyNumberFormat="1" applyFont="1" applyFill="1" applyAlignment="1">
      <alignment horizontal="center"/>
    </xf>
    <xf numFmtId="10" fontId="14" fillId="5" borderId="2" xfId="3" applyNumberFormat="1" applyFont="1" applyFill="1" applyBorder="1" applyAlignment="1">
      <alignment horizontal="center"/>
    </xf>
    <xf numFmtId="0" fontId="0" fillId="0" borderId="3" xfId="0" applyBorder="1"/>
    <xf numFmtId="168" fontId="13" fillId="4" borderId="51" xfId="0" applyNumberFormat="1" applyFont="1" applyFill="1" applyBorder="1" applyAlignment="1">
      <alignment horizontal="right" vertical="center"/>
    </xf>
    <xf numFmtId="169" fontId="16" fillId="0" borderId="0" xfId="2" applyNumberFormat="1" applyFont="1" applyAlignment="1">
      <alignment horizontal="center"/>
    </xf>
    <xf numFmtId="0" fontId="22" fillId="5" borderId="5" xfId="0" applyFont="1" applyFill="1" applyBorder="1" applyAlignment="1">
      <alignment horizontal="right"/>
    </xf>
    <xf numFmtId="166" fontId="14" fillId="0" borderId="2" xfId="2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8" fontId="13" fillId="0" borderId="5" xfId="0" applyNumberFormat="1" applyFont="1" applyBorder="1" applyAlignment="1">
      <alignment horizontal="left" vertical="center"/>
    </xf>
    <xf numFmtId="168" fontId="14" fillId="0" borderId="5" xfId="0" applyNumberFormat="1" applyFont="1" applyBorder="1" applyAlignment="1">
      <alignment horizontal="center"/>
    </xf>
    <xf numFmtId="10" fontId="14" fillId="5" borderId="3" xfId="3" applyNumberFormat="1" applyFont="1" applyFill="1" applyBorder="1" applyAlignment="1">
      <alignment horizontal="center"/>
    </xf>
    <xf numFmtId="10" fontId="14" fillId="5" borderId="4" xfId="3" applyNumberFormat="1" applyFont="1" applyFill="1" applyBorder="1" applyAlignment="1">
      <alignment horizontal="center"/>
    </xf>
    <xf numFmtId="10" fontId="14" fillId="0" borderId="5" xfId="0" applyNumberFormat="1" applyFont="1" applyBorder="1" applyAlignment="1">
      <alignment horizontal="center"/>
    </xf>
    <xf numFmtId="10" fontId="14" fillId="0" borderId="5" xfId="3" applyNumberFormat="1" applyFont="1" applyBorder="1" applyAlignment="1">
      <alignment horizontal="center"/>
    </xf>
    <xf numFmtId="10" fontId="13" fillId="0" borderId="5" xfId="3" applyNumberFormat="1" applyFont="1" applyBorder="1" applyAlignment="1">
      <alignment horizontal="center"/>
    </xf>
    <xf numFmtId="43" fontId="13" fillId="0" borderId="5" xfId="1" applyFont="1" applyBorder="1" applyAlignment="1">
      <alignment horizontal="center"/>
    </xf>
    <xf numFmtId="0" fontId="0" fillId="0" borderId="42" xfId="0" applyBorder="1"/>
    <xf numFmtId="2" fontId="14" fillId="0" borderId="5" xfId="1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10" fontId="0" fillId="0" borderId="0" xfId="3" applyNumberFormat="1" applyFont="1"/>
    <xf numFmtId="2" fontId="13" fillId="4" borderId="5" xfId="1" applyNumberFormat="1" applyFont="1" applyFill="1" applyBorder="1" applyAlignment="1">
      <alignment horizontal="center"/>
    </xf>
    <xf numFmtId="2" fontId="13" fillId="4" borderId="5" xfId="0" applyNumberFormat="1" applyFont="1" applyFill="1" applyBorder="1"/>
    <xf numFmtId="10" fontId="13" fillId="4" borderId="5" xfId="0" applyNumberFormat="1" applyFont="1" applyFill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3" fillId="4" borderId="5" xfId="0" applyNumberFormat="1" applyFont="1" applyFill="1" applyBorder="1" applyAlignment="1">
      <alignment horizontal="center"/>
    </xf>
    <xf numFmtId="164" fontId="14" fillId="0" borderId="5" xfId="3" applyNumberFormat="1" applyFont="1" applyBorder="1" applyAlignment="1">
      <alignment horizontal="center"/>
    </xf>
    <xf numFmtId="164" fontId="13" fillId="4" borderId="5" xfId="3" applyNumberFormat="1" applyFont="1" applyFill="1" applyBorder="1" applyAlignment="1">
      <alignment horizontal="center"/>
    </xf>
    <xf numFmtId="10" fontId="13" fillId="4" borderId="5" xfId="3" applyNumberFormat="1" applyFont="1" applyFill="1" applyBorder="1" applyAlignment="1">
      <alignment horizontal="center"/>
    </xf>
    <xf numFmtId="168" fontId="13" fillId="11" borderId="5" xfId="0" applyNumberFormat="1" applyFont="1" applyFill="1" applyBorder="1" applyAlignment="1">
      <alignment horizontal="left" vertical="center"/>
    </xf>
    <xf numFmtId="10" fontId="14" fillId="11" borderId="5" xfId="3" applyNumberFormat="1" applyFont="1" applyFill="1" applyBorder="1" applyAlignment="1">
      <alignment horizontal="center"/>
    </xf>
    <xf numFmtId="0" fontId="13" fillId="11" borderId="5" xfId="0" applyFont="1" applyFill="1" applyBorder="1" applyAlignment="1">
      <alignment horizontal="left" wrapText="1"/>
    </xf>
    <xf numFmtId="10" fontId="11" fillId="0" borderId="0" xfId="3" applyNumberFormat="1" applyFont="1" applyAlignment="1">
      <alignment horizontal="center"/>
    </xf>
    <xf numFmtId="0" fontId="13" fillId="0" borderId="5" xfId="0" applyFont="1" applyBorder="1" applyAlignment="1">
      <alignment horizontal="left" wrapText="1"/>
    </xf>
    <xf numFmtId="10" fontId="11" fillId="0" borderId="3" xfId="3" applyNumberFormat="1" applyFont="1" applyBorder="1" applyAlignment="1">
      <alignment horizontal="center"/>
    </xf>
    <xf numFmtId="168" fontId="12" fillId="0" borderId="45" xfId="0" applyNumberFormat="1" applyFont="1" applyBorder="1" applyAlignment="1">
      <alignment horizontal="right" vertical="center"/>
    </xf>
    <xf numFmtId="0" fontId="13" fillId="11" borderId="5" xfId="0" applyFont="1" applyFill="1" applyBorder="1" applyAlignment="1">
      <alignment horizontal="left" vertical="center" wrapText="1"/>
    </xf>
    <xf numFmtId="10" fontId="14" fillId="11" borderId="5" xfId="0" applyNumberFormat="1" applyFont="1" applyFill="1" applyBorder="1" applyAlignment="1">
      <alignment horizontal="center"/>
    </xf>
    <xf numFmtId="10" fontId="11" fillId="0" borderId="0" xfId="3" applyNumberFormat="1" applyFont="1" applyBorder="1" applyAlignment="1">
      <alignment horizontal="center"/>
    </xf>
    <xf numFmtId="0" fontId="14" fillId="11" borderId="5" xfId="0" applyFont="1" applyFill="1" applyBorder="1"/>
    <xf numFmtId="2" fontId="14" fillId="11" borderId="5" xfId="3" applyNumberFormat="1" applyFont="1" applyFill="1" applyBorder="1" applyAlignment="1">
      <alignment horizontal="center"/>
    </xf>
    <xf numFmtId="10" fontId="14" fillId="0" borderId="0" xfId="3" applyNumberFormat="1" applyFont="1" applyAlignment="1">
      <alignment horizontal="center"/>
    </xf>
    <xf numFmtId="2" fontId="14" fillId="11" borderId="5" xfId="1" applyNumberFormat="1" applyFont="1" applyFill="1" applyBorder="1" applyAlignment="1">
      <alignment horizontal="center"/>
    </xf>
    <xf numFmtId="2" fontId="14" fillId="11" borderId="5" xfId="0" applyNumberFormat="1" applyFont="1" applyFill="1" applyBorder="1" applyAlignment="1">
      <alignment horizontal="center"/>
    </xf>
    <xf numFmtId="169" fontId="14" fillId="0" borderId="0" xfId="2" applyNumberFormat="1" applyFont="1" applyAlignment="1">
      <alignment horizontal="center"/>
    </xf>
    <xf numFmtId="10" fontId="14" fillId="0" borderId="3" xfId="3" applyNumberFormat="1" applyFont="1" applyBorder="1" applyAlignment="1">
      <alignment horizontal="center"/>
    </xf>
    <xf numFmtId="10" fontId="14" fillId="0" borderId="4" xfId="3" applyNumberFormat="1" applyFont="1" applyBorder="1" applyAlignment="1">
      <alignment horizontal="center"/>
    </xf>
    <xf numFmtId="43" fontId="14" fillId="11" borderId="5" xfId="1" applyFont="1" applyFill="1" applyBorder="1" applyAlignment="1">
      <alignment horizontal="center"/>
    </xf>
    <xf numFmtId="168" fontId="13" fillId="4" borderId="45" xfId="0" applyNumberFormat="1" applyFont="1" applyFill="1" applyBorder="1" applyAlignment="1">
      <alignment horizontal="right" vertical="center"/>
    </xf>
    <xf numFmtId="169" fontId="14" fillId="0" borderId="3" xfId="2" applyNumberFormat="1" applyFont="1" applyBorder="1" applyAlignment="1">
      <alignment horizontal="center"/>
    </xf>
    <xf numFmtId="166" fontId="14" fillId="0" borderId="4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left" vertical="center"/>
    </xf>
    <xf numFmtId="10" fontId="19" fillId="8" borderId="5" xfId="3" applyNumberFormat="1" applyFont="1" applyFill="1" applyBorder="1" applyAlignment="1">
      <alignment horizontal="center" vertical="center"/>
    </xf>
    <xf numFmtId="10" fontId="19" fillId="9" borderId="5" xfId="3" applyNumberFormat="1" applyFont="1" applyFill="1" applyBorder="1" applyAlignment="1">
      <alignment horizontal="center" vertical="center" wrapText="1"/>
    </xf>
    <xf numFmtId="0" fontId="21" fillId="12" borderId="5" xfId="0" applyFont="1" applyFill="1" applyBorder="1" applyAlignment="1">
      <alignment horizontal="right"/>
    </xf>
    <xf numFmtId="15" fontId="24" fillId="12" borderId="5" xfId="0" applyNumberFormat="1" applyFont="1" applyFill="1" applyBorder="1" applyAlignment="1">
      <alignment horizontal="center"/>
    </xf>
    <xf numFmtId="44" fontId="14" fillId="0" borderId="5" xfId="2" applyFont="1" applyBorder="1"/>
    <xf numFmtId="10" fontId="11" fillId="0" borderId="42" xfId="3" applyNumberFormat="1" applyFont="1" applyBorder="1" applyAlignment="1">
      <alignment horizontal="center"/>
    </xf>
    <xf numFmtId="168" fontId="12" fillId="0" borderId="52" xfId="0" applyNumberFormat="1" applyFont="1" applyBorder="1" applyAlignment="1">
      <alignment horizontal="right" vertical="center"/>
    </xf>
    <xf numFmtId="10" fontId="14" fillId="0" borderId="42" xfId="3" applyNumberFormat="1" applyFont="1" applyBorder="1" applyAlignment="1">
      <alignment horizontal="center"/>
    </xf>
    <xf numFmtId="10" fontId="14" fillId="0" borderId="53" xfId="3" applyNumberFormat="1" applyFont="1" applyBorder="1" applyAlignment="1">
      <alignment horizontal="center"/>
    </xf>
    <xf numFmtId="0" fontId="11" fillId="0" borderId="42" xfId="0" applyFont="1" applyBorder="1"/>
    <xf numFmtId="168" fontId="13" fillId="4" borderId="52" xfId="0" applyNumberFormat="1" applyFont="1" applyFill="1" applyBorder="1" applyAlignment="1">
      <alignment horizontal="right" vertical="center"/>
    </xf>
    <xf numFmtId="169" fontId="14" fillId="0" borderId="42" xfId="2" applyNumberFormat="1" applyFont="1" applyBorder="1" applyAlignment="1">
      <alignment horizontal="center"/>
    </xf>
    <xf numFmtId="166" fontId="14" fillId="0" borderId="53" xfId="2" applyNumberFormat="1" applyFont="1" applyBorder="1" applyAlignment="1">
      <alignment horizontal="center"/>
    </xf>
    <xf numFmtId="0" fontId="21" fillId="12" borderId="5" xfId="0" applyFont="1" applyFill="1" applyBorder="1" applyAlignment="1">
      <alignment horizontal="right" vertical="center"/>
    </xf>
    <xf numFmtId="0" fontId="11" fillId="0" borderId="3" xfId="0" applyFont="1" applyBorder="1"/>
    <xf numFmtId="168" fontId="12" fillId="0" borderId="2" xfId="0" applyNumberFormat="1" applyFont="1" applyBorder="1" applyAlignment="1">
      <alignment horizontal="right" vertical="center"/>
    </xf>
    <xf numFmtId="15" fontId="21" fillId="6" borderId="5" xfId="0" applyNumberFormat="1" applyFont="1" applyFill="1" applyBorder="1" applyAlignment="1">
      <alignment horizontal="center"/>
    </xf>
    <xf numFmtId="0" fontId="11" fillId="0" borderId="51" xfId="0" applyFont="1" applyBorder="1"/>
    <xf numFmtId="0" fontId="11" fillId="0" borderId="45" xfId="0" applyFont="1" applyBorder="1"/>
    <xf numFmtId="0" fontId="13" fillId="0" borderId="5" xfId="0" applyFont="1" applyBorder="1"/>
    <xf numFmtId="10" fontId="11" fillId="0" borderId="5" xfId="3" applyNumberFormat="1" applyFont="1" applyBorder="1" applyAlignment="1">
      <alignment horizontal="center"/>
    </xf>
    <xf numFmtId="10" fontId="11" fillId="0" borderId="5" xfId="3" applyNumberFormat="1" applyFont="1" applyBorder="1"/>
    <xf numFmtId="0" fontId="11" fillId="0" borderId="52" xfId="0" applyFont="1" applyBorder="1"/>
    <xf numFmtId="0" fontId="0" fillId="0" borderId="53" xfId="0" applyBorder="1"/>
    <xf numFmtId="0" fontId="14" fillId="0" borderId="42" xfId="0" applyFont="1" applyBorder="1"/>
    <xf numFmtId="169" fontId="14" fillId="5" borderId="0" xfId="2" applyNumberFormat="1" applyFont="1" applyFill="1" applyAlignment="1">
      <alignment horizontal="center"/>
    </xf>
    <xf numFmtId="10" fontId="14" fillId="5" borderId="53" xfId="3" applyNumberFormat="1" applyFont="1" applyFill="1" applyBorder="1" applyAlignment="1">
      <alignment horizontal="center"/>
    </xf>
    <xf numFmtId="169" fontId="14" fillId="5" borderId="4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166" fontId="14" fillId="0" borderId="0" xfId="2" applyNumberFormat="1" applyFont="1"/>
    <xf numFmtId="0" fontId="0" fillId="2" borderId="0" xfId="0" applyFill="1" applyAlignment="1">
      <alignment horizontal="center"/>
    </xf>
    <xf numFmtId="0" fontId="0" fillId="2" borderId="51" xfId="0" applyFill="1" applyBorder="1" applyAlignment="1">
      <alignment horizontal="center"/>
    </xf>
    <xf numFmtId="10" fontId="14" fillId="2" borderId="0" xfId="3" applyNumberFormat="1" applyFont="1" applyFill="1" applyAlignment="1">
      <alignment horizontal="center"/>
    </xf>
    <xf numFmtId="10" fontId="14" fillId="2" borderId="2" xfId="3" applyNumberFormat="1" applyFont="1" applyFill="1" applyBorder="1" applyAlignment="1">
      <alignment horizontal="center"/>
    </xf>
    <xf numFmtId="0" fontId="14" fillId="4" borderId="5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166" fontId="14" fillId="2" borderId="2" xfId="2" applyNumberFormat="1" applyFont="1" applyFill="1" applyBorder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/>
    <xf numFmtId="0" fontId="1" fillId="2" borderId="54" xfId="0" applyFont="1" applyFill="1" applyBorder="1"/>
    <xf numFmtId="0" fontId="2" fillId="2" borderId="37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1" fillId="2" borderId="55" xfId="0" applyFont="1" applyFill="1" applyBorder="1"/>
    <xf numFmtId="0" fontId="1" fillId="2" borderId="17" xfId="0" applyFont="1" applyFill="1" applyBorder="1"/>
    <xf numFmtId="0" fontId="6" fillId="2" borderId="40" xfId="0" applyFont="1" applyFill="1" applyBorder="1" applyAlignment="1">
      <alignment vertical="center"/>
    </xf>
    <xf numFmtId="10" fontId="28" fillId="2" borderId="56" xfId="0" applyNumberFormat="1" applyFont="1" applyFill="1" applyBorder="1" applyAlignment="1">
      <alignment horizontal="center" vertical="center"/>
    </xf>
    <xf numFmtId="10" fontId="28" fillId="2" borderId="55" xfId="0" applyNumberFormat="1" applyFont="1" applyFill="1" applyBorder="1" applyAlignment="1">
      <alignment horizontal="center" vertical="center"/>
    </xf>
    <xf numFmtId="0" fontId="1" fillId="2" borderId="40" xfId="0" applyFont="1" applyFill="1" applyBorder="1"/>
    <xf numFmtId="0" fontId="28" fillId="2" borderId="0" xfId="0" applyFont="1" applyFill="1" applyAlignment="1">
      <alignment horizontal="center" vertical="center"/>
    </xf>
    <xf numFmtId="0" fontId="2" fillId="2" borderId="40" xfId="0" applyFont="1" applyFill="1" applyBorder="1" applyAlignment="1">
      <alignment horizontal="right" vertical="center"/>
    </xf>
    <xf numFmtId="166" fontId="29" fillId="2" borderId="5" xfId="2" applyNumberFormat="1" applyFont="1" applyFill="1" applyBorder="1" applyAlignment="1">
      <alignment horizontal="center" vertical="center"/>
    </xf>
    <xf numFmtId="166" fontId="29" fillId="2" borderId="61" xfId="2" applyNumberFormat="1" applyFont="1" applyFill="1" applyBorder="1" applyAlignment="1">
      <alignment horizontal="center" vertical="center"/>
    </xf>
    <xf numFmtId="9" fontId="30" fillId="2" borderId="62" xfId="0" applyNumberFormat="1" applyFont="1" applyFill="1" applyBorder="1" applyAlignment="1">
      <alignment vertical="center"/>
    </xf>
    <xf numFmtId="164" fontId="30" fillId="2" borderId="63" xfId="0" applyNumberFormat="1" applyFont="1" applyFill="1" applyBorder="1" applyAlignment="1">
      <alignment horizontal="right" vertical="center"/>
    </xf>
    <xf numFmtId="9" fontId="30" fillId="2" borderId="63" xfId="0" applyNumberFormat="1" applyFont="1" applyFill="1" applyBorder="1" applyAlignment="1">
      <alignment horizontal="left" vertical="center"/>
    </xf>
    <xf numFmtId="164" fontId="30" fillId="2" borderId="64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10" fontId="27" fillId="2" borderId="65" xfId="0" applyNumberFormat="1" applyFont="1" applyFill="1" applyBorder="1" applyAlignment="1">
      <alignment horizontal="center" vertical="center"/>
    </xf>
    <xf numFmtId="10" fontId="31" fillId="2" borderId="66" xfId="3" applyNumberFormat="1" applyFont="1" applyFill="1" applyBorder="1" applyAlignment="1">
      <alignment horizontal="right" vertical="center"/>
    </xf>
    <xf numFmtId="10" fontId="31" fillId="2" borderId="67" xfId="3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30" fillId="2" borderId="68" xfId="0" applyFont="1" applyFill="1" applyBorder="1" applyAlignment="1">
      <alignment horizontal="left" vertical="center"/>
    </xf>
    <xf numFmtId="164" fontId="30" fillId="2" borderId="69" xfId="0" applyNumberFormat="1" applyFont="1" applyFill="1" applyBorder="1" applyAlignment="1">
      <alignment horizontal="right" vertical="center"/>
    </xf>
    <xf numFmtId="0" fontId="30" fillId="2" borderId="69" xfId="0" applyFont="1" applyFill="1" applyBorder="1" applyAlignment="1">
      <alignment horizontal="left" vertical="center"/>
    </xf>
    <xf numFmtId="164" fontId="30" fillId="2" borderId="70" xfId="0" applyNumberFormat="1" applyFont="1" applyFill="1" applyBorder="1" applyAlignment="1">
      <alignment horizontal="right" vertical="center"/>
    </xf>
    <xf numFmtId="10" fontId="27" fillId="2" borderId="71" xfId="0" applyNumberFormat="1" applyFont="1" applyFill="1" applyBorder="1" applyAlignment="1">
      <alignment horizontal="center" vertical="center"/>
    </xf>
    <xf numFmtId="10" fontId="31" fillId="2" borderId="72" xfId="3" applyNumberFormat="1" applyFont="1" applyFill="1" applyBorder="1" applyAlignment="1">
      <alignment horizontal="right" vertical="center"/>
    </xf>
    <xf numFmtId="10" fontId="31" fillId="2" borderId="73" xfId="3" applyNumberFormat="1" applyFont="1" applyFill="1" applyBorder="1" applyAlignment="1">
      <alignment horizontal="right" vertical="center"/>
    </xf>
    <xf numFmtId="10" fontId="27" fillId="2" borderId="74" xfId="0" applyNumberFormat="1" applyFont="1" applyFill="1" applyBorder="1" applyAlignment="1">
      <alignment horizontal="center" vertical="center"/>
    </xf>
    <xf numFmtId="10" fontId="31" fillId="2" borderId="75" xfId="3" applyNumberFormat="1" applyFont="1" applyFill="1" applyBorder="1" applyAlignment="1">
      <alignment horizontal="right" vertical="center"/>
    </xf>
    <xf numFmtId="10" fontId="31" fillId="2" borderId="76" xfId="3" applyNumberFormat="1" applyFont="1" applyFill="1" applyBorder="1" applyAlignment="1">
      <alignment horizontal="right" vertical="center"/>
    </xf>
    <xf numFmtId="0" fontId="30" fillId="2" borderId="77" xfId="0" applyFont="1" applyFill="1" applyBorder="1" applyAlignment="1">
      <alignment horizontal="left" vertical="center"/>
    </xf>
    <xf numFmtId="164" fontId="30" fillId="2" borderId="78" xfId="0" applyNumberFormat="1" applyFont="1" applyFill="1" applyBorder="1" applyAlignment="1">
      <alignment horizontal="right" vertical="center"/>
    </xf>
    <xf numFmtId="0" fontId="30" fillId="2" borderId="78" xfId="0" applyFont="1" applyFill="1" applyBorder="1" applyAlignment="1">
      <alignment horizontal="left" vertical="center"/>
    </xf>
    <xf numFmtId="164" fontId="30" fillId="2" borderId="79" xfId="0" applyNumberFormat="1" applyFont="1" applyFill="1" applyBorder="1" applyAlignment="1">
      <alignment horizontal="right" vertical="center"/>
    </xf>
    <xf numFmtId="164" fontId="31" fillId="2" borderId="0" xfId="0" applyNumberFormat="1" applyFont="1" applyFill="1" applyAlignment="1">
      <alignment horizontal="right" vertical="center"/>
    </xf>
    <xf numFmtId="0" fontId="26" fillId="0" borderId="27" xfId="0" applyFont="1" applyBorder="1" applyAlignment="1">
      <alignment horizontal="left" vertical="center" wrapText="1" readingOrder="1"/>
    </xf>
    <xf numFmtId="0" fontId="32" fillId="5" borderId="83" xfId="0" applyFont="1" applyFill="1" applyBorder="1" applyAlignment="1">
      <alignment horizontal="center" vertical="center"/>
    </xf>
    <xf numFmtId="0" fontId="33" fillId="13" borderId="84" xfId="0" applyFont="1" applyFill="1" applyBorder="1" applyAlignment="1">
      <alignment horizontal="center" vertical="center"/>
    </xf>
    <xf numFmtId="9" fontId="34" fillId="2" borderId="5" xfId="0" applyNumberFormat="1" applyFont="1" applyFill="1" applyBorder="1" applyAlignment="1">
      <alignment horizontal="left" vertical="center"/>
    </xf>
    <xf numFmtId="164" fontId="34" fillId="2" borderId="5" xfId="3" applyNumberFormat="1" applyFont="1" applyFill="1" applyBorder="1" applyAlignment="1">
      <alignment horizontal="right" vertical="center"/>
    </xf>
    <xf numFmtId="164" fontId="31" fillId="2" borderId="5" xfId="3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center" vertical="center" wrapText="1" readingOrder="1"/>
    </xf>
    <xf numFmtId="10" fontId="27" fillId="2" borderId="0" xfId="0" applyNumberFormat="1" applyFont="1" applyFill="1" applyAlignment="1">
      <alignment horizontal="center" vertical="center"/>
    </xf>
    <xf numFmtId="10" fontId="31" fillId="2" borderId="0" xfId="3" applyNumberFormat="1" applyFont="1" applyFill="1" applyBorder="1" applyAlignment="1">
      <alignment horizontal="right" vertical="center"/>
    </xf>
    <xf numFmtId="17" fontId="1" fillId="2" borderId="0" xfId="0" applyNumberFormat="1" applyFont="1" applyFill="1" applyAlignment="1">
      <alignment vertical="center"/>
    </xf>
    <xf numFmtId="10" fontId="1" fillId="2" borderId="0" xfId="3" applyNumberFormat="1" applyFont="1" applyFill="1" applyAlignment="1">
      <alignment horizontal="center" vertical="center"/>
    </xf>
    <xf numFmtId="0" fontId="26" fillId="0" borderId="36" xfId="0" applyFont="1" applyBorder="1" applyAlignment="1">
      <alignment horizontal="left" vertical="center" readingOrder="1"/>
    </xf>
    <xf numFmtId="0" fontId="28" fillId="14" borderId="56" xfId="0" applyFont="1" applyFill="1" applyBorder="1" applyAlignment="1">
      <alignment horizontal="center" vertical="center"/>
    </xf>
    <xf numFmtId="0" fontId="28" fillId="14" borderId="90" xfId="0" applyFont="1" applyFill="1" applyBorder="1" applyAlignment="1">
      <alignment horizontal="center" vertical="center"/>
    </xf>
    <xf numFmtId="0" fontId="28" fillId="14" borderId="36" xfId="0" applyFont="1" applyFill="1" applyBorder="1" applyAlignment="1">
      <alignment horizontal="center" vertical="center"/>
    </xf>
    <xf numFmtId="0" fontId="28" fillId="14" borderId="91" xfId="0" applyFont="1" applyFill="1" applyBorder="1" applyAlignment="1">
      <alignment horizontal="center" vertical="center"/>
    </xf>
    <xf numFmtId="0" fontId="29" fillId="2" borderId="92" xfId="0" applyFont="1" applyFill="1" applyBorder="1" applyAlignment="1">
      <alignment horizontal="left" vertical="center"/>
    </xf>
    <xf numFmtId="2" fontId="30" fillId="5" borderId="93" xfId="0" applyNumberFormat="1" applyFont="1" applyFill="1" applyBorder="1" applyAlignment="1">
      <alignment horizontal="center" vertical="center"/>
    </xf>
    <xf numFmtId="2" fontId="30" fillId="5" borderId="92" xfId="0" applyNumberFormat="1" applyFont="1" applyFill="1" applyBorder="1" applyAlignment="1">
      <alignment horizontal="center" vertical="center"/>
    </xf>
    <xf numFmtId="2" fontId="30" fillId="5" borderId="94" xfId="0" applyNumberFormat="1" applyFont="1" applyFill="1" applyBorder="1" applyAlignment="1">
      <alignment horizontal="center" vertical="center"/>
    </xf>
    <xf numFmtId="10" fontId="29" fillId="2" borderId="95" xfId="0" applyNumberFormat="1" applyFont="1" applyFill="1" applyBorder="1" applyAlignment="1">
      <alignment horizontal="left" vertical="center"/>
    </xf>
    <xf numFmtId="2" fontId="38" fillId="5" borderId="96" xfId="0" applyNumberFormat="1" applyFont="1" applyFill="1" applyBorder="1" applyAlignment="1">
      <alignment horizontal="center" vertical="center"/>
    </xf>
    <xf numFmtId="2" fontId="38" fillId="5" borderId="95" xfId="0" applyNumberFormat="1" applyFont="1" applyFill="1" applyBorder="1" applyAlignment="1">
      <alignment horizontal="center" vertical="center"/>
    </xf>
    <xf numFmtId="2" fontId="38" fillId="5" borderId="97" xfId="0" applyNumberFormat="1" applyFont="1" applyFill="1" applyBorder="1" applyAlignment="1">
      <alignment horizontal="center" vertical="center"/>
    </xf>
    <xf numFmtId="0" fontId="39" fillId="0" borderId="40" xfId="0" applyFont="1" applyBorder="1"/>
    <xf numFmtId="10" fontId="29" fillId="2" borderId="98" xfId="0" applyNumberFormat="1" applyFont="1" applyFill="1" applyBorder="1" applyAlignment="1">
      <alignment horizontal="left" vertical="center"/>
    </xf>
    <xf numFmtId="2" fontId="38" fillId="5" borderId="99" xfId="0" applyNumberFormat="1" applyFont="1" applyFill="1" applyBorder="1" applyAlignment="1">
      <alignment horizontal="center" vertical="center"/>
    </xf>
    <xf numFmtId="2" fontId="38" fillId="5" borderId="98" xfId="0" applyNumberFormat="1" applyFont="1" applyFill="1" applyBorder="1" applyAlignment="1">
      <alignment horizontal="center" vertical="center"/>
    </xf>
    <xf numFmtId="2" fontId="38" fillId="5" borderId="100" xfId="0" applyNumberFormat="1" applyFont="1" applyFill="1" applyBorder="1" applyAlignment="1">
      <alignment horizontal="center" vertical="center"/>
    </xf>
    <xf numFmtId="0" fontId="29" fillId="2" borderId="101" xfId="0" applyFont="1" applyFill="1" applyBorder="1" applyAlignment="1">
      <alignment horizontal="left" vertical="center"/>
    </xf>
    <xf numFmtId="2" fontId="37" fillId="0" borderId="102" xfId="0" applyNumberFormat="1" applyFont="1" applyBorder="1" applyAlignment="1">
      <alignment horizontal="center" vertical="center"/>
    </xf>
    <xf numFmtId="2" fontId="30" fillId="5" borderId="102" xfId="0" applyNumberFormat="1" applyFont="1" applyFill="1" applyBorder="1" applyAlignment="1">
      <alignment horizontal="center" vertical="center"/>
    </xf>
    <xf numFmtId="2" fontId="30" fillId="5" borderId="101" xfId="0" applyNumberFormat="1" applyFont="1" applyFill="1" applyBorder="1" applyAlignment="1">
      <alignment horizontal="center" vertical="center"/>
    </xf>
    <xf numFmtId="2" fontId="30" fillId="5" borderId="103" xfId="0" applyNumberFormat="1" applyFont="1" applyFill="1" applyBorder="1" applyAlignment="1">
      <alignment horizontal="center" vertical="center"/>
    </xf>
    <xf numFmtId="10" fontId="29" fillId="2" borderId="104" xfId="0" applyNumberFormat="1" applyFont="1" applyFill="1" applyBorder="1" applyAlignment="1">
      <alignment horizontal="left" vertical="center"/>
    </xf>
    <xf numFmtId="10" fontId="40" fillId="2" borderId="40" xfId="0" applyNumberFormat="1" applyFont="1" applyFill="1" applyBorder="1" applyAlignment="1">
      <alignment horizontal="center" vertical="center" wrapText="1" readingOrder="1"/>
    </xf>
    <xf numFmtId="0" fontId="41" fillId="5" borderId="106" xfId="0" applyFont="1" applyFill="1" applyBorder="1" applyAlignment="1">
      <alignment horizontal="left" vertical="center"/>
    </xf>
    <xf numFmtId="2" fontId="30" fillId="5" borderId="88" xfId="0" applyNumberFormat="1" applyFont="1" applyFill="1" applyBorder="1" applyAlignment="1">
      <alignment horizontal="center" vertical="center"/>
    </xf>
    <xf numFmtId="2" fontId="30" fillId="5" borderId="89" xfId="0" applyNumberFormat="1" applyFont="1" applyFill="1" applyBorder="1" applyAlignment="1">
      <alignment horizontal="center" vertical="center"/>
    </xf>
    <xf numFmtId="17" fontId="4" fillId="2" borderId="0" xfId="0" applyNumberFormat="1" applyFont="1" applyFill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43" fillId="15" borderId="0" xfId="0" applyFont="1" applyFill="1" applyAlignment="1">
      <alignment vertical="center" wrapText="1"/>
    </xf>
    <xf numFmtId="0" fontId="42" fillId="2" borderId="114" xfId="0" applyFont="1" applyFill="1" applyBorder="1" applyAlignment="1">
      <alignment vertical="center" textRotation="90"/>
    </xf>
    <xf numFmtId="0" fontId="44" fillId="2" borderId="42" xfId="0" applyFont="1" applyFill="1" applyBorder="1" applyAlignment="1">
      <alignment horizontal="left" vertical="center"/>
    </xf>
    <xf numFmtId="0" fontId="45" fillId="2" borderId="42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2" borderId="114" xfId="0" applyFont="1" applyFill="1" applyBorder="1"/>
    <xf numFmtId="0" fontId="6" fillId="2" borderId="42" xfId="0" applyFont="1" applyFill="1" applyBorder="1" applyAlignment="1">
      <alignment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43" xfId="0" applyFont="1" applyFill="1" applyBorder="1" applyAlignment="1">
      <alignment horizontal="right" vertical="center"/>
    </xf>
    <xf numFmtId="17" fontId="39" fillId="2" borderId="5" xfId="0" applyNumberFormat="1" applyFont="1" applyFill="1" applyBorder="1" applyAlignment="1">
      <alignment vertical="center"/>
    </xf>
    <xf numFmtId="10" fontId="46" fillId="2" borderId="5" xfId="0" applyNumberFormat="1" applyFont="1" applyFill="1" applyBorder="1" applyAlignment="1">
      <alignment horizontal="left" vertical="center"/>
    </xf>
    <xf numFmtId="10" fontId="1" fillId="2" borderId="5" xfId="3" applyNumberFormat="1" applyFont="1" applyFill="1" applyBorder="1" applyAlignment="1">
      <alignment horizontal="center" vertical="center"/>
    </xf>
    <xf numFmtId="10" fontId="1" fillId="5" borderId="5" xfId="3" applyNumberFormat="1" applyFont="1" applyFill="1" applyBorder="1" applyAlignment="1">
      <alignment horizontal="center" vertical="center"/>
    </xf>
    <xf numFmtId="17" fontId="11" fillId="2" borderId="5" xfId="0" applyNumberFormat="1" applyFont="1" applyFill="1" applyBorder="1" applyAlignment="1">
      <alignment vertical="center"/>
    </xf>
    <xf numFmtId="10" fontId="1" fillId="0" borderId="5" xfId="3" applyNumberFormat="1" applyFont="1" applyBorder="1" applyAlignment="1">
      <alignment horizontal="center" vertical="center"/>
    </xf>
    <xf numFmtId="173" fontId="6" fillId="2" borderId="0" xfId="3" applyNumberFormat="1" applyFont="1" applyFill="1" applyAlignment="1">
      <alignment vertical="center"/>
    </xf>
    <xf numFmtId="17" fontId="11" fillId="5" borderId="5" xfId="0" applyNumberFormat="1" applyFont="1" applyFill="1" applyBorder="1" applyAlignment="1">
      <alignment vertical="center"/>
    </xf>
    <xf numFmtId="170" fontId="1" fillId="5" borderId="5" xfId="3" applyNumberFormat="1" applyFont="1" applyFill="1" applyBorder="1" applyAlignment="1">
      <alignment horizontal="center" vertical="center"/>
    </xf>
    <xf numFmtId="17" fontId="2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0" fontId="6" fillId="2" borderId="0" xfId="3" applyNumberFormat="1" applyFont="1" applyFill="1" applyAlignment="1">
      <alignment vertical="center"/>
    </xf>
    <xf numFmtId="44" fontId="2" fillId="2" borderId="0" xfId="2" applyFont="1" applyFill="1" applyAlignment="1">
      <alignment horizontal="center" vertical="center"/>
    </xf>
    <xf numFmtId="10" fontId="2" fillId="2" borderId="0" xfId="3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right" vertical="center"/>
    </xf>
    <xf numFmtId="14" fontId="0" fillId="0" borderId="0" xfId="0" applyNumberFormat="1"/>
    <xf numFmtId="9" fontId="0" fillId="0" borderId="0" xfId="0" applyNumberFormat="1"/>
    <xf numFmtId="9" fontId="15" fillId="9" borderId="15" xfId="3" applyFont="1" applyFill="1" applyBorder="1" applyAlignment="1">
      <alignment vertical="center"/>
    </xf>
    <xf numFmtId="9" fontId="15" fillId="9" borderId="26" xfId="3" applyFont="1" applyFill="1" applyBorder="1" applyAlignment="1">
      <alignment horizontal="center" vertical="center"/>
    </xf>
    <xf numFmtId="9" fontId="15" fillId="9" borderId="16" xfId="3" applyFont="1" applyFill="1" applyBorder="1" applyAlignment="1">
      <alignment horizontal="center" vertical="center"/>
    </xf>
    <xf numFmtId="9" fontId="16" fillId="9" borderId="44" xfId="3" applyFont="1" applyFill="1" applyBorder="1" applyAlignment="1">
      <alignment vertical="center"/>
    </xf>
    <xf numFmtId="43" fontId="14" fillId="9" borderId="45" xfId="1" applyFont="1" applyFill="1" applyBorder="1" applyAlignment="1">
      <alignment horizontal="center" vertical="center"/>
    </xf>
    <xf numFmtId="43" fontId="14" fillId="9" borderId="18" xfId="1" applyFont="1" applyFill="1" applyBorder="1" applyAlignment="1">
      <alignment horizontal="center" vertical="center"/>
    </xf>
    <xf numFmtId="9" fontId="16" fillId="9" borderId="30" xfId="3" applyFont="1" applyFill="1" applyBorder="1" applyAlignment="1">
      <alignment vertical="center"/>
    </xf>
    <xf numFmtId="165" fontId="14" fillId="9" borderId="5" xfId="1" applyNumberFormat="1" applyFont="1" applyFill="1" applyBorder="1" applyAlignment="1">
      <alignment horizontal="center" vertical="center"/>
    </xf>
    <xf numFmtId="165" fontId="14" fillId="9" borderId="46" xfId="1" applyNumberFormat="1" applyFont="1" applyFill="1" applyBorder="1" applyAlignment="1">
      <alignment horizontal="center" vertical="center"/>
    </xf>
    <xf numFmtId="164" fontId="14" fillId="9" borderId="5" xfId="3" applyNumberFormat="1" applyFont="1" applyFill="1" applyBorder="1" applyAlignment="1">
      <alignment horizontal="center" vertical="center"/>
    </xf>
    <xf numFmtId="164" fontId="14" fillId="9" borderId="46" xfId="3" applyNumberFormat="1" applyFont="1" applyFill="1" applyBorder="1" applyAlignment="1">
      <alignment horizontal="center" vertical="center"/>
    </xf>
    <xf numFmtId="166" fontId="14" fillId="9" borderId="46" xfId="2" applyNumberFormat="1" applyFont="1" applyFill="1" applyBorder="1" applyAlignment="1">
      <alignment horizontal="center" vertical="center"/>
    </xf>
    <xf numFmtId="9" fontId="16" fillId="9" borderId="47" xfId="3" applyFont="1" applyFill="1" applyBorder="1" applyAlignment="1">
      <alignment vertical="center"/>
    </xf>
    <xf numFmtId="167" fontId="14" fillId="9" borderId="48" xfId="1" applyNumberFormat="1" applyFont="1" applyFill="1" applyBorder="1" applyAlignment="1">
      <alignment horizontal="center" vertical="center"/>
    </xf>
    <xf numFmtId="167" fontId="14" fillId="9" borderId="49" xfId="1" applyNumberFormat="1" applyFont="1" applyFill="1" applyBorder="1" applyAlignment="1">
      <alignment horizontal="center" vertical="center"/>
    </xf>
    <xf numFmtId="2" fontId="36" fillId="5" borderId="93" xfId="0" applyNumberFormat="1" applyFont="1" applyFill="1" applyBorder="1" applyAlignment="1">
      <alignment horizontal="center" vertical="center"/>
    </xf>
    <xf numFmtId="2" fontId="37" fillId="5" borderId="96" xfId="0" applyNumberFormat="1" applyFont="1" applyFill="1" applyBorder="1" applyAlignment="1">
      <alignment horizontal="center" vertical="center"/>
    </xf>
    <xf numFmtId="2" fontId="37" fillId="5" borderId="99" xfId="0" applyNumberFormat="1" applyFont="1" applyFill="1" applyBorder="1" applyAlignment="1">
      <alignment horizontal="center" vertical="center"/>
    </xf>
    <xf numFmtId="2" fontId="37" fillId="5" borderId="105" xfId="0" applyNumberFormat="1" applyFont="1" applyFill="1" applyBorder="1" applyAlignment="1">
      <alignment horizontal="center" vertical="center"/>
    </xf>
    <xf numFmtId="0" fontId="26" fillId="9" borderId="27" xfId="0" applyFont="1" applyFill="1" applyBorder="1" applyAlignment="1">
      <alignment horizontal="left" vertical="center" wrapText="1" readingOrder="1"/>
    </xf>
    <xf numFmtId="0" fontId="32" fillId="9" borderId="83" xfId="0" applyFont="1" applyFill="1" applyBorder="1" applyAlignment="1">
      <alignment horizontal="center" vertical="center"/>
    </xf>
    <xf numFmtId="0" fontId="33" fillId="9" borderId="84" xfId="0" applyFont="1" applyFill="1" applyBorder="1" applyAlignment="1">
      <alignment horizontal="center" vertical="center"/>
    </xf>
    <xf numFmtId="0" fontId="40" fillId="9" borderId="107" xfId="0" applyFont="1" applyFill="1" applyBorder="1" applyAlignment="1">
      <alignment vertical="center"/>
    </xf>
    <xf numFmtId="172" fontId="34" fillId="9" borderId="108" xfId="0" applyNumberFormat="1" applyFont="1" applyFill="1" applyBorder="1" applyAlignment="1">
      <alignment vertical="center"/>
    </xf>
    <xf numFmtId="172" fontId="34" fillId="9" borderId="67" xfId="0" applyNumberFormat="1" applyFont="1" applyFill="1" applyBorder="1" applyAlignment="1">
      <alignment horizontal="center" vertical="center"/>
    </xf>
    <xf numFmtId="0" fontId="40" fillId="9" borderId="109" xfId="0" applyFont="1" applyFill="1" applyBorder="1" applyAlignment="1">
      <alignment vertical="center"/>
    </xf>
    <xf numFmtId="1" fontId="34" fillId="9" borderId="110" xfId="0" applyNumberFormat="1" applyFont="1" applyFill="1" applyBorder="1" applyAlignment="1">
      <alignment vertical="center"/>
    </xf>
    <xf numFmtId="1" fontId="34" fillId="9" borderId="76" xfId="0" applyNumberFormat="1" applyFont="1" applyFill="1" applyBorder="1" applyAlignment="1">
      <alignment vertical="center"/>
    </xf>
    <xf numFmtId="164" fontId="34" fillId="9" borderId="110" xfId="3" applyNumberFormat="1" applyFont="1" applyFill="1" applyBorder="1" applyAlignment="1">
      <alignment vertical="center"/>
    </xf>
    <xf numFmtId="164" fontId="34" fillId="9" borderId="76" xfId="3" applyNumberFormat="1" applyFont="1" applyFill="1" applyBorder="1" applyAlignment="1">
      <alignment vertical="center"/>
    </xf>
    <xf numFmtId="3" fontId="34" fillId="9" borderId="110" xfId="1" applyNumberFormat="1" applyFont="1" applyFill="1" applyBorder="1" applyAlignment="1">
      <alignment vertical="center"/>
    </xf>
    <xf numFmtId="3" fontId="34" fillId="9" borderId="76" xfId="1" applyNumberFormat="1" applyFont="1" applyFill="1" applyBorder="1" applyAlignment="1">
      <alignment vertical="center"/>
    </xf>
    <xf numFmtId="0" fontId="40" fillId="9" borderId="111" xfId="0" applyFont="1" applyFill="1" applyBorder="1" applyAlignment="1">
      <alignment vertical="center"/>
    </xf>
    <xf numFmtId="2" fontId="34" fillId="9" borderId="112" xfId="0" applyNumberFormat="1" applyFont="1" applyFill="1" applyBorder="1" applyAlignment="1">
      <alignment vertical="center"/>
    </xf>
    <xf numFmtId="2" fontId="34" fillId="9" borderId="113" xfId="0" applyNumberFormat="1" applyFont="1" applyFill="1" applyBorder="1" applyAlignment="1">
      <alignment vertical="center"/>
    </xf>
    <xf numFmtId="164" fontId="0" fillId="0" borderId="0" xfId="0" applyNumberFormat="1"/>
    <xf numFmtId="164" fontId="0" fillId="0" borderId="0" xfId="3" applyNumberFormat="1" applyFont="1"/>
    <xf numFmtId="14" fontId="8" fillId="3" borderId="6" xfId="3" applyNumberFormat="1" applyFont="1" applyFill="1" applyBorder="1" applyAlignment="1">
      <alignment horizontal="center" vertical="center" wrapText="1"/>
    </xf>
    <xf numFmtId="14" fontId="8" fillId="3" borderId="7" xfId="3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25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wrapText="1"/>
    </xf>
    <xf numFmtId="10" fontId="10" fillId="0" borderId="5" xfId="3" applyNumberFormat="1" applyFont="1" applyBorder="1" applyAlignment="1">
      <alignment horizontal="center" vertical="center"/>
    </xf>
    <xf numFmtId="171" fontId="10" fillId="6" borderId="5" xfId="3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10" fillId="6" borderId="5" xfId="3" applyNumberFormat="1" applyFont="1" applyFill="1" applyBorder="1" applyAlignment="1">
      <alignment horizontal="center" vertical="center"/>
    </xf>
    <xf numFmtId="10" fontId="10" fillId="6" borderId="5" xfId="3" applyNumberFormat="1" applyFont="1" applyFill="1" applyBorder="1" applyAlignment="1">
      <alignment horizontal="center" vertical="center"/>
    </xf>
    <xf numFmtId="166" fontId="19" fillId="7" borderId="0" xfId="2" applyNumberFormat="1" applyFont="1" applyFill="1" applyAlignment="1">
      <alignment horizontal="center"/>
    </xf>
    <xf numFmtId="166" fontId="19" fillId="7" borderId="2" xfId="2" applyNumberFormat="1" applyFont="1" applyFill="1" applyBorder="1" applyAlignment="1">
      <alignment horizontal="center"/>
    </xf>
    <xf numFmtId="10" fontId="19" fillId="7" borderId="0" xfId="3" applyNumberFormat="1" applyFont="1" applyFill="1" applyAlignment="1">
      <alignment horizontal="center"/>
    </xf>
    <xf numFmtId="10" fontId="19" fillId="7" borderId="2" xfId="3" applyNumberFormat="1" applyFont="1" applyFill="1" applyBorder="1" applyAlignment="1">
      <alignment horizontal="center"/>
    </xf>
    <xf numFmtId="10" fontId="10" fillId="0" borderId="6" xfId="3" applyNumberFormat="1" applyFont="1" applyBorder="1" applyAlignment="1">
      <alignment horizontal="center" vertical="center"/>
    </xf>
    <xf numFmtId="10" fontId="10" fillId="0" borderId="8" xfId="3" applyNumberFormat="1" applyFont="1" applyBorder="1" applyAlignment="1">
      <alignment horizontal="center" vertical="center"/>
    </xf>
    <xf numFmtId="10" fontId="10" fillId="0" borderId="7" xfId="3" applyNumberFormat="1" applyFont="1" applyBorder="1" applyAlignment="1">
      <alignment horizontal="center" vertical="center"/>
    </xf>
    <xf numFmtId="14" fontId="10" fillId="0" borderId="5" xfId="3" applyNumberFormat="1" applyFont="1" applyBorder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42" fillId="2" borderId="17" xfId="0" applyFont="1" applyFill="1" applyBorder="1" applyAlignment="1">
      <alignment horizontal="center" vertical="center" textRotation="90"/>
    </xf>
    <xf numFmtId="0" fontId="25" fillId="9" borderId="15" xfId="0" applyFont="1" applyFill="1" applyBorder="1" applyAlignment="1">
      <alignment horizontal="center"/>
    </xf>
    <xf numFmtId="0" fontId="25" fillId="9" borderId="25" xfId="0" applyFont="1" applyFill="1" applyBorder="1" applyAlignment="1">
      <alignment horizontal="center"/>
    </xf>
    <xf numFmtId="0" fontId="25" fillId="9" borderId="16" xfId="0" applyFont="1" applyFill="1" applyBorder="1" applyAlignment="1">
      <alignment horizontal="center"/>
    </xf>
    <xf numFmtId="0" fontId="25" fillId="9" borderId="54" xfId="0" applyFont="1" applyFill="1" applyBorder="1" applyAlignment="1">
      <alignment horizontal="center"/>
    </xf>
    <xf numFmtId="0" fontId="25" fillId="9" borderId="37" xfId="0" applyFont="1" applyFill="1" applyBorder="1" applyAlignment="1">
      <alignment horizontal="center"/>
    </xf>
    <xf numFmtId="0" fontId="25" fillId="9" borderId="55" xfId="0" applyFont="1" applyFill="1" applyBorder="1" applyAlignment="1">
      <alignment horizontal="center"/>
    </xf>
    <xf numFmtId="0" fontId="26" fillId="0" borderId="54" xfId="0" applyFont="1" applyBorder="1" applyAlignment="1">
      <alignment horizontal="center" vertical="center" wrapText="1" readingOrder="1"/>
    </xf>
    <xf numFmtId="0" fontId="26" fillId="0" borderId="60" xfId="0" applyFont="1" applyBorder="1" applyAlignment="1">
      <alignment horizontal="center" vertical="center" wrapText="1" readingOrder="1"/>
    </xf>
    <xf numFmtId="15" fontId="27" fillId="2" borderId="56" xfId="0" applyNumberFormat="1" applyFont="1" applyFill="1" applyBorder="1" applyAlignment="1">
      <alignment horizontal="center" vertical="center"/>
    </xf>
    <xf numFmtId="15" fontId="27" fillId="2" borderId="45" xfId="0" applyNumberFormat="1" applyFont="1" applyFill="1" applyBorder="1" applyAlignment="1">
      <alignment horizontal="center" vertical="center"/>
    </xf>
    <xf numFmtId="0" fontId="26" fillId="0" borderId="57" xfId="0" applyFont="1" applyBorder="1" applyAlignment="1">
      <alignment horizontal="left" vertical="center" wrapText="1" readingOrder="1"/>
    </xf>
    <xf numFmtId="0" fontId="26" fillId="0" borderId="58" xfId="0" applyFont="1" applyBorder="1" applyAlignment="1">
      <alignment horizontal="left" vertical="center" wrapText="1" readingOrder="1"/>
    </xf>
    <xf numFmtId="0" fontId="26" fillId="0" borderId="59" xfId="0" applyFont="1" applyBorder="1" applyAlignment="1">
      <alignment horizontal="left" vertical="center" wrapText="1" readingOrder="1"/>
    </xf>
    <xf numFmtId="0" fontId="26" fillId="0" borderId="33" xfId="0" applyFont="1" applyBorder="1" applyAlignment="1">
      <alignment horizontal="center" vertical="center" wrapText="1" readingOrder="1"/>
    </xf>
    <xf numFmtId="0" fontId="26" fillId="0" borderId="39" xfId="0" applyFont="1" applyBorder="1" applyAlignment="1">
      <alignment horizontal="center" vertical="center" wrapText="1" readingOrder="1"/>
    </xf>
    <xf numFmtId="0" fontId="26" fillId="0" borderId="41" xfId="0" applyFont="1" applyBorder="1" applyAlignment="1">
      <alignment horizontal="center" vertical="center" wrapText="1" readingOrder="1"/>
    </xf>
    <xf numFmtId="10" fontId="27" fillId="2" borderId="80" xfId="0" applyNumberFormat="1" applyFont="1" applyFill="1" applyBorder="1" applyAlignment="1">
      <alignment horizontal="center" vertical="center"/>
    </xf>
    <xf numFmtId="10" fontId="27" fillId="2" borderId="52" xfId="0" applyNumberFormat="1" applyFont="1" applyFill="1" applyBorder="1" applyAlignment="1">
      <alignment horizontal="center" vertical="center"/>
    </xf>
    <xf numFmtId="10" fontId="31" fillId="2" borderId="81" xfId="3" applyNumberFormat="1" applyFont="1" applyFill="1" applyBorder="1" applyAlignment="1">
      <alignment horizontal="center" vertical="center"/>
    </xf>
    <xf numFmtId="10" fontId="31" fillId="2" borderId="85" xfId="3" applyNumberFormat="1" applyFont="1" applyFill="1" applyBorder="1" applyAlignment="1">
      <alignment horizontal="center" vertical="center"/>
    </xf>
    <xf numFmtId="10" fontId="31" fillId="2" borderId="82" xfId="3" applyNumberFormat="1" applyFont="1" applyFill="1" applyBorder="1" applyAlignment="1">
      <alignment horizontal="center" vertical="center"/>
    </xf>
    <xf numFmtId="10" fontId="31" fillId="2" borderId="86" xfId="3" applyNumberFormat="1" applyFont="1" applyFill="1" applyBorder="1" applyAlignment="1">
      <alignment horizontal="center" vertical="center"/>
    </xf>
    <xf numFmtId="10" fontId="35" fillId="4" borderId="87" xfId="3" applyNumberFormat="1" applyFont="1" applyFill="1" applyBorder="1" applyAlignment="1">
      <alignment horizontal="center" vertical="center"/>
    </xf>
    <xf numFmtId="10" fontId="35" fillId="4" borderId="88" xfId="3" applyNumberFormat="1" applyFont="1" applyFill="1" applyBorder="1" applyAlignment="1">
      <alignment horizontal="center" vertical="center"/>
    </xf>
    <xf numFmtId="10" fontId="35" fillId="4" borderId="89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189186</xdr:rowOff>
    </xdr:from>
    <xdr:to>
      <xdr:col>9</xdr:col>
      <xdr:colOff>269031</xdr:colOff>
      <xdr:row>35</xdr:row>
      <xdr:rowOff>119494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D8881A-A382-425C-80C9-1D0B6DE0D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4182066"/>
          <a:ext cx="2646471" cy="2322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LP\CLP%20FACTSHEET%20BACKUP%20FILE%2003-3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P -INPUTS"/>
      <sheetName val="DATA - Since Change"/>
      <sheetName val="CLP -Fact Sheet"/>
    </sheetNames>
    <sheetDataSet>
      <sheetData sheetId="0">
        <row r="2">
          <cell r="C2">
            <v>44286</v>
          </cell>
        </row>
        <row r="7">
          <cell r="C7">
            <v>-5.8999999999999999E-3</v>
          </cell>
        </row>
        <row r="11">
          <cell r="B11" t="str">
            <v>Invesco QQQ Trust Series 1</v>
          </cell>
          <cell r="C11">
            <v>0.222</v>
          </cell>
        </row>
        <row r="12">
          <cell r="B12" t="str">
            <v>Cash &amp; Equivalents</v>
          </cell>
          <cell r="C12">
            <v>0.17014290499877871</v>
          </cell>
        </row>
        <row r="13">
          <cell r="B13" t="str">
            <v>Apple Inc</v>
          </cell>
          <cell r="C13">
            <v>6.7000000000000004E-2</v>
          </cell>
        </row>
        <row r="14">
          <cell r="B14" t="str">
            <v>Microsoft Corp</v>
          </cell>
          <cell r="C14">
            <v>5.8000000000000003E-2</v>
          </cell>
        </row>
        <row r="15">
          <cell r="B15" t="str">
            <v>Amazon.com Inc</v>
          </cell>
          <cell r="C15">
            <v>5.0999999999999997E-2</v>
          </cell>
        </row>
        <row r="16">
          <cell r="B16" t="str">
            <v>Tesla Inc</v>
          </cell>
          <cell r="C16">
            <v>2.5999999999999999E-2</v>
          </cell>
        </row>
        <row r="17">
          <cell r="B17" t="str">
            <v>Facebook Inc</v>
          </cell>
          <cell r="C17">
            <v>2.3E-2</v>
          </cell>
        </row>
        <row r="18">
          <cell r="B18" t="str">
            <v>Alphabet Inc</v>
          </cell>
          <cell r="C18">
            <v>2.1999999999999999E-2</v>
          </cell>
        </row>
        <row r="19">
          <cell r="B19" t="str">
            <v>Alphabet Inc</v>
          </cell>
          <cell r="C19">
            <v>0.02</v>
          </cell>
        </row>
        <row r="20">
          <cell r="B20" t="str">
            <v>NVIDIA Corp</v>
          </cell>
          <cell r="C20">
            <v>1.6E-2</v>
          </cell>
        </row>
        <row r="24">
          <cell r="B24" t="str">
            <v>Information Technology</v>
          </cell>
          <cell r="C24">
            <v>0.2930421859708297</v>
          </cell>
          <cell r="D24">
            <v>0.56000000000000005</v>
          </cell>
        </row>
        <row r="25">
          <cell r="B25" t="str">
            <v>ETF/ETN</v>
          </cell>
          <cell r="C25">
            <v>0.22205767136594184</v>
          </cell>
          <cell r="D25">
            <v>0</v>
          </cell>
        </row>
        <row r="26">
          <cell r="B26" t="str">
            <v>Cash</v>
          </cell>
          <cell r="C26">
            <v>0.17014290499877871</v>
          </cell>
          <cell r="D26">
            <v>0</v>
          </cell>
        </row>
        <row r="27">
          <cell r="B27" t="str">
            <v>Communication Services</v>
          </cell>
          <cell r="C27">
            <v>0.11671932882623685</v>
          </cell>
          <cell r="D27">
            <v>1.2699999999999999E-2</v>
          </cell>
        </row>
        <row r="28">
          <cell r="B28" t="str">
            <v>Consumer Discretionary</v>
          </cell>
          <cell r="C28">
            <v>0.11100685257143381</v>
          </cell>
          <cell r="D28">
            <v>0.2082</v>
          </cell>
        </row>
        <row r="29">
          <cell r="B29" t="str">
            <v>Health Care</v>
          </cell>
          <cell r="C29">
            <v>3.8921303912649328E-2</v>
          </cell>
          <cell r="D29">
            <v>6.2300000000000001E-2</v>
          </cell>
        </row>
        <row r="30">
          <cell r="B30" t="str">
            <v>Consumer Staples</v>
          </cell>
          <cell r="C30">
            <v>3.1017313449082293E-2</v>
          </cell>
          <cell r="D30">
            <v>9.1600000000000001E-2</v>
          </cell>
        </row>
        <row r="31">
          <cell r="B31" t="str">
            <v>Industrials</v>
          </cell>
          <cell r="C31">
            <v>1.1126084138519161E-2</v>
          </cell>
          <cell r="D31">
            <v>5.2999999999999999E-2</v>
          </cell>
        </row>
        <row r="32">
          <cell r="B32" t="str">
            <v>Utilities</v>
          </cell>
          <cell r="C32">
            <v>5.9663547665282368E-3</v>
          </cell>
          <cell r="D32">
            <v>9.7999999999999997E-3</v>
          </cell>
        </row>
        <row r="33">
          <cell r="B33" t="str">
            <v>Financials</v>
          </cell>
          <cell r="C33">
            <v>0</v>
          </cell>
          <cell r="D33">
            <v>0</v>
          </cell>
        </row>
        <row r="34">
          <cell r="B34" t="str">
            <v>Materials</v>
          </cell>
          <cell r="C34">
            <v>0</v>
          </cell>
          <cell r="D34">
            <v>2.3999999999999998E-3</v>
          </cell>
        </row>
        <row r="35">
          <cell r="B35" t="str">
            <v>Energy</v>
          </cell>
          <cell r="C35">
            <v>0</v>
          </cell>
          <cell r="D35">
            <v>0</v>
          </cell>
        </row>
        <row r="36">
          <cell r="B36" t="str">
            <v>Real Estate</v>
          </cell>
          <cell r="C36">
            <v>0</v>
          </cell>
          <cell r="D36">
            <v>0</v>
          </cell>
        </row>
        <row r="43">
          <cell r="C43">
            <v>107</v>
          </cell>
          <cell r="D43">
            <v>102</v>
          </cell>
        </row>
        <row r="44">
          <cell r="C44">
            <v>0.6754</v>
          </cell>
          <cell r="D44">
            <v>0.51270000000000004</v>
          </cell>
        </row>
        <row r="45">
          <cell r="C45">
            <v>160845.53</v>
          </cell>
          <cell r="D45">
            <v>161721.79999999999</v>
          </cell>
        </row>
        <row r="46">
          <cell r="C46">
            <v>34.24</v>
          </cell>
          <cell r="D46">
            <v>39.28</v>
          </cell>
        </row>
      </sheetData>
      <sheetData sheetId="1">
        <row r="2">
          <cell r="D2" t="str">
            <v>CLPFX</v>
          </cell>
          <cell r="E2" t="str">
            <v>CLPAX</v>
          </cell>
          <cell r="F2" t="str">
            <v>CLPCX</v>
          </cell>
          <cell r="H2" t="str">
            <v>BENCH</v>
          </cell>
        </row>
        <row r="3">
          <cell r="B3" t="str">
            <v>BENCHMARK</v>
          </cell>
          <cell r="F3" t="str">
            <v>S&amp;P 500 Value Index</v>
          </cell>
        </row>
        <row r="4">
          <cell r="B4" t="str">
            <v>INCEPTION DATE</v>
          </cell>
          <cell r="D4" t="str">
            <v>05/01/2007</v>
          </cell>
          <cell r="H4" t="str">
            <v>05/01/2007</v>
          </cell>
        </row>
        <row r="5">
          <cell r="B5" t="str">
            <v>PERFORMANCE DATE</v>
          </cell>
        </row>
        <row r="6">
          <cell r="B6" t="str">
            <v>MAR</v>
          </cell>
        </row>
        <row r="7">
          <cell r="B7" t="str">
            <v>Risk Free Rate</v>
          </cell>
        </row>
        <row r="8">
          <cell r="B8" t="str">
            <v>Total Months</v>
          </cell>
          <cell r="D8">
            <v>7.612903225806452</v>
          </cell>
          <cell r="E8">
            <v>7.612903225806452</v>
          </cell>
          <cell r="F8">
            <v>7.612903225806452</v>
          </cell>
          <cell r="H8">
            <v>7.612903225806452</v>
          </cell>
        </row>
        <row r="9">
          <cell r="B9" t="str">
            <v>Inception*</v>
          </cell>
          <cell r="K9">
            <v>10565.855164527444</v>
          </cell>
          <cell r="O9">
            <v>11507.058132558457</v>
          </cell>
        </row>
        <row r="10">
          <cell r="B10" t="str">
            <v>Annualized Return*</v>
          </cell>
          <cell r="D10">
            <v>9.0636972029670027E-2</v>
          </cell>
          <cell r="E10">
            <v>8.7714176676483291E-2</v>
          </cell>
          <cell r="F10">
            <v>8.260325706356153E-2</v>
          </cell>
          <cell r="H10">
            <v>0.24766008298182474</v>
          </cell>
        </row>
        <row r="11">
          <cell r="B11" t="str">
            <v>Cumulative Growth of 10K</v>
          </cell>
          <cell r="D11">
            <v>10565.855164527444</v>
          </cell>
          <cell r="E11">
            <v>10547.882814608156</v>
          </cell>
          <cell r="F11">
            <v>10516.413137859634</v>
          </cell>
          <cell r="H11">
            <v>11507.058132558457</v>
          </cell>
        </row>
        <row r="12">
          <cell r="B12" t="str">
            <v>Cumulative Return Since Date Change*</v>
          </cell>
          <cell r="D12">
            <v>5.6585516452744455E-2</v>
          </cell>
          <cell r="E12">
            <v>5.4788281460815602E-2</v>
          </cell>
          <cell r="F12">
            <v>5.1641313785963483E-2</v>
          </cell>
          <cell r="H12">
            <v>0.15070581325584564</v>
          </cell>
        </row>
        <row r="13">
          <cell r="B13" t="str">
            <v>Standard Deviation</v>
          </cell>
          <cell r="D13">
            <v>0.11455395235433825</v>
          </cell>
          <cell r="E13">
            <v>0.11493018750528512</v>
          </cell>
          <cell r="F13">
            <v>0.11518508584013816</v>
          </cell>
          <cell r="H13">
            <v>0.17325075468811094</v>
          </cell>
        </row>
        <row r="14">
          <cell r="B14" t="str">
            <v>5 Years</v>
          </cell>
        </row>
        <row r="15">
          <cell r="B15" t="str">
            <v>3 Years</v>
          </cell>
        </row>
        <row r="16">
          <cell r="B16" t="str">
            <v>2 Years</v>
          </cell>
        </row>
        <row r="17">
          <cell r="B17" t="str">
            <v>1 Year</v>
          </cell>
          <cell r="D17" t="e">
            <v>#DIV/0!</v>
          </cell>
          <cell r="E17" t="e">
            <v>#DIV/0!</v>
          </cell>
          <cell r="F17" t="e">
            <v>#DIV/0!</v>
          </cell>
          <cell r="H17" t="e">
            <v>#DIV/0!</v>
          </cell>
        </row>
        <row r="18">
          <cell r="B18" t="str">
            <v>Since 10/1/2020</v>
          </cell>
          <cell r="D18">
            <v>5.6585516452744455E-2</v>
          </cell>
          <cell r="E18">
            <v>5.4788281460815602E-2</v>
          </cell>
          <cell r="F18">
            <v>5.1641313785963483E-2</v>
          </cell>
          <cell r="H18">
            <v>0.15070581325584564</v>
          </cell>
        </row>
        <row r="19">
          <cell r="B19" t="str">
            <v>YTD</v>
          </cell>
          <cell r="D19">
            <v>-2.2765261311999963E-2</v>
          </cell>
          <cell r="E19">
            <v>-2.385543878999985E-2</v>
          </cell>
          <cell r="F19">
            <v>-2.5236138880000203E-2</v>
          </cell>
          <cell r="H19">
            <v>1.7539861183999861E-2</v>
          </cell>
        </row>
        <row r="20">
          <cell r="B20" t="str">
            <v>Sharpe Ratio</v>
          </cell>
          <cell r="D20">
            <v>0.78967133102364961</v>
          </cell>
          <cell r="E20" t="str">
            <v>N/A</v>
          </cell>
          <cell r="F20" t="str">
            <v>N/A</v>
          </cell>
          <cell r="H20">
            <v>1.4294892015198826</v>
          </cell>
        </row>
        <row r="21">
          <cell r="B21" t="str">
            <v>Beta vs. S&amp;P 500 TR</v>
          </cell>
          <cell r="D21">
            <v>0.45444118631114933</v>
          </cell>
          <cell r="E21" t="str">
            <v>N/A</v>
          </cell>
          <cell r="F21" t="str">
            <v>N/A</v>
          </cell>
          <cell r="H21">
            <v>1</v>
          </cell>
        </row>
        <row r="22">
          <cell r="B22" t="str">
            <v>Alpha vs. S&amp;P 500 TR</v>
          </cell>
          <cell r="D22">
            <v>-2.2006533792531008E-2</v>
          </cell>
          <cell r="E22" t="str">
            <v>N/A</v>
          </cell>
          <cell r="F22" t="str">
            <v>N/A</v>
          </cell>
          <cell r="H22">
            <v>0</v>
          </cell>
        </row>
        <row r="23">
          <cell r="B23" t="str">
            <v>Correlation vs. S&amp;P 500 TR</v>
          </cell>
          <cell r="D23">
            <v>0.82475315993881093</v>
          </cell>
          <cell r="E23" t="str">
            <v>N/A</v>
          </cell>
          <cell r="F23" t="str">
            <v>N/A</v>
          </cell>
          <cell r="H23">
            <v>1</v>
          </cell>
        </row>
        <row r="24">
          <cell r="B24" t="str">
            <v>% Positive Months</v>
          </cell>
          <cell r="D24">
            <v>0.5</v>
          </cell>
          <cell r="E24" t="str">
            <v>N/A</v>
          </cell>
          <cell r="F24" t="str">
            <v>N/A</v>
          </cell>
          <cell r="H24">
            <v>0.66666666666666663</v>
          </cell>
        </row>
        <row r="25">
          <cell r="B25" t="str">
            <v>Maximum Drawdown Since 12/5/17</v>
          </cell>
          <cell r="D25">
            <v>-1</v>
          </cell>
          <cell r="E25" t="str">
            <v>N/A</v>
          </cell>
          <cell r="F25" t="str">
            <v>N/A</v>
          </cell>
          <cell r="H25">
            <v>-1</v>
          </cell>
        </row>
        <row r="26">
          <cell r="B26" t="str">
            <v>6MOS</v>
          </cell>
        </row>
        <row r="27">
          <cell r="B27" t="str">
            <v>3MOS</v>
          </cell>
        </row>
        <row r="28">
          <cell r="B28" t="str">
            <v>1MOS</v>
          </cell>
        </row>
        <row r="29">
          <cell r="B29" t="str">
            <v>Downside Risk</v>
          </cell>
        </row>
        <row r="30">
          <cell r="B30" t="str">
            <v>Excess Return</v>
          </cell>
        </row>
        <row r="31">
          <cell r="B31" t="str">
            <v>Avg. Excess Return</v>
          </cell>
        </row>
        <row r="32">
          <cell r="B32" t="str">
            <v>Monthly Arith. Average</v>
          </cell>
        </row>
        <row r="33">
          <cell r="B33" t="str">
            <v>Monthly Geo. Average</v>
          </cell>
        </row>
        <row r="34">
          <cell r="B34" t="str">
            <v>Active Return vs. Benchmark</v>
          </cell>
        </row>
        <row r="35">
          <cell r="B35" t="str">
            <v>Sortino Ratio¹</v>
          </cell>
        </row>
        <row r="36">
          <cell r="B36" t="str">
            <v>R-Squared (vs. S&amp;P GSCI Index)</v>
          </cell>
        </row>
        <row r="37">
          <cell r="B37" t="str">
            <v>Semi-Variance</v>
          </cell>
        </row>
        <row r="38">
          <cell r="D38" t="str">
            <v>CLPFX</v>
          </cell>
          <cell r="E38" t="str">
            <v>CLPAX</v>
          </cell>
          <cell r="F38" t="str">
            <v>CLPCX</v>
          </cell>
          <cell r="H38" t="str">
            <v>BENCH</v>
          </cell>
        </row>
        <row r="39">
          <cell r="B39">
            <v>44105</v>
          </cell>
          <cell r="D39">
            <v>10000</v>
          </cell>
          <cell r="E39">
            <v>10000</v>
          </cell>
          <cell r="F39">
            <v>10000</v>
          </cell>
          <cell r="H39">
            <v>10000</v>
          </cell>
        </row>
        <row r="40">
          <cell r="B40">
            <v>42460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</row>
        <row r="41">
          <cell r="B41">
            <v>43190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</row>
        <row r="42">
          <cell r="B42">
            <v>43555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</row>
        <row r="43">
          <cell r="B43">
            <v>43921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</row>
        <row r="44">
          <cell r="B44">
            <v>44104</v>
          </cell>
          <cell r="D44">
            <v>0</v>
          </cell>
          <cell r="E44">
            <v>0</v>
          </cell>
          <cell r="F44">
            <v>0</v>
          </cell>
          <cell r="H44">
            <v>0</v>
          </cell>
        </row>
        <row r="45">
          <cell r="B45">
            <v>44196</v>
          </cell>
          <cell r="D45">
            <v>10811.993010720002</v>
          </cell>
          <cell r="E45">
            <v>10805.656491629999</v>
          </cell>
          <cell r="F45">
            <v>10788.677706800001</v>
          </cell>
          <cell r="H45">
            <v>11308.705016399997</v>
          </cell>
        </row>
        <row r="46">
          <cell r="B46">
            <v>44255</v>
          </cell>
          <cell r="D46">
            <v>10641.40916963183</v>
          </cell>
          <cell r="E46">
            <v>10634.018363351301</v>
          </cell>
          <cell r="F46">
            <v>10596.949957536915</v>
          </cell>
          <cell r="H46">
            <v>11340.354915303496</v>
          </cell>
        </row>
        <row r="47">
          <cell r="B47">
            <v>44196</v>
          </cell>
          <cell r="D47">
            <v>10811.993010720002</v>
          </cell>
          <cell r="E47">
            <v>10805.656491629999</v>
          </cell>
          <cell r="F47">
            <v>10788.677706800001</v>
          </cell>
          <cell r="H47">
            <v>11308.705016399997</v>
          </cell>
        </row>
        <row r="48">
          <cell r="B48">
            <v>44286</v>
          </cell>
          <cell r="D48">
            <v>10565.855164527444</v>
          </cell>
          <cell r="E48">
            <v>10547.882814608156</v>
          </cell>
          <cell r="F48">
            <v>10516.413137859634</v>
          </cell>
          <cell r="H48">
            <v>11507.058132558457</v>
          </cell>
        </row>
        <row r="50">
          <cell r="B50" t="str">
            <v>Inception</v>
          </cell>
          <cell r="D50">
            <v>5.6585516452744379E-2</v>
          </cell>
          <cell r="H50">
            <v>0.15070581325584573</v>
          </cell>
        </row>
        <row r="51">
          <cell r="B51" t="str">
            <v>5YRS</v>
          </cell>
          <cell r="D51" t="e">
            <v>#DIV/0!</v>
          </cell>
          <cell r="H51" t="e">
            <v>#DIV/0!</v>
          </cell>
        </row>
        <row r="52">
          <cell r="B52" t="str">
            <v>3YRS</v>
          </cell>
          <cell r="D52" t="e">
            <v>#DIV/0!</v>
          </cell>
          <cell r="H52" t="e">
            <v>#DIV/0!</v>
          </cell>
        </row>
        <row r="54">
          <cell r="B54" t="str">
            <v>Inception</v>
          </cell>
          <cell r="D54">
            <v>9.0636972029670027E-2</v>
          </cell>
          <cell r="H54">
            <v>0.24766008298182474</v>
          </cell>
        </row>
        <row r="55">
          <cell r="B55" t="str">
            <v>5YRS</v>
          </cell>
          <cell r="D55" t="e">
            <v>#DIV/0!</v>
          </cell>
          <cell r="H55" t="e">
            <v>#DIV/0!</v>
          </cell>
        </row>
        <row r="56">
          <cell r="B56" t="str">
            <v>3YRS</v>
          </cell>
          <cell r="D56" t="e">
            <v>#DIV/0!</v>
          </cell>
          <cell r="H56" t="e">
            <v>#DIV/0!</v>
          </cell>
        </row>
      </sheetData>
      <sheetData sheetId="2">
        <row r="15">
          <cell r="G15" t="str">
            <v>3yr</v>
          </cell>
          <cell r="H15" t="str">
            <v>5yr</v>
          </cell>
          <cell r="I15" t="str">
            <v>Inception*</v>
          </cell>
        </row>
        <row r="35">
          <cell r="D35" t="str">
            <v>Since 10/1/2020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812C-CC04-4C23-9449-0357AB8DA747}">
  <dimension ref="A1:U46"/>
  <sheetViews>
    <sheetView tabSelected="1" zoomScale="145" zoomScaleNormal="145" workbookViewId="0">
      <selection activeCell="I15" sqref="I15"/>
    </sheetView>
  </sheetViews>
  <sheetFormatPr defaultColWidth="8.85546875" defaultRowHeight="15"/>
  <cols>
    <col min="1" max="1" width="3" style="8" customWidth="1"/>
    <col min="2" max="2" width="30.7109375" style="3" customWidth="1"/>
    <col min="3" max="3" width="15.7109375" style="4" bestFit="1" customWidth="1"/>
    <col min="4" max="4" width="12.140625" style="5" bestFit="1" customWidth="1"/>
    <col min="5" max="7" width="8.42578125" style="5" customWidth="1"/>
    <col min="8" max="8" width="8.85546875" style="5"/>
    <col min="9" max="10" width="8.85546875" style="3"/>
    <col min="11" max="11" width="10" style="3" bestFit="1" customWidth="1"/>
    <col min="12" max="15" width="8.85546875" style="6"/>
    <col min="16" max="19" width="8.85546875" style="7"/>
    <col min="20" max="20" width="8.85546875" style="4"/>
    <col min="21" max="21" width="8.85546875" style="7"/>
    <col min="22" max="16384" width="8.85546875" style="8"/>
  </cols>
  <sheetData>
    <row r="1" spans="1:15">
      <c r="A1" s="2"/>
    </row>
    <row r="2" spans="1:15">
      <c r="B2" s="9" t="s">
        <v>9</v>
      </c>
      <c r="C2" s="325">
        <v>44286</v>
      </c>
      <c r="D2" s="326"/>
      <c r="E2" s="10"/>
      <c r="F2" s="10"/>
      <c r="G2" s="10"/>
    </row>
    <row r="3" spans="1:15" ht="8.25" customHeight="1">
      <c r="B3" s="11"/>
      <c r="C3" s="12"/>
      <c r="D3" s="13"/>
      <c r="E3" s="10"/>
      <c r="F3" s="10"/>
      <c r="G3" s="10"/>
    </row>
    <row r="4" spans="1:15">
      <c r="C4" s="5"/>
      <c r="J4" s="14"/>
      <c r="L4" s="15"/>
      <c r="M4" s="15"/>
      <c r="N4" s="15"/>
      <c r="O4" s="15"/>
    </row>
    <row r="5" spans="1:15">
      <c r="B5" s="327" t="s">
        <v>10</v>
      </c>
      <c r="C5" s="328"/>
      <c r="D5" s="328"/>
      <c r="E5" s="328"/>
      <c r="F5" s="328"/>
      <c r="G5" s="329"/>
      <c r="L5" s="15"/>
      <c r="M5" s="15"/>
      <c r="N5" s="15"/>
      <c r="O5" s="15"/>
    </row>
    <row r="6" spans="1:15" ht="15.75" thickBot="1">
      <c r="B6" s="16"/>
      <c r="C6" s="17" t="s">
        <v>8</v>
      </c>
      <c r="D6" s="18" t="s">
        <v>0</v>
      </c>
      <c r="E6" s="18" t="str">
        <f>'[1]CLP -Fact Sheet'!G15</f>
        <v>3yr</v>
      </c>
      <c r="F6" s="18" t="str">
        <f>'[1]CLP -Fact Sheet'!H15</f>
        <v>5yr</v>
      </c>
      <c r="G6" s="19" t="str">
        <f>'[1]CLP -Fact Sheet'!I15</f>
        <v>Inception*</v>
      </c>
      <c r="L6" s="15"/>
      <c r="M6" s="15"/>
      <c r="N6" s="15"/>
      <c r="O6" s="15"/>
    </row>
    <row r="7" spans="1:15" ht="15.75" thickTop="1">
      <c r="B7" s="20" t="s">
        <v>11</v>
      </c>
      <c r="C7" s="21">
        <v>-5.8999999999999999E-3</v>
      </c>
      <c r="D7" s="21">
        <v>-8.0100000000000005E-2</v>
      </c>
      <c r="E7" s="21">
        <v>3.9399999999999998E-2</v>
      </c>
      <c r="F7" s="21">
        <v>4.4999999999999998E-2</v>
      </c>
      <c r="G7" s="22">
        <v>3.9899999999999998E-2</v>
      </c>
      <c r="H7" s="23" t="s">
        <v>12</v>
      </c>
      <c r="L7" s="15"/>
      <c r="M7" s="15"/>
      <c r="N7" s="15"/>
      <c r="O7" s="15"/>
    </row>
    <row r="8" spans="1:15" ht="15.75" thickBot="1">
      <c r="L8" s="15"/>
      <c r="M8" s="15"/>
      <c r="N8" s="15"/>
      <c r="O8" s="15"/>
    </row>
    <row r="9" spans="1:15" ht="15.75" thickBot="1">
      <c r="B9" s="330" t="s">
        <v>13</v>
      </c>
      <c r="C9" s="331"/>
    </row>
    <row r="10" spans="1:15">
      <c r="B10" s="24" t="s">
        <v>14</v>
      </c>
      <c r="C10" s="25" t="s">
        <v>15</v>
      </c>
    </row>
    <row r="11" spans="1:15">
      <c r="B11" s="26" t="s">
        <v>118</v>
      </c>
      <c r="C11" s="27">
        <v>0.222</v>
      </c>
    </row>
    <row r="12" spans="1:15">
      <c r="B12" s="28" t="s">
        <v>17</v>
      </c>
      <c r="C12" s="29">
        <v>0.17014290499877871</v>
      </c>
      <c r="I12" s="30"/>
      <c r="K12" s="30"/>
      <c r="L12" s="31"/>
    </row>
    <row r="13" spans="1:15">
      <c r="B13" s="32" t="s">
        <v>18</v>
      </c>
      <c r="C13" s="33">
        <v>6.7000000000000004E-2</v>
      </c>
      <c r="I13" s="30"/>
      <c r="K13" s="30"/>
      <c r="L13" s="31"/>
    </row>
    <row r="14" spans="1:15">
      <c r="B14" s="32" t="s">
        <v>19</v>
      </c>
      <c r="C14" s="29">
        <v>5.8000000000000003E-2</v>
      </c>
      <c r="I14" s="30"/>
      <c r="K14" s="30"/>
      <c r="L14" s="31"/>
    </row>
    <row r="15" spans="1:15">
      <c r="B15" s="32" t="s">
        <v>20</v>
      </c>
      <c r="C15" s="33">
        <v>5.0999999999999997E-2</v>
      </c>
      <c r="I15" s="30"/>
      <c r="K15" s="30"/>
      <c r="L15" s="31"/>
    </row>
    <row r="16" spans="1:15">
      <c r="B16" s="32" t="s">
        <v>21</v>
      </c>
      <c r="C16" s="33">
        <v>2.5999999999999999E-2</v>
      </c>
      <c r="I16" s="30"/>
      <c r="K16" s="30"/>
      <c r="L16" s="31"/>
    </row>
    <row r="17" spans="2:21">
      <c r="B17" s="32" t="s">
        <v>22</v>
      </c>
      <c r="C17" s="33">
        <v>2.3E-2</v>
      </c>
      <c r="I17" s="30"/>
      <c r="K17" s="30"/>
      <c r="L17" s="31"/>
    </row>
    <row r="18" spans="2:21">
      <c r="B18" s="32" t="s">
        <v>23</v>
      </c>
      <c r="C18" s="33">
        <v>2.1999999999999999E-2</v>
      </c>
      <c r="I18" s="30"/>
      <c r="K18" s="30"/>
      <c r="L18" s="31"/>
    </row>
    <row r="19" spans="2:21">
      <c r="B19" s="32" t="s">
        <v>23</v>
      </c>
      <c r="C19" s="29">
        <v>0.02</v>
      </c>
      <c r="I19" s="30"/>
      <c r="K19" s="30"/>
      <c r="L19" s="31"/>
    </row>
    <row r="20" spans="2:21" ht="15.75" thickBot="1">
      <c r="B20" s="34" t="s">
        <v>24</v>
      </c>
      <c r="C20" s="35">
        <v>1.6E-2</v>
      </c>
      <c r="I20" s="30"/>
      <c r="K20" s="30"/>
      <c r="L20" s="31"/>
    </row>
    <row r="21" spans="2:21" ht="15.75" thickBot="1"/>
    <row r="22" spans="2:21" ht="15.75" thickBot="1">
      <c r="B22" s="332" t="s">
        <v>25</v>
      </c>
      <c r="C22" s="333"/>
      <c r="D22" s="334"/>
      <c r="H22" s="3"/>
      <c r="K22" s="6"/>
      <c r="O22" s="7"/>
      <c r="S22" s="4"/>
      <c r="T22" s="7"/>
      <c r="U22" s="8"/>
    </row>
    <row r="23" spans="2:21" ht="15.75" thickBot="1">
      <c r="B23" s="36" t="s">
        <v>14</v>
      </c>
      <c r="C23" s="37" t="s">
        <v>26</v>
      </c>
      <c r="D23" s="38" t="s">
        <v>27</v>
      </c>
      <c r="H23" s="3"/>
      <c r="K23" s="6"/>
      <c r="O23" s="7"/>
      <c r="S23" s="4"/>
      <c r="T23" s="7"/>
      <c r="U23" s="8"/>
    </row>
    <row r="24" spans="2:21">
      <c r="B24" s="39" t="s">
        <v>28</v>
      </c>
      <c r="C24" s="40">
        <v>0.2930421859708297</v>
      </c>
      <c r="D24" s="41">
        <v>0.56000000000000005</v>
      </c>
      <c r="H24" s="3"/>
      <c r="K24" s="6"/>
      <c r="O24" s="7"/>
      <c r="S24" s="4"/>
      <c r="T24" s="7"/>
      <c r="U24" s="8"/>
    </row>
    <row r="25" spans="2:21">
      <c r="B25" s="42" t="s">
        <v>16</v>
      </c>
      <c r="C25" s="43">
        <v>0.22205767136594184</v>
      </c>
      <c r="D25" s="44">
        <v>0</v>
      </c>
      <c r="H25" s="3"/>
      <c r="K25" s="6"/>
      <c r="O25" s="7"/>
      <c r="S25" s="4"/>
      <c r="T25" s="7"/>
      <c r="U25" s="8"/>
    </row>
    <row r="26" spans="2:21">
      <c r="B26" s="42" t="s">
        <v>29</v>
      </c>
      <c r="C26" s="43">
        <v>0.17014290499877871</v>
      </c>
      <c r="D26" s="44">
        <v>0</v>
      </c>
      <c r="H26" s="3"/>
      <c r="K26" s="6"/>
      <c r="O26" s="7"/>
      <c r="S26" s="4"/>
      <c r="T26" s="7"/>
      <c r="U26" s="8"/>
    </row>
    <row r="27" spans="2:21">
      <c r="B27" s="42" t="s">
        <v>31</v>
      </c>
      <c r="C27" s="43">
        <v>0.11671932882623685</v>
      </c>
      <c r="D27" s="44">
        <v>1.2699999999999999E-2</v>
      </c>
      <c r="H27" s="3"/>
      <c r="K27" s="6"/>
      <c r="O27" s="7"/>
      <c r="S27" s="4"/>
      <c r="T27" s="7"/>
      <c r="U27" s="8"/>
    </row>
    <row r="28" spans="2:21">
      <c r="B28" s="42" t="s">
        <v>30</v>
      </c>
      <c r="C28" s="43">
        <v>0.11100685257143381</v>
      </c>
      <c r="D28" s="44">
        <v>0.2082</v>
      </c>
      <c r="H28" s="3"/>
      <c r="K28" s="6"/>
      <c r="O28" s="7"/>
      <c r="S28" s="4"/>
      <c r="T28" s="7"/>
      <c r="U28" s="8"/>
    </row>
    <row r="29" spans="2:21">
      <c r="B29" s="42" t="s">
        <v>32</v>
      </c>
      <c r="C29" s="43">
        <v>3.8921303912649328E-2</v>
      </c>
      <c r="D29" s="44">
        <v>6.2300000000000001E-2</v>
      </c>
      <c r="H29" s="3"/>
      <c r="K29" s="6"/>
      <c r="O29" s="7"/>
      <c r="S29" s="4"/>
      <c r="T29" s="7"/>
      <c r="U29" s="8"/>
    </row>
    <row r="30" spans="2:21">
      <c r="B30" s="42" t="s">
        <v>33</v>
      </c>
      <c r="C30" s="43">
        <v>3.1017313449082293E-2</v>
      </c>
      <c r="D30" s="44">
        <v>9.1600000000000001E-2</v>
      </c>
      <c r="H30" s="3"/>
      <c r="K30" s="6"/>
      <c r="O30" s="7"/>
      <c r="S30" s="4"/>
      <c r="T30" s="7"/>
      <c r="U30" s="8"/>
    </row>
    <row r="31" spans="2:21">
      <c r="B31" s="42" t="s">
        <v>34</v>
      </c>
      <c r="C31" s="43">
        <v>1.1126084138519161E-2</v>
      </c>
      <c r="D31" s="44">
        <v>5.2999999999999999E-2</v>
      </c>
      <c r="H31" s="3"/>
      <c r="K31" s="6"/>
      <c r="O31" s="7"/>
      <c r="S31" s="4"/>
      <c r="T31" s="7"/>
      <c r="U31" s="8"/>
    </row>
    <row r="32" spans="2:21">
      <c r="B32" s="42" t="s">
        <v>35</v>
      </c>
      <c r="C32" s="43">
        <v>5.9663547665282368E-3</v>
      </c>
      <c r="D32" s="44">
        <v>9.7999999999999997E-3</v>
      </c>
      <c r="H32" s="3"/>
      <c r="K32" s="6"/>
      <c r="O32" s="7"/>
      <c r="S32" s="4"/>
      <c r="T32" s="7"/>
      <c r="U32" s="8"/>
    </row>
    <row r="33" spans="2:21">
      <c r="B33" s="42" t="s">
        <v>36</v>
      </c>
      <c r="C33" s="43">
        <v>0</v>
      </c>
      <c r="D33" s="44">
        <v>0</v>
      </c>
      <c r="H33" s="3"/>
      <c r="K33" s="6"/>
      <c r="O33" s="7"/>
      <c r="S33" s="4"/>
      <c r="T33" s="7"/>
      <c r="U33" s="8"/>
    </row>
    <row r="34" spans="2:21" ht="15.75" thickBot="1">
      <c r="B34" s="45" t="s">
        <v>37</v>
      </c>
      <c r="C34" s="46">
        <v>0</v>
      </c>
      <c r="D34" s="47">
        <v>2.3999999999999998E-3</v>
      </c>
      <c r="H34" s="3"/>
      <c r="K34" s="6"/>
      <c r="O34" s="7"/>
      <c r="S34" s="4"/>
      <c r="T34" s="7"/>
      <c r="U34" s="8"/>
    </row>
    <row r="35" spans="2:21">
      <c r="B35" s="48" t="s">
        <v>38</v>
      </c>
      <c r="C35" s="49">
        <v>0</v>
      </c>
      <c r="D35" s="50">
        <v>0</v>
      </c>
      <c r="H35" s="3"/>
      <c r="K35" s="6"/>
      <c r="O35" s="7"/>
      <c r="S35" s="4"/>
      <c r="T35" s="7"/>
      <c r="U35" s="8"/>
    </row>
    <row r="36" spans="2:21">
      <c r="B36" s="51" t="s">
        <v>39</v>
      </c>
      <c r="C36" s="52">
        <v>0</v>
      </c>
      <c r="D36" s="53">
        <v>0</v>
      </c>
      <c r="H36" s="3"/>
      <c r="K36" s="6"/>
      <c r="O36" s="7"/>
      <c r="S36" s="4"/>
      <c r="T36" s="7"/>
      <c r="U36" s="8"/>
    </row>
    <row r="37" spans="2:21" ht="15.75" thickBot="1">
      <c r="B37" s="54" t="s">
        <v>40</v>
      </c>
      <c r="C37" s="55">
        <v>0</v>
      </c>
      <c r="D37" s="56">
        <v>0</v>
      </c>
      <c r="H37" s="3"/>
      <c r="K37" s="6"/>
      <c r="O37" s="7"/>
      <c r="S37" s="4"/>
      <c r="T37" s="7"/>
      <c r="U37" s="8"/>
    </row>
    <row r="38" spans="2:21">
      <c r="B38" s="57"/>
      <c r="C38" s="52"/>
      <c r="D38" s="58"/>
      <c r="H38" s="3"/>
      <c r="K38" s="6"/>
      <c r="O38" s="7"/>
      <c r="S38" s="4"/>
      <c r="T38" s="7"/>
      <c r="U38" s="8"/>
    </row>
    <row r="39" spans="2:21" ht="15.75" thickBot="1">
      <c r="C39" s="59">
        <f>SUM(C24:C36)</f>
        <v>1</v>
      </c>
      <c r="D39" s="59">
        <f>SUM(D24:D37)</f>
        <v>1.0000000000000002</v>
      </c>
    </row>
    <row r="40" spans="2:21" ht="15.75" thickBot="1">
      <c r="B40" s="335" t="s">
        <v>41</v>
      </c>
      <c r="C40" s="336"/>
      <c r="D40" s="337"/>
    </row>
    <row r="41" spans="2:21" ht="15.75" thickBot="1">
      <c r="B41" s="288" t="s">
        <v>42</v>
      </c>
      <c r="C41" s="289" t="s">
        <v>26</v>
      </c>
      <c r="D41" s="290" t="s">
        <v>27</v>
      </c>
    </row>
    <row r="42" spans="2:21">
      <c r="B42" s="291"/>
      <c r="C42" s="292"/>
      <c r="D42" s="293"/>
    </row>
    <row r="43" spans="2:21">
      <c r="B43" s="294" t="s">
        <v>43</v>
      </c>
      <c r="C43" s="295">
        <v>107</v>
      </c>
      <c r="D43" s="296">
        <v>102</v>
      </c>
    </row>
    <row r="44" spans="2:21">
      <c r="B44" s="294" t="s">
        <v>44</v>
      </c>
      <c r="C44" s="297">
        <v>0.6754</v>
      </c>
      <c r="D44" s="298">
        <v>0.51270000000000004</v>
      </c>
    </row>
    <row r="45" spans="2:21">
      <c r="B45" s="294" t="s">
        <v>45</v>
      </c>
      <c r="C45" s="299">
        <v>160845.53</v>
      </c>
      <c r="D45" s="299">
        <v>161721.79999999999</v>
      </c>
    </row>
    <row r="46" spans="2:21" ht="15.75" thickBot="1">
      <c r="B46" s="300" t="s">
        <v>46</v>
      </c>
      <c r="C46" s="301">
        <v>34.24</v>
      </c>
      <c r="D46" s="302">
        <v>39.28</v>
      </c>
      <c r="E46" s="23" t="s">
        <v>47</v>
      </c>
    </row>
  </sheetData>
  <mergeCells count="5">
    <mergeCell ref="C2:D2"/>
    <mergeCell ref="B5:G5"/>
    <mergeCell ref="B9:C9"/>
    <mergeCell ref="B22:D22"/>
    <mergeCell ref="B40:D40"/>
  </mergeCells>
  <conditionalFormatting sqref="B43:B46 B23:D38">
    <cfRule type="containsBlanks" dxfId="19" priority="7">
      <formula>LEN(TRIM(B23))=0</formula>
    </cfRule>
  </conditionalFormatting>
  <conditionalFormatting sqref="C7:G7">
    <cfRule type="containsBlanks" dxfId="18" priority="6">
      <formula>LEN(TRIM(C7))=0</formula>
    </cfRule>
  </conditionalFormatting>
  <conditionalFormatting sqref="B10:C20">
    <cfRule type="containsBlanks" dxfId="17" priority="5">
      <formula>LEN(TRIM(B10))=0</formula>
    </cfRule>
  </conditionalFormatting>
  <conditionalFormatting sqref="C41:D41 B41:B42">
    <cfRule type="containsBlanks" dxfId="16" priority="4">
      <formula>LEN(TRIM(B41))=0</formula>
    </cfRule>
  </conditionalFormatting>
  <conditionalFormatting sqref="C42:C44 C46">
    <cfRule type="containsBlanks" dxfId="15" priority="3">
      <formula>LEN(TRIM(C42))=0</formula>
    </cfRule>
  </conditionalFormatting>
  <conditionalFormatting sqref="D43:D46">
    <cfRule type="containsBlanks" dxfId="14" priority="2">
      <formula>LEN(TRIM(D43))=0</formula>
    </cfRule>
  </conditionalFormatting>
  <conditionalFormatting sqref="C45">
    <cfRule type="containsBlanks" dxfId="13" priority="1">
      <formula>LEN(TRIM(C45))=0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6B14-F0C0-409F-A874-4151E6A2C3C5}">
  <dimension ref="A1:AC233"/>
  <sheetViews>
    <sheetView workbookViewId="0">
      <selection sqref="A1:XFD1048576"/>
    </sheetView>
  </sheetViews>
  <sheetFormatPr defaultColWidth="8.85546875" defaultRowHeight="15"/>
  <cols>
    <col min="1" max="1" width="12.140625" bestFit="1" customWidth="1"/>
    <col min="2" max="2" width="27.85546875" style="61" bestFit="1" customWidth="1"/>
    <col min="3" max="3" width="12.140625" style="62" bestFit="1" customWidth="1"/>
    <col min="4" max="4" width="11" style="62" bestFit="1" customWidth="1"/>
    <col min="5" max="7" width="11" style="62" customWidth="1"/>
    <col min="8" max="8" width="11" style="62" bestFit="1" customWidth="1"/>
    <col min="9" max="9" width="4" style="63" customWidth="1"/>
    <col min="10" max="10" width="12.42578125" style="174" customWidth="1"/>
    <col min="11" max="14" width="11.5703125" style="175" customWidth="1"/>
    <col min="15" max="15" width="9.42578125" style="176" customWidth="1"/>
    <col min="16" max="16" width="0.7109375" style="170" customWidth="1"/>
    <col min="17" max="17" width="1.42578125" style="171" customWidth="1"/>
    <col min="18" max="20" width="6.7109375" style="172" customWidth="1"/>
    <col min="21" max="21" width="7.5703125" style="173" bestFit="1" customWidth="1"/>
    <col min="22" max="22" width="0.7109375" style="8" customWidth="1"/>
    <col min="23" max="23" width="15.28515625" bestFit="1" customWidth="1"/>
    <col min="27" max="27" width="9.28515625" bestFit="1" customWidth="1"/>
  </cols>
  <sheetData>
    <row r="1" spans="1:29">
      <c r="A1" s="60" t="s">
        <v>48</v>
      </c>
      <c r="J1" s="64"/>
      <c r="K1" s="344" t="s">
        <v>49</v>
      </c>
      <c r="L1" s="344"/>
      <c r="M1" s="344"/>
      <c r="N1" s="344"/>
      <c r="O1" s="345"/>
      <c r="P1" s="65"/>
      <c r="Q1" s="66"/>
      <c r="R1" s="346" t="s">
        <v>50</v>
      </c>
      <c r="S1" s="346"/>
      <c r="T1" s="346"/>
      <c r="U1" s="347"/>
      <c r="V1" s="65"/>
      <c r="X1" s="346" t="s">
        <v>51</v>
      </c>
      <c r="Y1" s="346"/>
      <c r="Z1" s="346"/>
      <c r="AA1" s="347"/>
    </row>
    <row r="2" spans="1:29">
      <c r="C2" s="67"/>
      <c r="D2" s="67" t="s">
        <v>52</v>
      </c>
      <c r="E2" s="68" t="s">
        <v>53</v>
      </c>
      <c r="F2" s="68" t="s">
        <v>54</v>
      </c>
      <c r="G2" s="68" t="s">
        <v>55</v>
      </c>
      <c r="H2" s="69" t="s">
        <v>56</v>
      </c>
      <c r="J2" s="70"/>
      <c r="K2" s="68" t="s">
        <v>52</v>
      </c>
      <c r="L2" s="68" t="s">
        <v>53</v>
      </c>
      <c r="M2" s="68" t="s">
        <v>54</v>
      </c>
      <c r="N2" s="68" t="s">
        <v>55</v>
      </c>
      <c r="O2" s="71" t="s">
        <v>56</v>
      </c>
      <c r="P2" s="72"/>
      <c r="Q2" s="73"/>
      <c r="R2" s="74" t="str">
        <f>D2</f>
        <v>CLPFX</v>
      </c>
      <c r="S2" s="68" t="str">
        <f>E2</f>
        <v>CLPAX</v>
      </c>
      <c r="T2" s="68" t="str">
        <f>F2</f>
        <v>CLPCX</v>
      </c>
      <c r="U2" s="75" t="s">
        <v>56</v>
      </c>
      <c r="X2" s="74" t="str">
        <f>D2</f>
        <v>CLPFX</v>
      </c>
      <c r="Y2" s="68" t="str">
        <f>E2</f>
        <v>CLPAX</v>
      </c>
      <c r="Z2" s="68" t="str">
        <f>F2</f>
        <v>CLPCX</v>
      </c>
      <c r="AA2" s="75" t="s">
        <v>56</v>
      </c>
    </row>
    <row r="3" spans="1:29">
      <c r="B3" s="76" t="s">
        <v>57</v>
      </c>
      <c r="C3" s="348" t="s">
        <v>7</v>
      </c>
      <c r="D3" s="349"/>
      <c r="E3" s="349"/>
      <c r="F3" s="349" t="s">
        <v>58</v>
      </c>
      <c r="G3" s="349"/>
      <c r="H3" s="350"/>
      <c r="J3" s="77">
        <v>44105</v>
      </c>
      <c r="K3" s="78">
        <v>10000</v>
      </c>
      <c r="L3" s="78">
        <v>10000</v>
      </c>
      <c r="M3" s="78">
        <v>10000</v>
      </c>
      <c r="N3" s="78">
        <f>M3*(1-0.0475)</f>
        <v>9525</v>
      </c>
      <c r="O3" s="79">
        <f>K3</f>
        <v>10000</v>
      </c>
      <c r="P3" s="80"/>
      <c r="Q3" s="81"/>
      <c r="R3" s="82"/>
      <c r="S3" s="82"/>
      <c r="T3" s="82"/>
      <c r="U3" s="83"/>
      <c r="V3"/>
      <c r="X3" s="84"/>
      <c r="Y3" s="84"/>
      <c r="Z3" s="84"/>
      <c r="AA3" s="84"/>
    </row>
    <row r="4" spans="1:29" s="89" customFormat="1">
      <c r="A4"/>
      <c r="B4" s="76" t="s">
        <v>59</v>
      </c>
      <c r="C4" s="351">
        <v>44105</v>
      </c>
      <c r="D4" s="352" t="s">
        <v>60</v>
      </c>
      <c r="E4" s="352"/>
      <c r="F4" s="352"/>
      <c r="G4" s="352"/>
      <c r="H4" s="352" t="s">
        <v>60</v>
      </c>
      <c r="I4" s="63"/>
      <c r="J4" s="85">
        <v>44135</v>
      </c>
      <c r="K4" s="86">
        <f>K3*(1+R4)</f>
        <v>9868</v>
      </c>
      <c r="L4" s="86">
        <f t="shared" ref="L4:M9" si="0">L3*(1+S4)</f>
        <v>9867</v>
      </c>
      <c r="M4" s="86">
        <f t="shared" si="0"/>
        <v>9860</v>
      </c>
      <c r="N4" s="86">
        <f>N3*(1+S4)</f>
        <v>9398.317500000001</v>
      </c>
      <c r="O4" s="86">
        <f>O3*(1+U4)</f>
        <v>9684</v>
      </c>
      <c r="P4" s="80"/>
      <c r="Q4" s="81"/>
      <c r="R4" s="87">
        <v>-1.32E-2</v>
      </c>
      <c r="S4" s="87">
        <v>-1.3299999999999999E-2</v>
      </c>
      <c r="T4" s="87">
        <v>-1.4E-2</v>
      </c>
      <c r="U4" s="88">
        <v>-3.1600000000000003E-2</v>
      </c>
      <c r="V4"/>
      <c r="W4" s="2" t="s">
        <v>61</v>
      </c>
      <c r="X4" s="84">
        <f>K5/MAX(K$3:K5)-1</f>
        <v>0</v>
      </c>
      <c r="Y4" s="84">
        <f>L5/MAX(L$3:L5)-1</f>
        <v>0</v>
      </c>
      <c r="Z4" s="84">
        <f>M5/MAX(M$3:M5)-1</f>
        <v>0</v>
      </c>
      <c r="AA4" s="84">
        <f>O5/MAX(O$3:O5)-1</f>
        <v>0</v>
      </c>
      <c r="AB4"/>
      <c r="AC4"/>
    </row>
    <row r="5" spans="1:29">
      <c r="B5" s="76" t="s">
        <v>62</v>
      </c>
      <c r="C5" s="342">
        <v>44286</v>
      </c>
      <c r="D5" s="343"/>
      <c r="E5" s="343"/>
      <c r="F5" s="343"/>
      <c r="G5" s="343"/>
      <c r="H5" s="343"/>
      <c r="J5" s="90">
        <f>EOMONTH(J3,1)</f>
        <v>44165</v>
      </c>
      <c r="K5" s="91">
        <f>K4*(1+R5)</f>
        <v>10377.188800000002</v>
      </c>
      <c r="L5" s="91">
        <f t="shared" si="0"/>
        <v>10381.0707</v>
      </c>
      <c r="M5" s="91">
        <f t="shared" si="0"/>
        <v>10371.734</v>
      </c>
      <c r="N5" s="91">
        <f>N4*(1+S5)</f>
        <v>9887.9698417500022</v>
      </c>
      <c r="O5" s="91">
        <f>O4*(1+U5)</f>
        <v>10758.923999999999</v>
      </c>
      <c r="P5" s="80"/>
      <c r="Q5" s="81"/>
      <c r="R5" s="87">
        <v>5.16E-2</v>
      </c>
      <c r="S5" s="87">
        <v>5.21E-2</v>
      </c>
      <c r="T5" s="87">
        <v>5.1900000000000002E-2</v>
      </c>
      <c r="U5" s="88">
        <v>0.111</v>
      </c>
      <c r="V5"/>
      <c r="X5" s="84">
        <f>K9/MAX(K$3:K9)-1</f>
        <v>-3.9667120000000056E-2</v>
      </c>
      <c r="Y5" s="84">
        <f>L9/MAX(L$3:L9)-1</f>
        <v>-4.0832699999999833E-2</v>
      </c>
      <c r="Z5" s="84">
        <f>M9/MAX(M$3:M9)-1</f>
        <v>-4.13416000000002E-2</v>
      </c>
      <c r="AA5" s="84">
        <f>O9/MAX(O$3:O9)-1</f>
        <v>0</v>
      </c>
    </row>
    <row r="6" spans="1:29">
      <c r="A6" s="338" t="s">
        <v>63</v>
      </c>
      <c r="B6" s="92" t="s">
        <v>64</v>
      </c>
      <c r="C6" s="339">
        <v>0</v>
      </c>
      <c r="D6" s="339"/>
      <c r="E6" s="339"/>
      <c r="F6" s="339"/>
      <c r="G6" s="339"/>
      <c r="H6" s="339"/>
      <c r="J6" s="90">
        <f>EOMONTH(J5,1)</f>
        <v>44196</v>
      </c>
      <c r="K6" s="91">
        <f t="shared" ref="K6:K9" si="1">K5*(1+R6)</f>
        <v>10811.993010720002</v>
      </c>
      <c r="L6" s="91">
        <f t="shared" si="0"/>
        <v>10805.656491629999</v>
      </c>
      <c r="M6" s="91">
        <f t="shared" si="0"/>
        <v>10788.677706800001</v>
      </c>
      <c r="N6" s="91">
        <f t="shared" ref="N6:N9" si="2">N5*(1+S6)</f>
        <v>10292.387808277577</v>
      </c>
      <c r="O6" s="91">
        <f t="shared" ref="O6:O9" si="3">O5*(1+U6)</f>
        <v>11308.705016399997</v>
      </c>
      <c r="P6" s="80"/>
      <c r="Q6" s="81"/>
      <c r="R6" s="87">
        <v>4.19E-2</v>
      </c>
      <c r="S6" s="87">
        <v>4.0899999999999999E-2</v>
      </c>
      <c r="T6" s="87">
        <v>4.02E-2</v>
      </c>
      <c r="U6" s="88">
        <v>5.11E-2</v>
      </c>
      <c r="V6"/>
      <c r="X6" s="84"/>
      <c r="Y6" s="84"/>
      <c r="Z6" s="84"/>
      <c r="AA6" s="84"/>
    </row>
    <row r="7" spans="1:29" s="89" customFormat="1">
      <c r="A7" s="338"/>
      <c r="B7" s="76" t="s">
        <v>65</v>
      </c>
      <c r="C7" s="340">
        <v>1.7699999999999999E-4</v>
      </c>
      <c r="D7" s="340"/>
      <c r="E7" s="340"/>
      <c r="F7" s="340"/>
      <c r="G7" s="340"/>
      <c r="H7" s="340"/>
      <c r="I7" s="63"/>
      <c r="J7" s="90">
        <f>EOMONTH(J6,1)</f>
        <v>44227</v>
      </c>
      <c r="K7" s="91">
        <f t="shared" si="1"/>
        <v>11002.284087708675</v>
      </c>
      <c r="L7" s="91">
        <f t="shared" si="0"/>
        <v>10996.916611531851</v>
      </c>
      <c r="M7" s="91">
        <f t="shared" si="0"/>
        <v>10969.927492274241</v>
      </c>
      <c r="N7" s="91">
        <f t="shared" si="2"/>
        <v>10474.56307248409</v>
      </c>
      <c r="O7" s="91">
        <f t="shared" si="3"/>
        <v>11344.892872452478</v>
      </c>
      <c r="P7" s="80"/>
      <c r="Q7" s="81"/>
      <c r="R7" s="87">
        <v>1.7600000000000001E-2</v>
      </c>
      <c r="S7" s="87">
        <v>1.77E-2</v>
      </c>
      <c r="T7" s="87">
        <v>1.6799999999999999E-2</v>
      </c>
      <c r="U7" s="88">
        <v>3.2000000000000002E-3</v>
      </c>
      <c r="V7"/>
      <c r="W7"/>
      <c r="X7" s="84"/>
      <c r="Y7" s="84"/>
      <c r="Z7" s="84"/>
      <c r="AA7" s="84"/>
      <c r="AB7"/>
      <c r="AC7"/>
    </row>
    <row r="8" spans="1:29">
      <c r="A8" s="94"/>
      <c r="B8" s="95" t="s">
        <v>66</v>
      </c>
      <c r="C8" s="96">
        <f>COUNTA(J3:J38)+19/31</f>
        <v>7.612903225806452</v>
      </c>
      <c r="D8" s="94">
        <f>C8</f>
        <v>7.612903225806452</v>
      </c>
      <c r="E8" s="94">
        <f t="shared" ref="E8:G8" si="4">D8</f>
        <v>7.612903225806452</v>
      </c>
      <c r="F8" s="94">
        <f t="shared" si="4"/>
        <v>7.612903225806452</v>
      </c>
      <c r="G8" s="94">
        <f t="shared" si="4"/>
        <v>7.612903225806452</v>
      </c>
      <c r="H8" s="94">
        <f>D8</f>
        <v>7.612903225806452</v>
      </c>
      <c r="J8" s="90">
        <f t="shared" ref="J8:J9" si="5">EOMONTH(J7,1)</f>
        <v>44255</v>
      </c>
      <c r="K8" s="91">
        <f t="shared" si="1"/>
        <v>10641.40916963183</v>
      </c>
      <c r="L8" s="91">
        <f t="shared" si="0"/>
        <v>10634.018363351301</v>
      </c>
      <c r="M8" s="91">
        <f t="shared" si="0"/>
        <v>10596.949957536915</v>
      </c>
      <c r="N8" s="91">
        <f t="shared" si="2"/>
        <v>10128.902491092114</v>
      </c>
      <c r="O8" s="91">
        <f t="shared" si="3"/>
        <v>11340.354915303496</v>
      </c>
      <c r="P8" s="80"/>
      <c r="Q8" s="81"/>
      <c r="R8" s="87">
        <v>-3.2800000000000003E-2</v>
      </c>
      <c r="S8" s="87">
        <v>-3.3000000000000002E-2</v>
      </c>
      <c r="T8" s="87">
        <v>-3.4000000000000002E-2</v>
      </c>
      <c r="U8" s="88">
        <v>-4.0000000000000002E-4</v>
      </c>
      <c r="V8"/>
      <c r="X8" s="84"/>
      <c r="Y8" s="84"/>
      <c r="Z8" s="84"/>
      <c r="AA8" s="84"/>
    </row>
    <row r="9" spans="1:29">
      <c r="A9" s="94" t="s">
        <v>48</v>
      </c>
      <c r="B9" s="95" t="s">
        <v>67</v>
      </c>
      <c r="C9" s="99"/>
      <c r="D9" s="99"/>
      <c r="E9" s="99"/>
      <c r="F9" s="99"/>
      <c r="G9" s="99"/>
      <c r="H9" s="99"/>
      <c r="J9" s="90">
        <f t="shared" si="5"/>
        <v>44286</v>
      </c>
      <c r="K9" s="91">
        <f t="shared" si="1"/>
        <v>10565.855164527444</v>
      </c>
      <c r="L9" s="91">
        <f t="shared" si="0"/>
        <v>10547.882814608156</v>
      </c>
      <c r="M9" s="91">
        <f t="shared" si="0"/>
        <v>10516.413137859634</v>
      </c>
      <c r="N9" s="91">
        <f t="shared" si="2"/>
        <v>10046.858380914267</v>
      </c>
      <c r="O9" s="91">
        <f t="shared" si="3"/>
        <v>11507.058132558457</v>
      </c>
      <c r="P9" s="80"/>
      <c r="Q9" s="81"/>
      <c r="R9" s="87">
        <v>-7.1000000000000004E-3</v>
      </c>
      <c r="S9" s="87">
        <v>-8.0999999999999996E-3</v>
      </c>
      <c r="T9" s="87">
        <v>-7.6E-3</v>
      </c>
      <c r="U9" s="88">
        <v>1.47E-2</v>
      </c>
      <c r="V9"/>
      <c r="X9" s="84">
        <f>K10/MAX(K$3:K10)-1</f>
        <v>-1</v>
      </c>
      <c r="Y9" s="84">
        <f>L10/MAX(L$3:L10)-1</f>
        <v>-1</v>
      </c>
      <c r="Z9" s="84">
        <f>M10/MAX(M$3:M10)-1</f>
        <v>-1</v>
      </c>
      <c r="AA9" s="84">
        <f>O10/MAX(O$3:O10)-1</f>
        <v>-1</v>
      </c>
    </row>
    <row r="10" spans="1:29" s="89" customFormat="1">
      <c r="A10" s="94"/>
      <c r="B10" s="95" t="s">
        <v>68</v>
      </c>
      <c r="C10" s="100"/>
      <c r="D10" s="101">
        <f>(D11/10000)^(12/D8)-1</f>
        <v>9.0636972029670027E-2</v>
      </c>
      <c r="E10" s="101">
        <f t="shared" ref="E10:F10" si="6">(E11/10000)^(12/E8)-1</f>
        <v>8.7714176676483291E-2</v>
      </c>
      <c r="F10" s="101">
        <f t="shared" si="6"/>
        <v>8.260325706356153E-2</v>
      </c>
      <c r="G10" s="101">
        <f>(G11/10000)^(12/G8)-1</f>
        <v>7.3961174409442609E-3</v>
      </c>
      <c r="H10" s="101">
        <f>(H11/10000)^(12/H8)-1</f>
        <v>0.24766008298182474</v>
      </c>
      <c r="I10" s="63"/>
      <c r="J10" s="90"/>
      <c r="K10" s="91"/>
      <c r="L10" s="91"/>
      <c r="M10" s="91"/>
      <c r="N10" s="91"/>
      <c r="O10" s="93"/>
      <c r="P10" s="80"/>
      <c r="Q10" s="81"/>
      <c r="R10" s="87"/>
      <c r="S10" s="87"/>
      <c r="T10" s="87"/>
      <c r="U10" s="88"/>
      <c r="V10"/>
      <c r="W10"/>
      <c r="X10" s="84">
        <f>K11/MAX(K$3:K11)-1</f>
        <v>-1</v>
      </c>
      <c r="Y10" s="84">
        <f>L11/MAX(L$3:L11)-1</f>
        <v>-1</v>
      </c>
      <c r="Z10" s="84">
        <f>M11/MAX(M$3:M11)-1</f>
        <v>-1</v>
      </c>
      <c r="AA10" s="84">
        <f>O11/MAX(O$3:O11)-1</f>
        <v>-1</v>
      </c>
      <c r="AB10"/>
      <c r="AC10"/>
    </row>
    <row r="11" spans="1:29">
      <c r="A11" s="94"/>
      <c r="B11" s="95" t="s">
        <v>69</v>
      </c>
      <c r="C11" s="100"/>
      <c r="D11" s="102">
        <f>VLOOKUP($C$5,J:O,2,0)</f>
        <v>10565.855164527444</v>
      </c>
      <c r="E11" s="102">
        <f>VLOOKUP($C$5,J:O,3,0)</f>
        <v>10547.882814608156</v>
      </c>
      <c r="F11" s="102">
        <f>VLOOKUP($C$5,J:O,4,0)</f>
        <v>10516.413137859634</v>
      </c>
      <c r="G11" s="102">
        <f>VLOOKUP($C$5,J:O,5,0)</f>
        <v>10046.858380914267</v>
      </c>
      <c r="H11" s="102">
        <f>VLOOKUP($C$5,J:P,6,0)</f>
        <v>11507.058132558457</v>
      </c>
      <c r="J11" s="90"/>
      <c r="K11" s="91"/>
      <c r="L11" s="91"/>
      <c r="M11" s="91"/>
      <c r="N11" s="91"/>
      <c r="O11" s="93"/>
      <c r="P11" s="80"/>
      <c r="Q11" s="81"/>
      <c r="R11" s="97"/>
      <c r="S11" s="97"/>
      <c r="T11" s="97"/>
      <c r="U11" s="98"/>
      <c r="V11"/>
      <c r="X11" s="84">
        <f>K12/MAX(K$3:K12)-1</f>
        <v>-1</v>
      </c>
      <c r="Y11" s="84">
        <f>L12/MAX(L$3:L12)-1</f>
        <v>-1</v>
      </c>
      <c r="Z11" s="84">
        <f>M12/MAX(M$3:M12)-1</f>
        <v>-1</v>
      </c>
      <c r="AA11" s="84">
        <f>O12/MAX(O$3:O12)-1</f>
        <v>-1</v>
      </c>
    </row>
    <row r="12" spans="1:29">
      <c r="A12" s="94" t="s">
        <v>48</v>
      </c>
      <c r="B12" s="95" t="s">
        <v>70</v>
      </c>
      <c r="C12" s="100"/>
      <c r="D12" s="101">
        <f>D11/10000-1</f>
        <v>5.6585516452744455E-2</v>
      </c>
      <c r="E12" s="101">
        <f t="shared" ref="E12:G12" si="7">E11/10000-1</f>
        <v>5.4788281460815602E-2</v>
      </c>
      <c r="F12" s="101">
        <f t="shared" si="7"/>
        <v>5.1641313785963483E-2</v>
      </c>
      <c r="G12" s="101">
        <f t="shared" si="7"/>
        <v>4.6858380914267528E-3</v>
      </c>
      <c r="H12" s="101">
        <f>H11/10000-1</f>
        <v>0.15070581325584564</v>
      </c>
      <c r="J12" s="90"/>
      <c r="K12" s="91"/>
      <c r="L12" s="91"/>
      <c r="M12" s="91"/>
      <c r="N12" s="91"/>
      <c r="O12" s="93"/>
      <c r="P12" s="80"/>
      <c r="Q12" s="81"/>
      <c r="R12" s="87"/>
      <c r="S12" s="87"/>
      <c r="T12" s="87"/>
      <c r="U12" s="88"/>
      <c r="V12"/>
      <c r="X12" s="84">
        <f>K13/MAX(K$3:K13)-1</f>
        <v>-1</v>
      </c>
      <c r="Y12" s="84">
        <f>L13/MAX(L$3:L13)-1</f>
        <v>-1</v>
      </c>
      <c r="Z12" s="84">
        <f>M13/MAX(M$3:M13)-1</f>
        <v>-1</v>
      </c>
      <c r="AA12" s="84">
        <f>O13/MAX(O$3:O13)-1</f>
        <v>-1</v>
      </c>
    </row>
    <row r="13" spans="1:29">
      <c r="A13" s="94" t="s">
        <v>48</v>
      </c>
      <c r="B13" s="95" t="s">
        <v>71</v>
      </c>
      <c r="C13" s="99"/>
      <c r="D13" s="99">
        <f>STDEV(R4:R37)*SQRT(12)</f>
        <v>0.11455395235433825</v>
      </c>
      <c r="E13" s="99">
        <f>STDEV(S4:S37)*SQRT(12)</f>
        <v>0.11493018750528512</v>
      </c>
      <c r="F13" s="99">
        <f>STDEV(T4:T37)*SQRT(12)</f>
        <v>0.11518508584013816</v>
      </c>
      <c r="G13" s="99"/>
      <c r="H13" s="99">
        <f>STDEV(U4:U37)*SQRT(12)</f>
        <v>0.17325075468811094</v>
      </c>
      <c r="J13" s="90"/>
      <c r="K13" s="91"/>
      <c r="L13" s="91"/>
      <c r="M13" s="91"/>
      <c r="N13" s="91"/>
      <c r="O13" s="93"/>
      <c r="P13" s="80"/>
      <c r="Q13" s="81"/>
      <c r="R13" s="87"/>
      <c r="S13" s="87"/>
      <c r="T13" s="87"/>
      <c r="U13" s="88"/>
      <c r="V13"/>
      <c r="X13" s="84">
        <f>K14/MAX(K$3:K14)-1</f>
        <v>-1</v>
      </c>
      <c r="Y13" s="84">
        <f>L14/MAX(L$3:L14)-1</f>
        <v>-1</v>
      </c>
      <c r="Z13" s="84">
        <f>M14/MAX(M$3:M14)-1</f>
        <v>-1</v>
      </c>
      <c r="AA13" s="84">
        <f>O14/MAX(O$3:O14)-1</f>
        <v>-1</v>
      </c>
    </row>
    <row r="14" spans="1:29" s="89" customFormat="1">
      <c r="A14" s="94" t="s">
        <v>48</v>
      </c>
      <c r="B14" s="95" t="s">
        <v>72</v>
      </c>
      <c r="C14" s="99"/>
      <c r="D14" s="99"/>
      <c r="E14" s="99"/>
      <c r="F14" s="99"/>
      <c r="G14" s="99"/>
      <c r="H14" s="99"/>
      <c r="I14" s="63"/>
      <c r="J14" s="90"/>
      <c r="K14" s="91"/>
      <c r="L14" s="91"/>
      <c r="M14" s="91"/>
      <c r="N14" s="91"/>
      <c r="O14" s="93"/>
      <c r="P14" s="80"/>
      <c r="Q14" s="81"/>
      <c r="R14" s="87"/>
      <c r="S14" s="87"/>
      <c r="T14" s="87"/>
      <c r="U14" s="88"/>
      <c r="V14"/>
      <c r="W14"/>
      <c r="X14" s="84"/>
      <c r="Y14" s="84"/>
      <c r="Z14" s="84"/>
      <c r="AA14" s="84"/>
      <c r="AB14"/>
      <c r="AC14"/>
    </row>
    <row r="15" spans="1:29">
      <c r="A15" s="94" t="s">
        <v>48</v>
      </c>
      <c r="B15" s="95" t="s">
        <v>73</v>
      </c>
      <c r="C15" s="100"/>
      <c r="D15" s="100"/>
      <c r="E15" s="100"/>
      <c r="F15" s="100"/>
      <c r="G15" s="100"/>
      <c r="H15" s="100"/>
      <c r="J15" s="90"/>
      <c r="K15" s="91"/>
      <c r="L15" s="91"/>
      <c r="M15" s="91"/>
      <c r="N15" s="91"/>
      <c r="O15" s="93"/>
      <c r="P15" s="80"/>
      <c r="Q15" s="81"/>
      <c r="R15" s="87"/>
      <c r="S15" s="87"/>
      <c r="T15" s="87"/>
      <c r="U15" s="88"/>
      <c r="V15"/>
      <c r="X15" s="84"/>
      <c r="Y15" s="84"/>
      <c r="Z15" s="84"/>
      <c r="AA15" s="84"/>
    </row>
    <row r="16" spans="1:29">
      <c r="A16" s="94"/>
      <c r="B16" s="95" t="s">
        <v>74</v>
      </c>
      <c r="C16" s="100"/>
      <c r="D16" s="100"/>
      <c r="E16" s="100"/>
      <c r="F16" s="100"/>
      <c r="G16" s="100"/>
      <c r="H16" s="100"/>
      <c r="J16" s="90"/>
      <c r="K16" s="91"/>
      <c r="L16" s="91"/>
      <c r="M16" s="91"/>
      <c r="N16" s="91"/>
      <c r="O16" s="93"/>
      <c r="P16" s="80"/>
      <c r="Q16" s="81"/>
      <c r="R16" s="87"/>
      <c r="S16" s="87"/>
      <c r="T16" s="87"/>
      <c r="U16" s="88"/>
      <c r="V16"/>
      <c r="X16" s="84"/>
      <c r="Y16" s="84"/>
      <c r="Z16" s="84"/>
      <c r="AA16" s="84"/>
    </row>
    <row r="17" spans="1:29" s="103" customFormat="1" ht="15.75" thickBot="1">
      <c r="A17" s="94" t="s">
        <v>48</v>
      </c>
      <c r="B17" s="95" t="s">
        <v>1</v>
      </c>
      <c r="C17" s="100"/>
      <c r="D17" s="100" t="e">
        <f>D48/D43-1</f>
        <v>#DIV/0!</v>
      </c>
      <c r="E17" s="100" t="e">
        <f>E48/E43-1</f>
        <v>#DIV/0!</v>
      </c>
      <c r="F17" s="100" t="e">
        <f>F48/F43-1</f>
        <v>#DIV/0!</v>
      </c>
      <c r="G17" s="100"/>
      <c r="H17" s="100" t="e">
        <f>H48/H43-1</f>
        <v>#DIV/0!</v>
      </c>
      <c r="I17" s="63"/>
      <c r="J17" s="90"/>
      <c r="K17" s="91"/>
      <c r="L17" s="91"/>
      <c r="M17" s="91"/>
      <c r="N17" s="91"/>
      <c r="O17" s="93"/>
      <c r="P17" s="80"/>
      <c r="Q17" s="81"/>
      <c r="R17" s="87"/>
      <c r="S17" s="87"/>
      <c r="T17" s="87"/>
      <c r="U17" s="88"/>
      <c r="V17"/>
      <c r="W17"/>
      <c r="X17" s="84"/>
      <c r="Y17" s="84"/>
      <c r="Z17" s="84"/>
      <c r="AA17" s="84"/>
      <c r="AB17"/>
      <c r="AC17"/>
    </row>
    <row r="18" spans="1:29">
      <c r="A18" s="94" t="s">
        <v>48</v>
      </c>
      <c r="B18" s="95" t="s">
        <v>8</v>
      </c>
      <c r="C18" s="100"/>
      <c r="D18" s="100">
        <f>D12</f>
        <v>5.6585516452744455E-2</v>
      </c>
      <c r="E18" s="100">
        <f t="shared" ref="E18:H18" si="8">E12</f>
        <v>5.4788281460815602E-2</v>
      </c>
      <c r="F18" s="100">
        <f t="shared" si="8"/>
        <v>5.1641313785963483E-2</v>
      </c>
      <c r="G18" s="100">
        <f t="shared" si="8"/>
        <v>4.6858380914267528E-3</v>
      </c>
      <c r="H18" s="100">
        <f t="shared" si="8"/>
        <v>0.15070581325584564</v>
      </c>
      <c r="J18" s="90"/>
      <c r="K18" s="91"/>
      <c r="L18" s="91"/>
      <c r="M18" s="91"/>
      <c r="N18" s="91"/>
      <c r="O18" s="93"/>
      <c r="P18" s="80"/>
      <c r="Q18" s="81"/>
      <c r="R18" s="87"/>
      <c r="S18" s="87"/>
      <c r="T18" s="87"/>
      <c r="U18" s="88"/>
      <c r="V18"/>
      <c r="X18" s="84"/>
      <c r="Y18" s="84"/>
      <c r="Z18" s="84"/>
      <c r="AA18" s="84"/>
    </row>
    <row r="19" spans="1:29">
      <c r="A19" s="94" t="s">
        <v>48</v>
      </c>
      <c r="B19" s="95" t="s">
        <v>0</v>
      </c>
      <c r="C19" s="100"/>
      <c r="D19" s="100">
        <f>D48/D47-1</f>
        <v>-2.2765261311999963E-2</v>
      </c>
      <c r="E19" s="100">
        <f t="shared" ref="E19:F19" si="9">E48/E47-1</f>
        <v>-2.385543878999985E-2</v>
      </c>
      <c r="F19" s="100">
        <f t="shared" si="9"/>
        <v>-2.5236138880000203E-2</v>
      </c>
      <c r="G19" s="100"/>
      <c r="H19" s="100">
        <f>H48/H47-1</f>
        <v>1.7539861183999861E-2</v>
      </c>
      <c r="J19" s="90"/>
      <c r="K19" s="91"/>
      <c r="L19" s="91"/>
      <c r="M19" s="91"/>
      <c r="N19" s="91"/>
      <c r="O19" s="93"/>
      <c r="P19" s="80"/>
      <c r="Q19" s="81"/>
      <c r="R19" s="87"/>
      <c r="S19" s="87"/>
      <c r="T19" s="87"/>
      <c r="U19" s="88"/>
      <c r="V19"/>
      <c r="X19" s="84"/>
      <c r="Y19" s="84"/>
      <c r="Z19" s="84"/>
      <c r="AA19" s="84"/>
    </row>
    <row r="20" spans="1:29" s="89" customFormat="1">
      <c r="A20" s="94" t="s">
        <v>48</v>
      </c>
      <c r="B20" s="95" t="s">
        <v>75</v>
      </c>
      <c r="C20" s="104"/>
      <c r="D20" s="105">
        <f>(D10-C7)/D13</f>
        <v>0.78967133102364961</v>
      </c>
      <c r="E20" s="105" t="s">
        <v>76</v>
      </c>
      <c r="F20" s="105" t="s">
        <v>76</v>
      </c>
      <c r="G20" s="105"/>
      <c r="H20" s="105">
        <f>(H10-D7)/H13</f>
        <v>1.4294892015198826</v>
      </c>
      <c r="I20" s="63"/>
      <c r="J20" s="90"/>
      <c r="K20" s="91"/>
      <c r="L20" s="91"/>
      <c r="M20" s="91"/>
      <c r="N20" s="91"/>
      <c r="O20" s="93"/>
      <c r="P20" s="80"/>
      <c r="Q20" s="81"/>
      <c r="R20" s="87"/>
      <c r="S20" s="87"/>
      <c r="T20" s="87"/>
      <c r="U20" s="88"/>
      <c r="V20"/>
      <c r="W20"/>
      <c r="X20" s="84"/>
      <c r="Y20" s="84"/>
      <c r="Z20" s="84"/>
      <c r="AA20" s="84"/>
      <c r="AB20"/>
      <c r="AC20"/>
    </row>
    <row r="21" spans="1:29">
      <c r="A21" s="94" t="s">
        <v>48</v>
      </c>
      <c r="B21" s="95" t="s">
        <v>77</v>
      </c>
      <c r="C21" s="104"/>
      <c r="D21" s="107">
        <f>COVAR(R4:R37,U4:U37)/VAR(U4:U37)</f>
        <v>0.45444118631114933</v>
      </c>
      <c r="E21" s="105" t="s">
        <v>76</v>
      </c>
      <c r="F21" s="105" t="s">
        <v>76</v>
      </c>
      <c r="G21" s="105"/>
      <c r="H21" s="108">
        <v>1</v>
      </c>
      <c r="J21" s="90"/>
      <c r="K21" s="91"/>
      <c r="L21" s="91"/>
      <c r="M21" s="91"/>
      <c r="N21" s="91"/>
      <c r="O21" s="93"/>
      <c r="P21" s="80"/>
      <c r="Q21" s="81"/>
      <c r="R21" s="87"/>
      <c r="S21" s="87"/>
      <c r="T21" s="87"/>
      <c r="U21" s="88"/>
      <c r="V21"/>
      <c r="X21" s="84"/>
      <c r="Y21" s="84"/>
      <c r="Z21" s="84"/>
      <c r="AA21" s="84"/>
    </row>
    <row r="22" spans="1:29">
      <c r="A22" s="94" t="s">
        <v>48</v>
      </c>
      <c r="B22" s="95" t="s">
        <v>78</v>
      </c>
      <c r="C22" s="99"/>
      <c r="D22" s="109">
        <f>(D10-C7)-D21*(H10-C7)</f>
        <v>-2.2006533792531008E-2</v>
      </c>
      <c r="E22" s="105" t="s">
        <v>76</v>
      </c>
      <c r="F22" s="105" t="s">
        <v>76</v>
      </c>
      <c r="G22" s="105"/>
      <c r="H22" s="109">
        <v>0</v>
      </c>
      <c r="I22"/>
      <c r="J22" s="90"/>
      <c r="K22" s="91"/>
      <c r="L22" s="91"/>
      <c r="M22" s="91"/>
      <c r="N22" s="91"/>
      <c r="O22" s="93"/>
      <c r="P22" s="80"/>
      <c r="Q22" s="81"/>
      <c r="R22" s="87"/>
      <c r="S22" s="87"/>
      <c r="T22" s="87"/>
      <c r="U22" s="88"/>
      <c r="V22"/>
      <c r="X22" s="84"/>
      <c r="Y22" s="84"/>
      <c r="Z22" s="84"/>
      <c r="AA22" s="84"/>
    </row>
    <row r="23" spans="1:29" s="89" customFormat="1">
      <c r="A23" s="94" t="s">
        <v>48</v>
      </c>
      <c r="B23" s="95" t="s">
        <v>79</v>
      </c>
      <c r="C23" s="110"/>
      <c r="D23" s="111">
        <f>CORREL(R4:R37,U4:U37)</f>
        <v>0.82475315993881093</v>
      </c>
      <c r="E23" s="105" t="s">
        <v>76</v>
      </c>
      <c r="F23" s="105" t="s">
        <v>76</v>
      </c>
      <c r="G23" s="105"/>
      <c r="H23" s="111">
        <v>1</v>
      </c>
      <c r="I23" s="63"/>
      <c r="J23" s="90"/>
      <c r="K23" s="91"/>
      <c r="L23" s="91"/>
      <c r="M23" s="91"/>
      <c r="N23" s="91"/>
      <c r="O23" s="93"/>
      <c r="P23" s="80"/>
      <c r="Q23" s="81"/>
      <c r="R23" s="87"/>
      <c r="S23" s="87"/>
      <c r="T23" s="87"/>
      <c r="U23" s="88"/>
      <c r="V23"/>
      <c r="W23" s="106"/>
      <c r="X23" s="84"/>
      <c r="Y23" s="84"/>
      <c r="Z23" s="84"/>
      <c r="AA23" s="84"/>
      <c r="AB23"/>
      <c r="AC23"/>
    </row>
    <row r="24" spans="1:29">
      <c r="A24" s="94" t="s">
        <v>48</v>
      </c>
      <c r="B24" s="95" t="s">
        <v>80</v>
      </c>
      <c r="C24" s="112"/>
      <c r="D24" s="113">
        <f>COUNTIF(R4:R37,"&gt;=0")/COUNTA(R4:R37)</f>
        <v>0.5</v>
      </c>
      <c r="E24" s="105" t="s">
        <v>76</v>
      </c>
      <c r="F24" s="105" t="s">
        <v>76</v>
      </c>
      <c r="G24" s="105"/>
      <c r="H24" s="113">
        <f>COUNTIF(U4:U37,"&gt;=0")/COUNTA(U4:U37)</f>
        <v>0.66666666666666663</v>
      </c>
      <c r="J24" s="90"/>
      <c r="K24" s="91"/>
      <c r="L24" s="91"/>
      <c r="M24" s="91"/>
      <c r="N24" s="91"/>
      <c r="O24" s="93"/>
      <c r="P24" s="80"/>
      <c r="Q24" s="81"/>
      <c r="R24" s="87"/>
      <c r="S24" s="87"/>
      <c r="T24" s="87"/>
      <c r="U24" s="88"/>
      <c r="V24"/>
      <c r="X24" s="84"/>
      <c r="Y24" s="84"/>
      <c r="Z24" s="84"/>
      <c r="AA24" s="84"/>
    </row>
    <row r="25" spans="1:29">
      <c r="A25" s="94" t="s">
        <v>48</v>
      </c>
      <c r="B25" s="95" t="s">
        <v>81</v>
      </c>
      <c r="C25" s="100"/>
      <c r="D25" s="114">
        <f>MIN(X4:X37)</f>
        <v>-1</v>
      </c>
      <c r="E25" s="105" t="s">
        <v>76</v>
      </c>
      <c r="F25" s="105" t="s">
        <v>76</v>
      </c>
      <c r="G25" s="105"/>
      <c r="H25" s="114">
        <f>MIN(AA4:AA37)</f>
        <v>-1</v>
      </c>
      <c r="J25" s="90"/>
      <c r="K25" s="91"/>
      <c r="L25" s="91"/>
      <c r="M25" s="91"/>
      <c r="N25" s="91"/>
      <c r="O25" s="93"/>
      <c r="P25" s="80"/>
      <c r="Q25" s="81"/>
      <c r="R25" s="87"/>
      <c r="S25" s="87"/>
      <c r="T25" s="87"/>
      <c r="U25" s="88"/>
      <c r="V25"/>
      <c r="X25" s="84"/>
      <c r="Y25" s="84"/>
      <c r="Z25" s="84"/>
      <c r="AA25" s="84"/>
    </row>
    <row r="26" spans="1:29" s="89" customFormat="1">
      <c r="A26" s="94"/>
      <c r="B26" s="115" t="s">
        <v>82</v>
      </c>
      <c r="C26" s="116"/>
      <c r="D26" s="116"/>
      <c r="E26" s="116"/>
      <c r="F26" s="116"/>
      <c r="G26" s="116"/>
      <c r="H26" s="116"/>
      <c r="I26" s="63"/>
      <c r="J26" s="90"/>
      <c r="K26" s="91"/>
      <c r="L26" s="91"/>
      <c r="M26" s="91"/>
      <c r="N26" s="91"/>
      <c r="O26" s="93"/>
      <c r="P26" s="80"/>
      <c r="Q26" s="81"/>
      <c r="R26" s="87"/>
      <c r="S26" s="87"/>
      <c r="T26" s="87"/>
      <c r="U26" s="88"/>
      <c r="V26"/>
      <c r="W26"/>
      <c r="X26" s="84"/>
      <c r="Y26" s="84"/>
      <c r="Z26" s="84"/>
      <c r="AA26" s="84"/>
      <c r="AB26"/>
      <c r="AC26"/>
    </row>
    <row r="27" spans="1:29">
      <c r="A27" s="94"/>
      <c r="B27" s="115" t="s">
        <v>83</v>
      </c>
      <c r="C27" s="116"/>
      <c r="D27" s="116"/>
      <c r="E27" s="116"/>
      <c r="F27" s="116"/>
      <c r="G27" s="116"/>
      <c r="H27" s="116"/>
      <c r="J27" s="90"/>
      <c r="K27" s="91"/>
      <c r="L27" s="91"/>
      <c r="M27" s="91"/>
      <c r="N27" s="91"/>
      <c r="O27" s="93"/>
      <c r="P27" s="80"/>
      <c r="Q27" s="81"/>
      <c r="R27" s="87"/>
      <c r="S27" s="87"/>
      <c r="T27" s="87"/>
      <c r="U27" s="88"/>
      <c r="V27"/>
      <c r="X27" s="84"/>
      <c r="Y27" s="84"/>
      <c r="Z27" s="84"/>
      <c r="AA27" s="84"/>
    </row>
    <row r="28" spans="1:29">
      <c r="A28" s="94"/>
      <c r="B28" s="115" t="s">
        <v>84</v>
      </c>
      <c r="C28" s="116"/>
      <c r="D28" s="116"/>
      <c r="E28" s="116"/>
      <c r="F28" s="116"/>
      <c r="G28" s="116"/>
      <c r="H28" s="116"/>
      <c r="J28" s="90"/>
      <c r="K28" s="91"/>
      <c r="L28" s="91"/>
      <c r="M28" s="91"/>
      <c r="N28" s="91"/>
      <c r="O28" s="93"/>
      <c r="P28" s="80"/>
      <c r="Q28" s="81"/>
      <c r="R28" s="87"/>
      <c r="S28" s="87"/>
      <c r="T28" s="87"/>
      <c r="U28" s="88"/>
      <c r="V28"/>
      <c r="X28" s="84"/>
      <c r="Y28" s="84"/>
      <c r="Z28" s="84"/>
      <c r="AA28" s="84"/>
    </row>
    <row r="29" spans="1:29" s="103" customFormat="1" ht="15.75" thickBot="1">
      <c r="A29" s="94"/>
      <c r="B29" s="117" t="s">
        <v>85</v>
      </c>
      <c r="C29" s="116"/>
      <c r="D29" s="116"/>
      <c r="E29" s="116"/>
      <c r="F29" s="116"/>
      <c r="G29" s="116"/>
      <c r="H29" s="116"/>
      <c r="I29" s="63"/>
      <c r="J29" s="90"/>
      <c r="K29" s="91"/>
      <c r="L29" s="91"/>
      <c r="M29" s="91"/>
      <c r="N29" s="91"/>
      <c r="O29" s="93"/>
      <c r="P29" s="80"/>
      <c r="Q29" s="81"/>
      <c r="R29" s="87"/>
      <c r="S29" s="87"/>
      <c r="T29" s="87"/>
      <c r="U29" s="88"/>
      <c r="V29"/>
      <c r="W29"/>
      <c r="X29" s="84"/>
      <c r="Y29" s="84"/>
      <c r="Z29" s="84"/>
      <c r="AA29" s="84"/>
      <c r="AB29"/>
      <c r="AC29"/>
    </row>
    <row r="30" spans="1:29">
      <c r="A30" s="94"/>
      <c r="B30" s="119" t="s">
        <v>86</v>
      </c>
      <c r="C30" s="99"/>
      <c r="D30" s="99"/>
      <c r="E30" s="99"/>
      <c r="F30" s="99"/>
      <c r="G30" s="99"/>
      <c r="H30" s="99"/>
      <c r="J30" s="90"/>
      <c r="K30" s="91"/>
      <c r="L30" s="91"/>
      <c r="M30" s="91"/>
      <c r="N30" s="91"/>
      <c r="O30" s="93"/>
      <c r="P30" s="80"/>
      <c r="Q30" s="81"/>
      <c r="R30" s="87"/>
      <c r="S30" s="87"/>
      <c r="T30" s="87"/>
      <c r="U30" s="88"/>
      <c r="V30"/>
      <c r="X30" s="84"/>
      <c r="Y30" s="84"/>
      <c r="Z30" s="84"/>
      <c r="AA30" s="84"/>
    </row>
    <row r="31" spans="1:29">
      <c r="A31" s="94"/>
      <c r="B31" s="122" t="s">
        <v>87</v>
      </c>
      <c r="C31" s="123"/>
      <c r="D31" s="123"/>
      <c r="E31" s="123"/>
      <c r="F31" s="123"/>
      <c r="G31" s="123"/>
      <c r="H31" s="123"/>
      <c r="J31" s="90"/>
      <c r="K31" s="91"/>
      <c r="L31" s="91"/>
      <c r="M31" s="91"/>
      <c r="N31" s="91"/>
      <c r="O31" s="93"/>
      <c r="P31" s="80"/>
      <c r="Q31" s="81"/>
      <c r="R31" s="87"/>
      <c r="S31" s="87"/>
      <c r="T31" s="87"/>
      <c r="U31" s="88"/>
      <c r="V31"/>
      <c r="X31" s="84"/>
      <c r="Y31" s="84"/>
      <c r="Z31" s="84"/>
      <c r="AA31" s="84"/>
    </row>
    <row r="32" spans="1:29" s="89" customFormat="1">
      <c r="A32" s="94"/>
      <c r="B32" s="115" t="s">
        <v>88</v>
      </c>
      <c r="C32" s="116"/>
      <c r="D32" s="116"/>
      <c r="E32" s="116"/>
      <c r="F32" s="116"/>
      <c r="G32" s="116"/>
      <c r="H32" s="116"/>
      <c r="I32" s="63"/>
      <c r="J32" s="90"/>
      <c r="K32" s="91"/>
      <c r="L32" s="91"/>
      <c r="M32" s="91"/>
      <c r="N32" s="91"/>
      <c r="O32" s="93"/>
      <c r="P32" s="118"/>
      <c r="Q32" s="81"/>
      <c r="R32" s="87"/>
      <c r="S32" s="87"/>
      <c r="T32" s="87"/>
      <c r="U32" s="88"/>
      <c r="V32" s="87"/>
      <c r="W32"/>
      <c r="X32" s="84"/>
      <c r="Y32" s="84"/>
      <c r="Z32" s="84"/>
      <c r="AA32" s="84"/>
      <c r="AB32"/>
      <c r="AC32"/>
    </row>
    <row r="33" spans="1:29">
      <c r="A33" s="94"/>
      <c r="B33" s="115" t="s">
        <v>89</v>
      </c>
      <c r="C33" s="116"/>
      <c r="D33" s="116"/>
      <c r="E33" s="116"/>
      <c r="F33" s="116"/>
      <c r="G33" s="116"/>
      <c r="H33" s="116"/>
      <c r="J33" s="90"/>
      <c r="K33" s="91"/>
      <c r="L33" s="91"/>
      <c r="M33" s="91"/>
      <c r="N33" s="91"/>
      <c r="O33" s="93"/>
      <c r="P33" s="120"/>
      <c r="Q33" s="121"/>
      <c r="R33" s="87"/>
      <c r="S33" s="87"/>
      <c r="T33" s="87"/>
      <c r="U33" s="88"/>
      <c r="V33" s="87"/>
      <c r="X33" s="84"/>
      <c r="Y33" s="84"/>
      <c r="Z33" s="84"/>
      <c r="AA33" s="84"/>
    </row>
    <row r="34" spans="1:29">
      <c r="A34" s="94"/>
      <c r="B34" s="115" t="s">
        <v>90</v>
      </c>
      <c r="C34" s="123"/>
      <c r="D34" s="123"/>
      <c r="E34" s="123"/>
      <c r="F34" s="123"/>
      <c r="G34" s="123"/>
      <c r="H34" s="125"/>
      <c r="J34" s="90"/>
      <c r="K34" s="91"/>
      <c r="L34" s="91"/>
      <c r="M34" s="91"/>
      <c r="N34" s="91"/>
      <c r="O34" s="93"/>
      <c r="P34" s="124"/>
      <c r="Q34" s="81"/>
      <c r="R34" s="87"/>
      <c r="S34" s="87"/>
      <c r="T34" s="87"/>
      <c r="U34" s="88"/>
      <c r="V34" s="87"/>
      <c r="X34" s="84"/>
      <c r="Y34" s="84"/>
      <c r="Z34" s="84"/>
      <c r="AA34" s="84"/>
    </row>
    <row r="35" spans="1:29" s="89" customFormat="1">
      <c r="A35" s="94"/>
      <c r="B35" s="115" t="s">
        <v>91</v>
      </c>
      <c r="C35" s="126"/>
      <c r="D35" s="126"/>
      <c r="E35" s="126"/>
      <c r="F35" s="126"/>
      <c r="G35" s="126"/>
      <c r="H35" s="126"/>
      <c r="I35" s="63"/>
      <c r="J35" s="90"/>
      <c r="K35" s="91"/>
      <c r="L35" s="91"/>
      <c r="M35" s="91"/>
      <c r="N35" s="91"/>
      <c r="O35" s="93"/>
      <c r="P35" s="124"/>
      <c r="Q35" s="81"/>
      <c r="R35" s="87"/>
      <c r="S35" s="87"/>
      <c r="T35" s="87"/>
      <c r="U35" s="88"/>
      <c r="V35" s="87"/>
      <c r="W35"/>
      <c r="X35" s="84"/>
      <c r="Y35" s="84"/>
      <c r="Z35" s="84"/>
      <c r="AA35" s="84"/>
      <c r="AB35"/>
      <c r="AC35"/>
    </row>
    <row r="36" spans="1:29">
      <c r="A36" s="94"/>
      <c r="B36" s="115" t="s">
        <v>92</v>
      </c>
      <c r="C36" s="128"/>
      <c r="D36" s="128"/>
      <c r="E36" s="128"/>
      <c r="F36" s="128"/>
      <c r="G36" s="128"/>
      <c r="H36" s="129"/>
      <c r="J36" s="90"/>
      <c r="K36" s="91"/>
      <c r="L36" s="91"/>
      <c r="M36" s="91"/>
      <c r="N36" s="91"/>
      <c r="O36" s="93"/>
      <c r="P36" s="124"/>
      <c r="Q36" s="81"/>
      <c r="R36" s="87"/>
      <c r="S36" s="87"/>
      <c r="T36" s="87"/>
      <c r="U36" s="88"/>
      <c r="V36" s="87"/>
      <c r="X36" s="84"/>
      <c r="Y36" s="84"/>
      <c r="Z36" s="84"/>
      <c r="AA36" s="84"/>
    </row>
    <row r="37" spans="1:29">
      <c r="A37" s="94"/>
      <c r="B37" s="115" t="s">
        <v>93</v>
      </c>
      <c r="C37" s="133"/>
      <c r="D37" s="133"/>
      <c r="E37" s="133"/>
      <c r="F37" s="133"/>
      <c r="G37" s="133"/>
      <c r="H37" s="125"/>
      <c r="J37" s="90"/>
      <c r="K37" s="91"/>
      <c r="L37" s="91"/>
      <c r="M37" s="91"/>
      <c r="N37" s="91"/>
      <c r="O37" s="93"/>
      <c r="P37" s="118"/>
      <c r="Q37" s="81"/>
      <c r="R37" s="87"/>
      <c r="S37" s="87"/>
      <c r="T37" s="87"/>
      <c r="U37" s="88"/>
      <c r="V37" s="87"/>
      <c r="X37" s="84"/>
      <c r="Y37" s="84"/>
      <c r="Z37" s="84"/>
      <c r="AA37" s="84"/>
    </row>
    <row r="38" spans="1:29" s="89" customFormat="1">
      <c r="A38"/>
      <c r="B38" s="137"/>
      <c r="C38" s="138">
        <f>C2</f>
        <v>0</v>
      </c>
      <c r="D38" s="138" t="str">
        <f>D2</f>
        <v>CLPFX</v>
      </c>
      <c r="E38" s="68" t="str">
        <f>E2</f>
        <v>CLPAX</v>
      </c>
      <c r="F38" s="68" t="str">
        <f>F2</f>
        <v>CLPCX</v>
      </c>
      <c r="G38" s="68" t="str">
        <f>G2</f>
        <v>CLPAX w/ Load</v>
      </c>
      <c r="H38" s="139" t="s">
        <v>56</v>
      </c>
      <c r="I38" s="63"/>
      <c r="J38" s="90"/>
      <c r="K38" s="91"/>
      <c r="L38" s="91"/>
      <c r="M38" s="91"/>
      <c r="N38" s="91"/>
      <c r="O38" s="93"/>
      <c r="P38" s="118"/>
      <c r="Q38" s="81"/>
      <c r="R38" s="127"/>
      <c r="S38" s="127"/>
      <c r="T38" s="127"/>
      <c r="U38" s="83"/>
      <c r="V38"/>
      <c r="W38"/>
      <c r="X38" s="84"/>
      <c r="Y38" s="84"/>
      <c r="Z38" s="84"/>
      <c r="AA38" s="84"/>
      <c r="AB38"/>
      <c r="AC38"/>
    </row>
    <row r="39" spans="1:29">
      <c r="A39" s="140" t="s">
        <v>94</v>
      </c>
      <c r="B39" s="141">
        <f>C4</f>
        <v>44105</v>
      </c>
      <c r="C39" s="142"/>
      <c r="D39" s="142">
        <f t="shared" ref="D39:D48" si="10">SUMIF($J:$J,$B39,$K:$K)</f>
        <v>10000</v>
      </c>
      <c r="E39" s="142">
        <f t="shared" ref="E39:E48" si="11">SUMIF($J:$J,$B39,$L:$L)</f>
        <v>10000</v>
      </c>
      <c r="F39" s="142">
        <f t="shared" ref="F39:F48" si="12">SUMIF($J:$J,$B39,$M:$M)</f>
        <v>10000</v>
      </c>
      <c r="G39" s="142">
        <f t="shared" ref="G39:G48" si="13">SUMIF($J:$J,$B39,$N:$N)</f>
        <v>9525</v>
      </c>
      <c r="H39" s="142">
        <f t="shared" ref="H39:H48" si="14">SUMIF($J:$J,$B39,$O:$O)</f>
        <v>10000</v>
      </c>
      <c r="J39" s="90"/>
      <c r="K39" s="130"/>
      <c r="L39" s="130"/>
      <c r="M39" s="130"/>
      <c r="N39" s="130"/>
      <c r="O39" s="93"/>
      <c r="P39" s="120"/>
      <c r="Q39" s="121"/>
      <c r="R39" s="131"/>
      <c r="S39" s="131"/>
      <c r="T39" s="131"/>
      <c r="U39" s="132"/>
      <c r="V39"/>
    </row>
    <row r="40" spans="1:29">
      <c r="A40" s="140" t="s">
        <v>95</v>
      </c>
      <c r="B40" s="141">
        <f>EOMONTH($C$5,-60)</f>
        <v>42460</v>
      </c>
      <c r="C40" s="142"/>
      <c r="D40" s="142">
        <f t="shared" si="10"/>
        <v>0</v>
      </c>
      <c r="E40" s="142">
        <f t="shared" si="11"/>
        <v>0</v>
      </c>
      <c r="F40" s="142">
        <f t="shared" si="12"/>
        <v>0</v>
      </c>
      <c r="G40" s="142">
        <f t="shared" si="13"/>
        <v>0</v>
      </c>
      <c r="H40" s="142">
        <f t="shared" si="14"/>
        <v>0</v>
      </c>
      <c r="J40" s="134"/>
      <c r="K40" s="135"/>
      <c r="L40" s="135"/>
      <c r="M40" s="135"/>
      <c r="N40" s="135"/>
      <c r="O40" s="136"/>
      <c r="P40" s="118"/>
      <c r="Q40" s="81"/>
      <c r="R40" s="127"/>
      <c r="S40" s="127"/>
      <c r="T40" s="127"/>
      <c r="U40" s="83"/>
      <c r="V40"/>
    </row>
    <row r="41" spans="1:29" s="103" customFormat="1" ht="15.75" thickBot="1">
      <c r="A41" s="140" t="s">
        <v>96</v>
      </c>
      <c r="B41" s="141">
        <f>EOMONTH($C$5,-36)</f>
        <v>43190</v>
      </c>
      <c r="C41" s="142"/>
      <c r="D41" s="142">
        <f t="shared" si="10"/>
        <v>0</v>
      </c>
      <c r="E41" s="142">
        <f t="shared" si="11"/>
        <v>0</v>
      </c>
      <c r="F41" s="142">
        <f t="shared" si="12"/>
        <v>0</v>
      </c>
      <c r="G41" s="142">
        <f t="shared" si="13"/>
        <v>0</v>
      </c>
      <c r="H41" s="142">
        <f t="shared" si="14"/>
        <v>0</v>
      </c>
      <c r="I41" s="63"/>
      <c r="J41" s="90"/>
      <c r="K41" s="130"/>
      <c r="L41" s="130"/>
      <c r="M41" s="130"/>
      <c r="N41" s="130"/>
      <c r="O41" s="93"/>
      <c r="P41" s="118"/>
      <c r="Q41" s="81"/>
      <c r="R41" s="127"/>
      <c r="S41" s="127"/>
      <c r="T41" s="127"/>
      <c r="U41" s="83"/>
      <c r="V41"/>
      <c r="W41"/>
      <c r="X41"/>
      <c r="Y41"/>
      <c r="Z41"/>
      <c r="AA41"/>
      <c r="AB41"/>
      <c r="AC41"/>
    </row>
    <row r="42" spans="1:29">
      <c r="A42" s="140" t="s">
        <v>97</v>
      </c>
      <c r="B42" s="141">
        <f>EOMONTH($C$5,-24)</f>
        <v>43555</v>
      </c>
      <c r="C42" s="142"/>
      <c r="D42" s="142">
        <f t="shared" si="10"/>
        <v>0</v>
      </c>
      <c r="E42" s="142">
        <f t="shared" si="11"/>
        <v>0</v>
      </c>
      <c r="F42" s="142">
        <f t="shared" si="12"/>
        <v>0</v>
      </c>
      <c r="G42" s="142">
        <f t="shared" si="13"/>
        <v>0</v>
      </c>
      <c r="H42" s="142">
        <f t="shared" si="14"/>
        <v>0</v>
      </c>
      <c r="J42" s="90"/>
      <c r="K42" s="130"/>
      <c r="L42" s="130"/>
      <c r="M42" s="130"/>
      <c r="N42" s="130"/>
      <c r="O42" s="93"/>
      <c r="P42" s="120"/>
      <c r="Q42" s="121"/>
      <c r="R42" s="131"/>
      <c r="S42" s="131"/>
      <c r="T42" s="131"/>
      <c r="U42" s="132"/>
      <c r="V42"/>
    </row>
    <row r="43" spans="1:29">
      <c r="A43" s="140" t="s">
        <v>98</v>
      </c>
      <c r="B43" s="141">
        <f>EOMONTH($C$5,-12)</f>
        <v>43921</v>
      </c>
      <c r="C43" s="142"/>
      <c r="D43" s="142">
        <f t="shared" si="10"/>
        <v>0</v>
      </c>
      <c r="E43" s="142">
        <f t="shared" si="11"/>
        <v>0</v>
      </c>
      <c r="F43" s="142">
        <f t="shared" si="12"/>
        <v>0</v>
      </c>
      <c r="G43" s="142">
        <f t="shared" si="13"/>
        <v>0</v>
      </c>
      <c r="H43" s="142">
        <f t="shared" si="14"/>
        <v>0</v>
      </c>
      <c r="J43" s="134"/>
      <c r="K43" s="135"/>
      <c r="L43" s="135"/>
      <c r="M43" s="135"/>
      <c r="N43" s="135"/>
      <c r="O43" s="136"/>
      <c r="P43" s="118"/>
      <c r="Q43" s="81"/>
      <c r="R43" s="127"/>
      <c r="S43" s="127"/>
      <c r="T43" s="127"/>
      <c r="U43" s="83"/>
      <c r="V43"/>
    </row>
    <row r="44" spans="1:29" s="89" customFormat="1">
      <c r="A44" s="151" t="s">
        <v>82</v>
      </c>
      <c r="B44" s="141">
        <f>EOMONTH($C$5,-6)</f>
        <v>44104</v>
      </c>
      <c r="C44" s="142"/>
      <c r="D44" s="142">
        <f t="shared" si="10"/>
        <v>0</v>
      </c>
      <c r="E44" s="142">
        <f t="shared" si="11"/>
        <v>0</v>
      </c>
      <c r="F44" s="142">
        <f t="shared" si="12"/>
        <v>0</v>
      </c>
      <c r="G44" s="142">
        <f t="shared" si="13"/>
        <v>0</v>
      </c>
      <c r="H44" s="142">
        <f t="shared" si="14"/>
        <v>0</v>
      </c>
      <c r="I44" s="63"/>
      <c r="J44" s="90"/>
      <c r="K44" s="130"/>
      <c r="L44" s="130"/>
      <c r="M44" s="130"/>
      <c r="N44" s="130"/>
      <c r="O44" s="93"/>
      <c r="P44" s="118"/>
      <c r="Q44" s="81"/>
      <c r="R44" s="127"/>
      <c r="S44" s="127"/>
      <c r="T44" s="127"/>
      <c r="U44" s="83"/>
      <c r="V44" s="62"/>
      <c r="W44"/>
      <c r="X44"/>
      <c r="Y44"/>
      <c r="Z44"/>
      <c r="AA44"/>
      <c r="AB44"/>
      <c r="AC44"/>
    </row>
    <row r="45" spans="1:29" ht="15.75" thickBot="1">
      <c r="A45" s="140" t="s">
        <v>83</v>
      </c>
      <c r="B45" s="141">
        <f>EOMONTH($C$5,-3)</f>
        <v>44196</v>
      </c>
      <c r="C45" s="142"/>
      <c r="D45" s="142">
        <f t="shared" si="10"/>
        <v>10811.993010720002</v>
      </c>
      <c r="E45" s="142">
        <f t="shared" si="11"/>
        <v>10805.656491629999</v>
      </c>
      <c r="F45" s="142">
        <f t="shared" si="12"/>
        <v>10788.677706800001</v>
      </c>
      <c r="G45" s="142">
        <f t="shared" si="13"/>
        <v>10292.387808277577</v>
      </c>
      <c r="H45" s="142">
        <f t="shared" si="14"/>
        <v>11308.705016399997</v>
      </c>
      <c r="J45" s="90"/>
      <c r="K45" s="130"/>
      <c r="L45" s="130"/>
      <c r="M45" s="130"/>
      <c r="N45" s="130"/>
      <c r="O45" s="93"/>
      <c r="P45" s="143"/>
      <c r="Q45" s="144"/>
      <c r="R45" s="145"/>
      <c r="S45" s="145"/>
      <c r="T45" s="145"/>
      <c r="U45" s="146"/>
      <c r="V45" s="147"/>
    </row>
    <row r="46" spans="1:29" ht="15.75" thickBot="1">
      <c r="A46" s="140" t="s">
        <v>84</v>
      </c>
      <c r="B46" s="141">
        <f>EOMONTH($C$5,-1)</f>
        <v>44255</v>
      </c>
      <c r="C46" s="142"/>
      <c r="D46" s="142">
        <f t="shared" si="10"/>
        <v>10641.40916963183</v>
      </c>
      <c r="E46" s="142">
        <f t="shared" si="11"/>
        <v>10634.018363351301</v>
      </c>
      <c r="F46" s="142">
        <f t="shared" si="12"/>
        <v>10596.949957536915</v>
      </c>
      <c r="G46" s="142">
        <f t="shared" si="13"/>
        <v>10128.902491092114</v>
      </c>
      <c r="H46" s="142">
        <f t="shared" si="14"/>
        <v>11340.354915303496</v>
      </c>
      <c r="J46" s="148"/>
      <c r="K46" s="149"/>
      <c r="L46" s="149"/>
      <c r="M46" s="149"/>
      <c r="N46" s="149"/>
      <c r="O46" s="150"/>
      <c r="P46" s="118"/>
      <c r="Q46" s="81"/>
      <c r="R46" s="127"/>
      <c r="S46" s="127"/>
      <c r="T46" s="127"/>
      <c r="U46" s="83"/>
      <c r="V46" s="62"/>
    </row>
    <row r="47" spans="1:29" s="89" customFormat="1">
      <c r="A47" s="140" t="s">
        <v>0</v>
      </c>
      <c r="B47" s="154">
        <v>44196</v>
      </c>
      <c r="C47" s="142"/>
      <c r="D47" s="142">
        <f t="shared" si="10"/>
        <v>10811.993010720002</v>
      </c>
      <c r="E47" s="142">
        <f t="shared" si="11"/>
        <v>10805.656491629999</v>
      </c>
      <c r="F47" s="142">
        <f t="shared" si="12"/>
        <v>10788.677706800001</v>
      </c>
      <c r="G47" s="142">
        <f t="shared" si="13"/>
        <v>10292.387808277577</v>
      </c>
      <c r="H47" s="142">
        <f t="shared" si="14"/>
        <v>11308.705016399997</v>
      </c>
      <c r="I47" s="63"/>
      <c r="J47" s="90"/>
      <c r="K47" s="130"/>
      <c r="L47" s="130"/>
      <c r="M47" s="130"/>
      <c r="N47" s="130"/>
      <c r="O47" s="93"/>
      <c r="P47" s="118"/>
      <c r="Q47" s="81"/>
      <c r="R47" s="127"/>
      <c r="S47" s="127"/>
      <c r="T47" s="127"/>
      <c r="U47" s="83"/>
      <c r="V47" s="62"/>
      <c r="W47"/>
      <c r="X47"/>
      <c r="Y47"/>
      <c r="Z47"/>
      <c r="AA47"/>
      <c r="AB47"/>
      <c r="AC47"/>
    </row>
    <row r="48" spans="1:29">
      <c r="A48" s="140" t="s">
        <v>99</v>
      </c>
      <c r="B48" s="141">
        <f>C5</f>
        <v>44286</v>
      </c>
      <c r="C48" s="142"/>
      <c r="D48" s="142">
        <f t="shared" si="10"/>
        <v>10565.855164527444</v>
      </c>
      <c r="E48" s="142">
        <f t="shared" si="11"/>
        <v>10547.882814608156</v>
      </c>
      <c r="F48" s="142">
        <f t="shared" si="12"/>
        <v>10516.413137859634</v>
      </c>
      <c r="G48" s="142">
        <f t="shared" si="13"/>
        <v>10046.858380914267</v>
      </c>
      <c r="H48" s="142">
        <f t="shared" si="14"/>
        <v>11507.058132558457</v>
      </c>
      <c r="J48" s="90"/>
      <c r="K48" s="130"/>
      <c r="L48" s="130"/>
      <c r="M48" s="130"/>
      <c r="N48" s="130"/>
      <c r="O48" s="93"/>
      <c r="P48" s="120"/>
      <c r="Q48" s="121"/>
      <c r="R48" s="131"/>
      <c r="S48" s="131"/>
      <c r="T48" s="131"/>
      <c r="U48" s="132"/>
      <c r="V48" s="152"/>
    </row>
    <row r="49" spans="1:29">
      <c r="J49" s="134"/>
      <c r="K49" s="135"/>
      <c r="L49" s="135"/>
      <c r="M49" s="135"/>
      <c r="N49" s="135"/>
      <c r="O49" s="136"/>
      <c r="P49" s="118"/>
      <c r="Q49" s="153"/>
      <c r="R49" s="127"/>
      <c r="S49" s="127"/>
      <c r="T49" s="127"/>
      <c r="U49" s="83"/>
      <c r="V49" s="62"/>
    </row>
    <row r="50" spans="1:29" s="89" customFormat="1">
      <c r="A50" s="341" t="s">
        <v>100</v>
      </c>
      <c r="B50" s="157" t="str">
        <f>A39</f>
        <v>Inception</v>
      </c>
      <c r="C50" s="158" t="e">
        <f>(C48-C39)/C39</f>
        <v>#DIV/0!</v>
      </c>
      <c r="D50" s="158">
        <f t="shared" ref="D50:H50" si="15">(D48-D39)/D39</f>
        <v>5.6585516452744379E-2</v>
      </c>
      <c r="E50" s="158"/>
      <c r="F50" s="158"/>
      <c r="G50" s="158"/>
      <c r="H50" s="158">
        <f t="shared" si="15"/>
        <v>0.15070581325584573</v>
      </c>
      <c r="I50" s="63"/>
      <c r="J50" s="90"/>
      <c r="K50" s="130"/>
      <c r="L50" s="130"/>
      <c r="M50" s="130"/>
      <c r="N50" s="130"/>
      <c r="O50" s="93"/>
      <c r="P50" s="62"/>
      <c r="Q50" s="155"/>
      <c r="R50" s="127"/>
      <c r="S50" s="127"/>
      <c r="T50" s="127"/>
      <c r="U50" s="83"/>
      <c r="V50" s="62"/>
      <c r="W50"/>
      <c r="X50"/>
      <c r="Y50"/>
      <c r="Z50"/>
      <c r="AA50"/>
      <c r="AB50"/>
      <c r="AC50"/>
    </row>
    <row r="51" spans="1:29">
      <c r="A51" s="341"/>
      <c r="B51" s="157" t="str">
        <f>A40</f>
        <v>5YRS</v>
      </c>
      <c r="C51" s="158" t="e">
        <f>(C48-C40)/C40</f>
        <v>#DIV/0!</v>
      </c>
      <c r="D51" s="158" t="e">
        <f t="shared" ref="D51:H51" si="16">(D48-D40)/D40</f>
        <v>#DIV/0!</v>
      </c>
      <c r="E51" s="158"/>
      <c r="F51" s="158"/>
      <c r="G51" s="158"/>
      <c r="H51" s="158" t="e">
        <f t="shared" si="16"/>
        <v>#DIV/0!</v>
      </c>
      <c r="J51" s="90"/>
      <c r="K51" s="130"/>
      <c r="L51" s="130"/>
      <c r="M51" s="130"/>
      <c r="N51" s="130"/>
      <c r="O51" s="93"/>
      <c r="P51" s="152"/>
      <c r="Q51" s="156"/>
      <c r="R51" s="131"/>
      <c r="S51" s="131"/>
      <c r="T51" s="131"/>
      <c r="U51" s="132"/>
      <c r="V51" s="152"/>
    </row>
    <row r="52" spans="1:29">
      <c r="A52" s="341"/>
      <c r="B52" s="157" t="str">
        <f>A41</f>
        <v>3YRS</v>
      </c>
      <c r="C52" s="158" t="e">
        <f>(C48-C41)/C41</f>
        <v>#DIV/0!</v>
      </c>
      <c r="D52" s="158" t="e">
        <f t="shared" ref="D52:H52" si="17">(D48-D41)/D41</f>
        <v>#DIV/0!</v>
      </c>
      <c r="E52" s="158"/>
      <c r="F52" s="158"/>
      <c r="G52" s="158"/>
      <c r="H52" s="158" t="e">
        <f t="shared" si="17"/>
        <v>#DIV/0!</v>
      </c>
      <c r="J52" s="134"/>
      <c r="K52" s="135"/>
      <c r="L52" s="135"/>
      <c r="M52" s="135"/>
      <c r="N52" s="135"/>
      <c r="O52" s="136"/>
      <c r="P52" s="62"/>
      <c r="Q52" s="155"/>
      <c r="R52" s="127"/>
      <c r="S52" s="127"/>
      <c r="T52" s="127"/>
      <c r="U52" s="83"/>
      <c r="V52" s="62"/>
    </row>
    <row r="53" spans="1:29" s="103" customFormat="1" ht="15.75" thickBot="1">
      <c r="A53"/>
      <c r="B53" s="61"/>
      <c r="C53" s="62"/>
      <c r="D53" s="62"/>
      <c r="E53" s="62"/>
      <c r="F53" s="62"/>
      <c r="G53" s="62"/>
      <c r="H53" s="62"/>
      <c r="I53" s="63"/>
      <c r="J53" s="90"/>
      <c r="K53" s="130"/>
      <c r="L53" s="130"/>
      <c r="M53" s="130"/>
      <c r="N53" s="130"/>
      <c r="O53" s="93"/>
      <c r="P53" s="62"/>
      <c r="Q53" s="155"/>
      <c r="R53" s="127"/>
      <c r="S53" s="127"/>
      <c r="T53" s="127"/>
      <c r="U53" s="83"/>
      <c r="V53" s="62"/>
      <c r="W53"/>
      <c r="X53"/>
      <c r="Y53"/>
      <c r="Z53"/>
      <c r="AA53"/>
      <c r="AB53"/>
      <c r="AC53"/>
    </row>
    <row r="54" spans="1:29">
      <c r="A54" s="341" t="s">
        <v>101</v>
      </c>
      <c r="B54" s="157" t="s">
        <v>94</v>
      </c>
      <c r="C54" s="159" t="e">
        <f>((1+C50)^(1/(C8/12))-1)</f>
        <v>#DIV/0!</v>
      </c>
      <c r="D54" s="159">
        <f>((1+D50)^(1/(D8/12))-1)</f>
        <v>9.0636972029670027E-2</v>
      </c>
      <c r="E54" s="159"/>
      <c r="F54" s="159"/>
      <c r="G54" s="159"/>
      <c r="H54" s="159">
        <f>((1+H50)^(1/(H8/12))-1)</f>
        <v>0.24766008298182474</v>
      </c>
      <c r="J54" s="90"/>
      <c r="K54" s="130"/>
      <c r="L54" s="130"/>
      <c r="M54" s="130"/>
      <c r="N54" s="130"/>
      <c r="O54" s="93"/>
      <c r="P54" s="152"/>
      <c r="Q54" s="156"/>
      <c r="R54" s="131"/>
      <c r="S54" s="131"/>
      <c r="T54" s="131"/>
      <c r="U54" s="132"/>
      <c r="V54" s="152"/>
    </row>
    <row r="55" spans="1:29">
      <c r="A55" s="341"/>
      <c r="B55" s="157" t="s">
        <v>95</v>
      </c>
      <c r="C55" s="159" t="e">
        <f>((1+C51)^(1/(60/12))-1)</f>
        <v>#DIV/0!</v>
      </c>
      <c r="D55" s="159" t="e">
        <f t="shared" ref="D55:H55" si="18">((1+D51)^(1/(60/12))-1)</f>
        <v>#DIV/0!</v>
      </c>
      <c r="E55" s="159"/>
      <c r="F55" s="159"/>
      <c r="G55" s="159"/>
      <c r="H55" s="159" t="e">
        <f t="shared" si="18"/>
        <v>#DIV/0!</v>
      </c>
      <c r="J55" s="134"/>
      <c r="K55" s="135"/>
      <c r="L55" s="135"/>
      <c r="M55" s="135"/>
      <c r="N55" s="135"/>
      <c r="O55" s="136"/>
      <c r="P55" s="62"/>
      <c r="Q55" s="155"/>
      <c r="R55" s="127"/>
      <c r="S55" s="127"/>
      <c r="T55" s="127"/>
      <c r="U55" s="83"/>
      <c r="V55" s="62"/>
    </row>
    <row r="56" spans="1:29" s="89" customFormat="1">
      <c r="A56" s="341"/>
      <c r="B56" s="157" t="s">
        <v>96</v>
      </c>
      <c r="C56" s="159" t="e">
        <f>((1+C52)^(1/(36/12))-1)</f>
        <v>#DIV/0!</v>
      </c>
      <c r="D56" s="159" t="e">
        <f t="shared" ref="D56:H56" si="19">((1+D52)^(1/(36/12))-1)</f>
        <v>#DIV/0!</v>
      </c>
      <c r="E56" s="159"/>
      <c r="F56" s="159"/>
      <c r="G56" s="159"/>
      <c r="H56" s="159" t="e">
        <f t="shared" si="19"/>
        <v>#DIV/0!</v>
      </c>
      <c r="I56" s="63"/>
      <c r="J56" s="90"/>
      <c r="K56" s="130"/>
      <c r="L56" s="130"/>
      <c r="M56" s="130"/>
      <c r="N56" s="130"/>
      <c r="O56" s="93"/>
      <c r="P56" s="62"/>
      <c r="Q56" s="155"/>
      <c r="R56" s="127"/>
      <c r="S56" s="127"/>
      <c r="T56" s="127"/>
      <c r="U56" s="83"/>
      <c r="V56" s="62"/>
      <c r="W56"/>
      <c r="X56"/>
      <c r="Y56"/>
      <c r="Z56"/>
      <c r="AA56"/>
      <c r="AB56"/>
      <c r="AC56"/>
    </row>
    <row r="57" spans="1:29" ht="15.75" thickBot="1">
      <c r="J57" s="90"/>
      <c r="K57" s="130"/>
      <c r="L57" s="130"/>
      <c r="M57" s="130"/>
      <c r="N57" s="130"/>
      <c r="O57" s="93"/>
      <c r="P57" s="147"/>
      <c r="Q57" s="160"/>
      <c r="R57" s="145"/>
      <c r="S57" s="145"/>
      <c r="T57" s="145"/>
      <c r="U57" s="146"/>
      <c r="V57" s="147"/>
    </row>
    <row r="58" spans="1:29" ht="15.75" thickBot="1">
      <c r="J58" s="148"/>
      <c r="K58" s="149"/>
      <c r="L58" s="149"/>
      <c r="M58" s="149"/>
      <c r="N58" s="149"/>
      <c r="O58" s="150"/>
      <c r="P58" s="62"/>
      <c r="Q58" s="155"/>
      <c r="R58" s="127"/>
      <c r="S58" s="127"/>
      <c r="T58" s="127"/>
      <c r="U58" s="83"/>
      <c r="V58" s="62"/>
    </row>
    <row r="59" spans="1:29" s="89" customFormat="1">
      <c r="A59"/>
      <c r="B59" s="61"/>
      <c r="C59" s="62"/>
      <c r="D59" s="62"/>
      <c r="E59" s="62"/>
      <c r="F59" s="62"/>
      <c r="G59" s="62"/>
      <c r="H59" s="62"/>
      <c r="I59" s="63"/>
      <c r="J59" s="90"/>
      <c r="K59" s="130"/>
      <c r="L59" s="130"/>
      <c r="M59" s="130"/>
      <c r="N59" s="130"/>
      <c r="O59" s="93"/>
      <c r="P59" s="62"/>
      <c r="Q59" s="155"/>
      <c r="R59" s="127"/>
      <c r="S59" s="127"/>
      <c r="T59" s="127"/>
      <c r="U59" s="83"/>
      <c r="V59" s="62"/>
      <c r="W59"/>
      <c r="X59"/>
      <c r="Y59"/>
      <c r="Z59"/>
      <c r="AA59"/>
      <c r="AB59"/>
      <c r="AC59"/>
    </row>
    <row r="60" spans="1:29">
      <c r="J60" s="90"/>
      <c r="K60" s="130"/>
      <c r="L60" s="130"/>
      <c r="M60" s="130"/>
      <c r="N60" s="130"/>
      <c r="O60" s="93"/>
      <c r="P60" s="152"/>
      <c r="Q60" s="156"/>
      <c r="R60" s="131"/>
      <c r="S60" s="131"/>
      <c r="T60" s="131"/>
      <c r="U60" s="132"/>
      <c r="V60" s="152"/>
    </row>
    <row r="61" spans="1:29">
      <c r="J61" s="134"/>
      <c r="K61" s="135"/>
      <c r="L61" s="135"/>
      <c r="M61" s="135"/>
      <c r="N61" s="135"/>
      <c r="O61" s="136"/>
      <c r="P61" s="62"/>
      <c r="Q61" s="155"/>
      <c r="R61" s="127"/>
      <c r="S61" s="127"/>
      <c r="T61" s="127"/>
      <c r="U61" s="83"/>
      <c r="V61" s="62"/>
    </row>
    <row r="62" spans="1:29" s="89" customFormat="1">
      <c r="A62"/>
      <c r="B62" s="61"/>
      <c r="C62" s="62"/>
      <c r="D62" s="62"/>
      <c r="E62" s="62"/>
      <c r="F62" s="62"/>
      <c r="G62" s="62"/>
      <c r="H62" s="62"/>
      <c r="I62" s="63"/>
      <c r="J62" s="90"/>
      <c r="K62" s="130"/>
      <c r="L62" s="130"/>
      <c r="M62" s="130"/>
      <c r="N62" s="130"/>
      <c r="O62" s="93"/>
      <c r="P62" s="62"/>
      <c r="Q62" s="155"/>
      <c r="R62" s="127"/>
      <c r="S62" s="127"/>
      <c r="T62" s="127"/>
      <c r="U62" s="83"/>
      <c r="V62" s="62"/>
      <c r="W62"/>
      <c r="X62"/>
      <c r="Y62"/>
      <c r="Z62"/>
      <c r="AA62"/>
      <c r="AB62"/>
      <c r="AC62"/>
    </row>
    <row r="63" spans="1:29">
      <c r="J63" s="90"/>
      <c r="K63" s="130"/>
      <c r="L63" s="130"/>
      <c r="M63" s="130"/>
      <c r="N63" s="130"/>
      <c r="O63" s="93"/>
      <c r="P63" s="152"/>
      <c r="Q63" s="156"/>
      <c r="R63" s="131"/>
      <c r="S63" s="131"/>
      <c r="T63" s="131"/>
      <c r="U63" s="132"/>
      <c r="V63" s="152"/>
    </row>
    <row r="64" spans="1:29">
      <c r="J64" s="134"/>
      <c r="K64" s="135"/>
      <c r="L64" s="135"/>
      <c r="M64" s="135"/>
      <c r="N64" s="135"/>
      <c r="O64" s="136"/>
      <c r="P64" s="62"/>
      <c r="Q64" s="155"/>
      <c r="R64" s="127"/>
      <c r="S64" s="127"/>
      <c r="T64" s="127"/>
      <c r="U64" s="83"/>
      <c r="V64" s="62"/>
    </row>
    <row r="65" spans="1:29" s="103" customFormat="1" ht="15.75" thickBot="1">
      <c r="A65"/>
      <c r="B65" s="61"/>
      <c r="C65" s="62"/>
      <c r="D65" s="62"/>
      <c r="E65" s="62"/>
      <c r="F65" s="62"/>
      <c r="G65" s="62"/>
      <c r="H65" s="62"/>
      <c r="I65" s="63"/>
      <c r="J65" s="90"/>
      <c r="K65" s="130"/>
      <c r="L65" s="130"/>
      <c r="M65" s="130"/>
      <c r="N65" s="130"/>
      <c r="O65" s="93"/>
      <c r="P65" s="62"/>
      <c r="Q65" s="155"/>
      <c r="R65" s="127"/>
      <c r="S65" s="127"/>
      <c r="T65" s="127"/>
      <c r="U65" s="83"/>
      <c r="V65" s="62"/>
      <c r="W65"/>
      <c r="X65"/>
      <c r="Y65"/>
      <c r="Z65"/>
      <c r="AA65"/>
      <c r="AB65"/>
      <c r="AC65"/>
    </row>
    <row r="66" spans="1:29">
      <c r="J66" s="90"/>
      <c r="K66" s="130"/>
      <c r="L66" s="130"/>
      <c r="M66" s="130"/>
      <c r="N66" s="130"/>
      <c r="O66" s="93"/>
      <c r="P66" s="152"/>
      <c r="Q66" s="156"/>
      <c r="R66" s="131"/>
      <c r="S66" s="131"/>
      <c r="T66" s="131"/>
      <c r="U66" s="132"/>
      <c r="V66" s="152"/>
    </row>
    <row r="67" spans="1:29">
      <c r="J67" s="134"/>
      <c r="K67" s="135"/>
      <c r="L67" s="135"/>
      <c r="M67" s="135"/>
      <c r="N67" s="135"/>
      <c r="O67" s="136"/>
      <c r="P67" s="62"/>
      <c r="Q67" s="155"/>
      <c r="R67" s="127"/>
      <c r="S67" s="127"/>
      <c r="T67" s="127"/>
      <c r="U67" s="83"/>
      <c r="V67" s="62"/>
    </row>
    <row r="68" spans="1:29" s="89" customFormat="1">
      <c r="A68"/>
      <c r="B68" s="61"/>
      <c r="C68" s="62"/>
      <c r="D68" s="62"/>
      <c r="E68" s="62"/>
      <c r="F68" s="62"/>
      <c r="G68" s="62"/>
      <c r="H68" s="62"/>
      <c r="I68" s="63"/>
      <c r="J68" s="90"/>
      <c r="K68" s="130"/>
      <c r="L68" s="130"/>
      <c r="M68" s="130"/>
      <c r="N68" s="130"/>
      <c r="O68" s="93"/>
      <c r="P68" s="62"/>
      <c r="Q68" s="155"/>
      <c r="R68" s="127"/>
      <c r="S68" s="127"/>
      <c r="T68" s="127"/>
      <c r="U68" s="83"/>
      <c r="V68" s="62"/>
      <c r="W68"/>
      <c r="X68"/>
      <c r="Y68"/>
      <c r="Z68"/>
      <c r="AA68"/>
      <c r="AB68"/>
      <c r="AC68"/>
    </row>
    <row r="69" spans="1:29" ht="15.75" thickBot="1">
      <c r="J69" s="90"/>
      <c r="K69" s="130"/>
      <c r="L69" s="130"/>
      <c r="M69" s="130"/>
      <c r="N69" s="130"/>
      <c r="O69" s="93"/>
      <c r="P69" s="147"/>
      <c r="Q69" s="160"/>
      <c r="R69" s="145"/>
      <c r="S69" s="145"/>
      <c r="T69" s="145"/>
      <c r="U69" s="146"/>
      <c r="V69" s="147"/>
    </row>
    <row r="70" spans="1:29" ht="15.75" thickBot="1">
      <c r="J70" s="148"/>
      <c r="K70" s="149"/>
      <c r="L70" s="149"/>
      <c r="M70" s="149"/>
      <c r="N70" s="149"/>
      <c r="O70" s="150"/>
      <c r="P70" s="62"/>
      <c r="Q70" s="155"/>
      <c r="R70" s="127"/>
      <c r="S70" s="127"/>
      <c r="T70" s="127"/>
      <c r="U70" s="83"/>
      <c r="V70" s="62"/>
    </row>
    <row r="71" spans="1:29" s="89" customFormat="1">
      <c r="A71"/>
      <c r="B71" s="61"/>
      <c r="C71" s="62"/>
      <c r="D71" s="62"/>
      <c r="E71" s="62"/>
      <c r="F71" s="62"/>
      <c r="G71" s="62"/>
      <c r="H71" s="62"/>
      <c r="I71" s="63"/>
      <c r="J71" s="90"/>
      <c r="K71" s="130"/>
      <c r="L71" s="130"/>
      <c r="M71" s="130"/>
      <c r="N71" s="130"/>
      <c r="O71" s="93"/>
      <c r="P71" s="62"/>
      <c r="Q71" s="155"/>
      <c r="R71" s="127"/>
      <c r="S71" s="127"/>
      <c r="T71" s="127"/>
      <c r="U71" s="83"/>
      <c r="V71" s="62"/>
      <c r="W71"/>
      <c r="X71"/>
      <c r="Y71"/>
      <c r="Z71"/>
      <c r="AA71"/>
      <c r="AB71"/>
      <c r="AC71"/>
    </row>
    <row r="72" spans="1:29">
      <c r="J72" s="90"/>
      <c r="K72" s="130"/>
      <c r="L72" s="130"/>
      <c r="M72" s="130"/>
      <c r="N72" s="130"/>
      <c r="O72" s="93"/>
      <c r="P72" s="152"/>
      <c r="Q72" s="156"/>
      <c r="R72" s="131"/>
      <c r="S72" s="131"/>
      <c r="T72" s="131"/>
      <c r="U72" s="132"/>
      <c r="V72" s="152"/>
    </row>
    <row r="73" spans="1:29">
      <c r="J73" s="134"/>
      <c r="K73" s="135"/>
      <c r="L73" s="135"/>
      <c r="M73" s="135"/>
      <c r="N73" s="135"/>
      <c r="O73" s="136"/>
      <c r="P73" s="62"/>
      <c r="Q73" s="155"/>
      <c r="R73" s="127"/>
      <c r="S73" s="127"/>
      <c r="T73" s="127"/>
      <c r="U73" s="83"/>
      <c r="V73" s="62"/>
    </row>
    <row r="74" spans="1:29" s="89" customFormat="1">
      <c r="A74"/>
      <c r="B74" s="61"/>
      <c r="C74" s="62"/>
      <c r="D74" s="62"/>
      <c r="E74" s="62"/>
      <c r="F74" s="62"/>
      <c r="G74" s="62"/>
      <c r="H74" s="62"/>
      <c r="I74" s="63"/>
      <c r="J74" s="90"/>
      <c r="K74" s="130"/>
      <c r="L74" s="130"/>
      <c r="M74" s="130"/>
      <c r="N74" s="130"/>
      <c r="O74" s="93"/>
      <c r="P74" s="62"/>
      <c r="Q74" s="155"/>
      <c r="R74" s="127"/>
      <c r="S74" s="127"/>
      <c r="T74" s="127"/>
      <c r="U74" s="83"/>
      <c r="V74" s="62"/>
      <c r="W74"/>
      <c r="X74"/>
      <c r="Y74"/>
      <c r="Z74"/>
      <c r="AA74"/>
      <c r="AB74"/>
      <c r="AC74"/>
    </row>
    <row r="75" spans="1:29">
      <c r="J75" s="90"/>
      <c r="K75" s="130"/>
      <c r="L75" s="130"/>
      <c r="M75" s="130"/>
      <c r="N75" s="130"/>
      <c r="O75" s="93"/>
      <c r="P75" s="152"/>
      <c r="Q75" s="156"/>
      <c r="R75" s="131"/>
      <c r="S75" s="131"/>
      <c r="T75" s="131"/>
      <c r="U75" s="132"/>
      <c r="V75" s="152"/>
    </row>
    <row r="76" spans="1:29">
      <c r="J76" s="134"/>
      <c r="K76" s="135"/>
      <c r="L76" s="135"/>
      <c r="M76" s="135"/>
      <c r="N76" s="135"/>
      <c r="O76" s="136"/>
      <c r="P76" s="62"/>
      <c r="Q76" s="155"/>
      <c r="R76" s="127"/>
      <c r="S76" s="127"/>
      <c r="T76" s="127"/>
      <c r="U76" s="83"/>
      <c r="V76" s="62"/>
    </row>
    <row r="77" spans="1:29" s="103" customFormat="1" ht="15.75" thickBot="1">
      <c r="A77"/>
      <c r="B77" s="61"/>
      <c r="C77" s="62"/>
      <c r="D77" s="62"/>
      <c r="E77" s="62"/>
      <c r="F77" s="62"/>
      <c r="G77" s="62"/>
      <c r="H77" s="62"/>
      <c r="I77" s="63"/>
      <c r="J77" s="90"/>
      <c r="K77" s="130"/>
      <c r="L77" s="130"/>
      <c r="M77" s="130"/>
      <c r="N77" s="130"/>
      <c r="O77" s="93"/>
      <c r="P77" s="62"/>
      <c r="Q77" s="155"/>
      <c r="R77" s="127"/>
      <c r="S77" s="127"/>
      <c r="T77" s="127"/>
      <c r="U77" s="83"/>
      <c r="V77" s="62"/>
      <c r="W77"/>
      <c r="X77"/>
      <c r="Y77"/>
      <c r="Z77"/>
      <c r="AA77"/>
      <c r="AB77"/>
      <c r="AC77"/>
    </row>
    <row r="78" spans="1:29">
      <c r="J78" s="90"/>
      <c r="K78" s="130"/>
      <c r="L78" s="130"/>
      <c r="M78" s="130"/>
      <c r="N78" s="130"/>
      <c r="O78" s="93"/>
      <c r="P78" s="152"/>
      <c r="Q78" s="156"/>
      <c r="R78" s="131"/>
      <c r="S78" s="131"/>
      <c r="T78" s="131"/>
      <c r="U78" s="132"/>
      <c r="V78" s="152"/>
    </row>
    <row r="79" spans="1:29">
      <c r="J79" s="134"/>
      <c r="K79" s="135"/>
      <c r="L79" s="135"/>
      <c r="M79" s="135"/>
      <c r="N79" s="135"/>
      <c r="O79" s="136"/>
      <c r="P79" s="62"/>
      <c r="Q79" s="155"/>
      <c r="R79" s="127"/>
      <c r="S79" s="127"/>
      <c r="T79" s="127"/>
      <c r="U79" s="83"/>
      <c r="V79" s="62"/>
    </row>
    <row r="80" spans="1:29" s="89" customFormat="1">
      <c r="A80"/>
      <c r="B80" s="61"/>
      <c r="C80" s="62"/>
      <c r="D80" s="62"/>
      <c r="E80" s="62"/>
      <c r="F80" s="62"/>
      <c r="G80" s="62"/>
      <c r="H80" s="62"/>
      <c r="I80" s="63"/>
      <c r="J80" s="90"/>
      <c r="K80" s="130"/>
      <c r="L80" s="130"/>
      <c r="M80" s="130"/>
      <c r="N80" s="130"/>
      <c r="O80" s="93"/>
      <c r="P80" s="62"/>
      <c r="Q80" s="155"/>
      <c r="R80" s="127"/>
      <c r="S80" s="127"/>
      <c r="T80" s="127"/>
      <c r="U80" s="83"/>
      <c r="V80" s="62"/>
      <c r="W80"/>
      <c r="X80"/>
      <c r="Y80"/>
      <c r="Z80"/>
      <c r="AA80"/>
      <c r="AB80"/>
      <c r="AC80"/>
    </row>
    <row r="81" spans="1:29" ht="15.75" thickBot="1">
      <c r="J81" s="90"/>
      <c r="K81" s="130"/>
      <c r="L81" s="130"/>
      <c r="M81" s="130"/>
      <c r="N81" s="130"/>
      <c r="O81" s="93"/>
      <c r="P81" s="147"/>
      <c r="Q81" s="160"/>
      <c r="R81" s="145"/>
      <c r="S81" s="145"/>
      <c r="T81" s="145"/>
      <c r="U81" s="146"/>
      <c r="V81" s="147"/>
    </row>
    <row r="82" spans="1:29" ht="15.75" thickBot="1">
      <c r="J82" s="148"/>
      <c r="K82" s="149"/>
      <c r="L82" s="149"/>
      <c r="M82" s="149"/>
      <c r="N82" s="149"/>
      <c r="O82" s="150"/>
      <c r="P82" s="62"/>
      <c r="Q82" s="155"/>
      <c r="R82" s="127"/>
      <c r="S82" s="127"/>
      <c r="T82" s="127"/>
      <c r="U82" s="83"/>
      <c r="V82" s="62"/>
    </row>
    <row r="83" spans="1:29" s="89" customFormat="1">
      <c r="A83"/>
      <c r="B83" s="61"/>
      <c r="C83" s="62"/>
      <c r="D83" s="62"/>
      <c r="E83" s="62"/>
      <c r="F83" s="62"/>
      <c r="G83" s="62"/>
      <c r="H83" s="62"/>
      <c r="I83" s="63"/>
      <c r="J83" s="90"/>
      <c r="K83" s="130"/>
      <c r="L83" s="130"/>
      <c r="M83" s="130"/>
      <c r="N83" s="130"/>
      <c r="O83" s="93"/>
      <c r="P83" s="62"/>
      <c r="Q83" s="155"/>
      <c r="R83" s="127"/>
      <c r="S83" s="127"/>
      <c r="T83" s="127"/>
      <c r="U83" s="83"/>
      <c r="V83" s="62"/>
      <c r="W83"/>
      <c r="X83"/>
      <c r="Y83"/>
      <c r="Z83"/>
      <c r="AA83"/>
      <c r="AB83"/>
      <c r="AC83"/>
    </row>
    <row r="84" spans="1:29">
      <c r="J84" s="90"/>
      <c r="K84" s="130"/>
      <c r="L84" s="130"/>
      <c r="M84" s="130"/>
      <c r="N84" s="130"/>
      <c r="O84" s="93"/>
      <c r="P84" s="152"/>
      <c r="Q84" s="156"/>
      <c r="R84" s="131"/>
      <c r="S84" s="131"/>
      <c r="T84" s="131"/>
      <c r="U84" s="132"/>
      <c r="V84" s="152"/>
    </row>
    <row r="85" spans="1:29">
      <c r="J85" s="134"/>
      <c r="K85" s="135"/>
      <c r="L85" s="135"/>
      <c r="M85" s="135"/>
      <c r="N85" s="135"/>
      <c r="O85" s="136"/>
      <c r="P85" s="62"/>
      <c r="Q85" s="155"/>
      <c r="R85" s="127"/>
      <c r="S85" s="127"/>
      <c r="T85" s="127"/>
      <c r="U85" s="83"/>
      <c r="V85" s="62"/>
    </row>
    <row r="86" spans="1:29" s="89" customFormat="1">
      <c r="A86"/>
      <c r="B86" s="61"/>
      <c r="C86" s="62"/>
      <c r="D86" s="62"/>
      <c r="E86" s="62"/>
      <c r="F86" s="62"/>
      <c r="G86" s="62"/>
      <c r="H86" s="62"/>
      <c r="I86" s="63"/>
      <c r="J86" s="90"/>
      <c r="K86" s="130"/>
      <c r="L86" s="130"/>
      <c r="M86" s="130"/>
      <c r="N86" s="130"/>
      <c r="O86" s="93"/>
      <c r="P86" s="62"/>
      <c r="Q86" s="155"/>
      <c r="R86" s="127"/>
      <c r="S86" s="127"/>
      <c r="T86" s="127"/>
      <c r="U86" s="83"/>
      <c r="V86" s="62"/>
      <c r="W86"/>
      <c r="X86"/>
      <c r="Y86"/>
      <c r="Z86"/>
      <c r="AA86"/>
      <c r="AB86"/>
      <c r="AC86"/>
    </row>
    <row r="87" spans="1:29">
      <c r="J87" s="90"/>
      <c r="K87" s="130"/>
      <c r="L87" s="130"/>
      <c r="M87" s="130"/>
      <c r="N87" s="130"/>
      <c r="O87" s="93"/>
      <c r="P87" s="152"/>
      <c r="Q87" s="156"/>
      <c r="R87" s="131"/>
      <c r="S87" s="131"/>
      <c r="T87" s="131"/>
      <c r="U87" s="132"/>
      <c r="V87" s="152"/>
    </row>
    <row r="88" spans="1:29">
      <c r="J88" s="134"/>
      <c r="K88" s="135"/>
      <c r="L88" s="135"/>
      <c r="M88" s="135"/>
      <c r="N88" s="135"/>
      <c r="O88" s="136"/>
      <c r="P88" s="62"/>
      <c r="Q88" s="155"/>
      <c r="R88" s="127"/>
      <c r="S88" s="127"/>
      <c r="T88" s="127"/>
      <c r="U88" s="83"/>
      <c r="V88" s="62"/>
    </row>
    <row r="89" spans="1:29" s="103" customFormat="1" ht="15.75" thickBot="1">
      <c r="A89"/>
      <c r="B89" s="61"/>
      <c r="C89" s="62"/>
      <c r="D89" s="62"/>
      <c r="E89" s="62"/>
      <c r="F89" s="62"/>
      <c r="G89" s="62"/>
      <c r="H89" s="62"/>
      <c r="I89" s="63"/>
      <c r="J89" s="90"/>
      <c r="K89" s="130"/>
      <c r="L89" s="130"/>
      <c r="M89" s="130"/>
      <c r="N89" s="130"/>
      <c r="O89" s="93"/>
      <c r="P89" s="62"/>
      <c r="Q89" s="155"/>
      <c r="R89" s="127"/>
      <c r="S89" s="127"/>
      <c r="T89" s="127"/>
      <c r="U89" s="83"/>
      <c r="V89" s="62"/>
      <c r="W89"/>
      <c r="X89"/>
      <c r="Y89"/>
      <c r="Z89"/>
      <c r="AA89"/>
      <c r="AB89"/>
      <c r="AC89"/>
    </row>
    <row r="90" spans="1:29">
      <c r="J90" s="90"/>
      <c r="K90" s="130"/>
      <c r="L90" s="130"/>
      <c r="M90" s="130"/>
      <c r="N90" s="130"/>
      <c r="O90" s="93"/>
      <c r="P90" s="152"/>
      <c r="Q90" s="156"/>
      <c r="R90" s="131"/>
      <c r="S90" s="131"/>
      <c r="T90" s="131"/>
      <c r="U90" s="132"/>
      <c r="V90" s="152"/>
    </row>
    <row r="91" spans="1:29">
      <c r="J91" s="134"/>
      <c r="K91" s="135"/>
      <c r="L91" s="135"/>
      <c r="M91" s="135"/>
      <c r="N91" s="135"/>
      <c r="O91" s="136"/>
      <c r="P91" s="62"/>
      <c r="Q91" s="155"/>
      <c r="R91" s="127"/>
      <c r="S91" s="127"/>
      <c r="T91" s="127"/>
      <c r="U91" s="83"/>
      <c r="V91" s="62"/>
    </row>
    <row r="92" spans="1:29">
      <c r="J92" s="90"/>
      <c r="K92" s="130"/>
      <c r="L92" s="130"/>
      <c r="M92" s="130"/>
      <c r="N92" s="130"/>
      <c r="O92" s="93"/>
      <c r="P92" s="62"/>
      <c r="Q92" s="155"/>
      <c r="R92" s="127"/>
      <c r="S92" s="127"/>
      <c r="T92" s="127"/>
      <c r="U92" s="83"/>
      <c r="V92" s="62"/>
    </row>
    <row r="93" spans="1:29" ht="15.75" thickBot="1">
      <c r="J93" s="90"/>
      <c r="K93" s="130"/>
      <c r="L93" s="130"/>
      <c r="M93" s="130"/>
      <c r="N93" s="130"/>
      <c r="O93" s="93"/>
      <c r="P93" s="147"/>
      <c r="Q93" s="160"/>
      <c r="R93" s="145"/>
      <c r="S93" s="145"/>
      <c r="T93" s="145"/>
      <c r="U93" s="146"/>
      <c r="V93" s="147"/>
    </row>
    <row r="94" spans="1:29" ht="15.75" thickBot="1">
      <c r="J94" s="148"/>
      <c r="K94" s="149"/>
      <c r="L94" s="149"/>
      <c r="M94" s="149"/>
      <c r="N94" s="149"/>
      <c r="O94" s="150"/>
      <c r="P94" s="62"/>
      <c r="Q94" s="155"/>
      <c r="R94" s="127"/>
      <c r="S94" s="127"/>
      <c r="T94" s="127"/>
      <c r="U94" s="83"/>
      <c r="V94" s="62"/>
    </row>
    <row r="95" spans="1:29">
      <c r="J95" s="90"/>
      <c r="K95" s="130"/>
      <c r="L95" s="130"/>
      <c r="M95" s="130"/>
      <c r="N95" s="130"/>
      <c r="O95" s="93"/>
      <c r="P95" s="62"/>
      <c r="Q95" s="155"/>
      <c r="R95" s="127"/>
      <c r="S95" s="127"/>
      <c r="T95" s="127"/>
      <c r="U95" s="83"/>
      <c r="V95" s="62"/>
    </row>
    <row r="96" spans="1:29">
      <c r="J96" s="90"/>
      <c r="K96" s="130"/>
      <c r="L96" s="130"/>
      <c r="M96" s="130"/>
      <c r="N96" s="130"/>
      <c r="O96" s="93"/>
      <c r="P96" s="152"/>
      <c r="Q96" s="156"/>
      <c r="R96" s="131"/>
      <c r="S96" s="131"/>
      <c r="T96" s="131"/>
      <c r="U96" s="132"/>
      <c r="V96" s="152"/>
    </row>
    <row r="97" spans="1:29">
      <c r="J97" s="134"/>
      <c r="K97" s="135"/>
      <c r="L97" s="135"/>
      <c r="M97" s="135"/>
      <c r="N97" s="135"/>
      <c r="O97" s="136"/>
      <c r="P97" s="62"/>
      <c r="Q97" s="155"/>
      <c r="R97" s="127"/>
      <c r="S97" s="127"/>
      <c r="T97" s="127"/>
      <c r="U97" s="83"/>
      <c r="V97" s="62"/>
    </row>
    <row r="98" spans="1:29">
      <c r="J98" s="90"/>
      <c r="K98" s="130"/>
      <c r="L98" s="130"/>
      <c r="M98" s="130"/>
      <c r="N98" s="130"/>
      <c r="O98" s="93"/>
      <c r="P98" s="62"/>
      <c r="Q98" s="155"/>
      <c r="R98" s="127"/>
      <c r="S98" s="127"/>
      <c r="T98" s="127"/>
      <c r="U98" s="83"/>
      <c r="V98" s="62"/>
    </row>
    <row r="99" spans="1:29">
      <c r="J99" s="90"/>
      <c r="K99" s="130"/>
      <c r="L99" s="130"/>
      <c r="M99" s="130"/>
      <c r="N99" s="130"/>
      <c r="O99" s="93"/>
      <c r="P99" s="152"/>
      <c r="Q99" s="156"/>
      <c r="R99" s="131"/>
      <c r="S99" s="131"/>
      <c r="T99" s="131"/>
      <c r="U99" s="132"/>
      <c r="V99" s="152"/>
    </row>
    <row r="100" spans="1:29">
      <c r="J100" s="134"/>
      <c r="K100" s="135"/>
      <c r="L100" s="135"/>
      <c r="M100" s="135"/>
      <c r="N100" s="135"/>
      <c r="O100" s="136"/>
      <c r="P100" s="62"/>
      <c r="Q100" s="155"/>
      <c r="R100" s="127"/>
      <c r="S100" s="127"/>
      <c r="T100" s="127"/>
      <c r="U100" s="83"/>
      <c r="V100" s="62"/>
    </row>
    <row r="101" spans="1:29">
      <c r="J101" s="90"/>
      <c r="K101" s="130"/>
      <c r="L101" s="130"/>
      <c r="M101" s="130"/>
      <c r="N101" s="130"/>
      <c r="O101" s="93"/>
      <c r="P101" s="62"/>
      <c r="Q101" s="155"/>
      <c r="R101" s="127"/>
      <c r="S101" s="127"/>
      <c r="T101" s="127"/>
      <c r="U101" s="83"/>
      <c r="V101" s="62"/>
    </row>
    <row r="102" spans="1:29">
      <c r="J102" s="90"/>
      <c r="K102" s="130"/>
      <c r="L102" s="130"/>
      <c r="M102" s="130"/>
      <c r="N102" s="130"/>
      <c r="O102" s="93"/>
      <c r="P102" s="152"/>
      <c r="Q102" s="156"/>
      <c r="R102" s="131"/>
      <c r="S102" s="131"/>
      <c r="T102" s="131"/>
      <c r="U102" s="132"/>
      <c r="V102" s="152"/>
    </row>
    <row r="103" spans="1:29" ht="15.75" thickBot="1">
      <c r="I103" s="161"/>
      <c r="J103" s="134"/>
      <c r="K103" s="135"/>
      <c r="L103" s="135"/>
      <c r="M103" s="135"/>
      <c r="N103" s="135"/>
      <c r="O103" s="136"/>
      <c r="P103" s="62"/>
      <c r="Q103" s="155"/>
      <c r="R103" s="127"/>
      <c r="S103" s="127"/>
      <c r="T103" s="127"/>
      <c r="U103" s="83"/>
      <c r="V103" s="62"/>
    </row>
    <row r="104" spans="1:29" ht="15.75" thickBot="1">
      <c r="A104" s="103"/>
      <c r="B104" s="162"/>
      <c r="C104" s="147"/>
      <c r="D104" s="147"/>
      <c r="E104" s="147"/>
      <c r="F104" s="147"/>
      <c r="G104" s="147"/>
      <c r="H104" s="147"/>
      <c r="J104" s="90"/>
      <c r="K104" s="130"/>
      <c r="L104" s="130"/>
      <c r="M104" s="130"/>
      <c r="N104" s="130"/>
      <c r="O104" s="93"/>
      <c r="P104" s="62"/>
      <c r="Q104" s="155"/>
      <c r="R104" s="127"/>
      <c r="S104" s="127"/>
      <c r="T104" s="127"/>
      <c r="U104" s="83"/>
      <c r="V104" s="62"/>
    </row>
    <row r="105" spans="1:29" ht="15.75" thickBot="1">
      <c r="J105" s="90"/>
      <c r="K105" s="130"/>
      <c r="L105" s="130"/>
      <c r="M105" s="130"/>
      <c r="N105" s="130"/>
      <c r="O105" s="93"/>
      <c r="P105" s="147"/>
      <c r="Q105" s="160"/>
      <c r="R105" s="145"/>
      <c r="S105" s="145"/>
      <c r="T105" s="145"/>
      <c r="U105" s="146"/>
      <c r="V105" s="147"/>
    </row>
    <row r="106" spans="1:29" ht="15.75" thickBot="1">
      <c r="J106" s="148"/>
      <c r="K106" s="149"/>
      <c r="L106" s="149"/>
      <c r="M106" s="149"/>
      <c r="N106" s="149"/>
      <c r="O106" s="150"/>
      <c r="P106" s="62"/>
      <c r="Q106" s="155"/>
      <c r="R106" s="127"/>
      <c r="S106" s="127"/>
      <c r="T106" s="127"/>
      <c r="U106" s="83"/>
      <c r="V106" s="62"/>
    </row>
    <row r="107" spans="1:29">
      <c r="J107" s="90"/>
      <c r="K107" s="130"/>
      <c r="L107" s="130"/>
      <c r="M107" s="130"/>
      <c r="N107" s="130"/>
      <c r="O107" s="93"/>
      <c r="P107" s="62"/>
      <c r="Q107" s="155"/>
      <c r="R107" s="127"/>
      <c r="S107" s="127"/>
      <c r="T107" s="127"/>
      <c r="U107" s="83"/>
      <c r="V107" s="62"/>
    </row>
    <row r="108" spans="1:29" s="103" customFormat="1" ht="15.75" thickBot="1">
      <c r="A108"/>
      <c r="B108" s="61"/>
      <c r="C108" s="62"/>
      <c r="D108" s="62"/>
      <c r="E108" s="62"/>
      <c r="F108" s="62"/>
      <c r="G108" s="62"/>
      <c r="H108" s="62"/>
      <c r="I108" s="63"/>
      <c r="J108" s="90"/>
      <c r="K108" s="130"/>
      <c r="L108" s="130"/>
      <c r="M108" s="130"/>
      <c r="N108" s="130"/>
      <c r="O108" s="93"/>
      <c r="P108" s="152"/>
      <c r="Q108" s="156"/>
      <c r="R108" s="131"/>
      <c r="S108" s="131"/>
      <c r="T108" s="131"/>
      <c r="U108" s="132"/>
      <c r="V108" s="152"/>
      <c r="W108"/>
      <c r="X108"/>
      <c r="Y108"/>
      <c r="Z108"/>
      <c r="AA108"/>
      <c r="AB108"/>
      <c r="AC108"/>
    </row>
    <row r="109" spans="1:29">
      <c r="J109" s="134"/>
      <c r="K109" s="135"/>
      <c r="L109" s="135"/>
      <c r="M109" s="135"/>
      <c r="N109" s="135"/>
      <c r="O109" s="136"/>
      <c r="P109" s="62"/>
      <c r="Q109" s="155"/>
      <c r="R109" s="127"/>
      <c r="S109" s="127"/>
      <c r="T109" s="127"/>
      <c r="U109" s="83"/>
      <c r="V109" s="62"/>
    </row>
    <row r="110" spans="1:29">
      <c r="J110" s="90"/>
      <c r="K110" s="130"/>
      <c r="L110" s="130"/>
      <c r="M110" s="130"/>
      <c r="N110" s="130"/>
      <c r="O110" s="93"/>
      <c r="P110" s="62"/>
      <c r="Q110" s="155"/>
      <c r="R110" s="127"/>
      <c r="S110" s="127"/>
      <c r="T110" s="127"/>
      <c r="U110" s="83"/>
      <c r="V110" s="62"/>
    </row>
    <row r="111" spans="1:29">
      <c r="J111" s="90"/>
      <c r="K111" s="130"/>
      <c r="L111" s="130"/>
      <c r="M111" s="130"/>
      <c r="N111" s="130"/>
      <c r="O111" s="93"/>
      <c r="P111" s="152"/>
      <c r="Q111" s="156"/>
      <c r="R111" s="131"/>
      <c r="S111" s="131"/>
      <c r="T111" s="131"/>
      <c r="U111" s="132"/>
      <c r="V111" s="152"/>
    </row>
    <row r="112" spans="1:29">
      <c r="J112" s="134"/>
      <c r="K112" s="135"/>
      <c r="L112" s="135"/>
      <c r="M112" s="135"/>
      <c r="N112" s="135"/>
      <c r="O112" s="136"/>
      <c r="P112" s="62"/>
      <c r="Q112" s="155"/>
      <c r="R112" s="127"/>
      <c r="S112" s="127"/>
      <c r="T112" s="127"/>
      <c r="U112" s="83"/>
      <c r="V112" s="62"/>
    </row>
    <row r="113" spans="1:29">
      <c r="J113" s="90"/>
      <c r="K113" s="130"/>
      <c r="L113" s="130"/>
      <c r="M113" s="130"/>
      <c r="N113" s="130"/>
      <c r="O113" s="93"/>
      <c r="P113" s="62"/>
      <c r="Q113" s="155"/>
      <c r="R113" s="127"/>
      <c r="S113" s="127"/>
      <c r="T113" s="127"/>
      <c r="U113" s="83"/>
      <c r="V113" s="62"/>
    </row>
    <row r="114" spans="1:29">
      <c r="J114" s="90"/>
      <c r="K114" s="130"/>
      <c r="L114" s="130"/>
      <c r="M114" s="130"/>
      <c r="N114" s="130"/>
      <c r="O114" s="93"/>
      <c r="P114" s="152"/>
      <c r="Q114" s="156"/>
      <c r="R114" s="131"/>
      <c r="S114" s="131"/>
      <c r="T114" s="131"/>
      <c r="U114" s="132"/>
      <c r="V114" s="152"/>
    </row>
    <row r="115" spans="1:29">
      <c r="J115" s="134"/>
      <c r="K115" s="135"/>
      <c r="L115" s="135"/>
      <c r="M115" s="135"/>
      <c r="N115" s="135"/>
      <c r="O115" s="136"/>
      <c r="P115" s="62"/>
      <c r="Q115" s="155"/>
      <c r="R115" s="127"/>
      <c r="S115" s="127"/>
      <c r="T115" s="127"/>
      <c r="U115" s="83"/>
      <c r="V115" s="62"/>
    </row>
    <row r="116" spans="1:29">
      <c r="J116" s="90"/>
      <c r="K116" s="130"/>
      <c r="L116" s="130"/>
      <c r="M116" s="130"/>
      <c r="N116" s="130"/>
      <c r="O116" s="93"/>
      <c r="P116" s="62"/>
      <c r="Q116" s="155"/>
      <c r="R116" s="127"/>
      <c r="S116" s="127"/>
      <c r="T116" s="127"/>
      <c r="U116" s="83"/>
      <c r="V116" s="62"/>
    </row>
    <row r="117" spans="1:29" ht="15.75" thickBot="1">
      <c r="J117" s="90"/>
      <c r="K117" s="130"/>
      <c r="L117" s="130"/>
      <c r="M117" s="130"/>
      <c r="N117" s="130"/>
      <c r="O117" s="93"/>
      <c r="P117" s="147"/>
      <c r="Q117" s="160"/>
      <c r="R117" s="145"/>
      <c r="S117" s="145"/>
      <c r="T117" s="145"/>
      <c r="U117" s="146"/>
      <c r="V117" s="147"/>
    </row>
    <row r="118" spans="1:29" ht="15.75" thickBot="1">
      <c r="J118" s="148"/>
      <c r="K118" s="149"/>
      <c r="L118" s="149"/>
      <c r="M118" s="149"/>
      <c r="N118" s="149"/>
      <c r="O118" s="150"/>
      <c r="P118" s="62"/>
      <c r="Q118" s="155"/>
      <c r="R118" s="127"/>
      <c r="S118" s="127"/>
      <c r="T118" s="127"/>
      <c r="U118" s="83"/>
      <c r="V118" s="62"/>
    </row>
    <row r="119" spans="1:29">
      <c r="J119" s="90"/>
      <c r="K119" s="130"/>
      <c r="L119" s="130"/>
      <c r="M119" s="130"/>
      <c r="N119" s="130"/>
      <c r="O119" s="93"/>
      <c r="P119" s="62"/>
      <c r="Q119" s="155"/>
      <c r="R119" s="127"/>
      <c r="S119" s="127"/>
      <c r="T119" s="127"/>
      <c r="U119" s="83"/>
      <c r="V119" s="62"/>
    </row>
    <row r="120" spans="1:29" s="103" customFormat="1" ht="15.75" thickBot="1">
      <c r="A120"/>
      <c r="B120" s="61"/>
      <c r="C120" s="62"/>
      <c r="D120" s="62"/>
      <c r="E120" s="62"/>
      <c r="F120" s="62"/>
      <c r="G120" s="62"/>
      <c r="H120" s="62"/>
      <c r="I120" s="63"/>
      <c r="J120" s="90"/>
      <c r="K120" s="130"/>
      <c r="L120" s="130"/>
      <c r="M120" s="130"/>
      <c r="N120" s="130"/>
      <c r="O120" s="93"/>
      <c r="P120" s="152"/>
      <c r="Q120" s="156"/>
      <c r="R120" s="131"/>
      <c r="S120" s="131"/>
      <c r="T120" s="131"/>
      <c r="U120" s="132"/>
      <c r="V120" s="152"/>
      <c r="W120"/>
      <c r="X120"/>
      <c r="Y120"/>
      <c r="Z120"/>
      <c r="AA120"/>
      <c r="AB120"/>
      <c r="AC120"/>
    </row>
    <row r="121" spans="1:29">
      <c r="J121" s="134"/>
      <c r="K121" s="135"/>
      <c r="L121" s="135"/>
      <c r="M121" s="135"/>
      <c r="N121" s="135"/>
      <c r="O121" s="136"/>
      <c r="P121" s="62"/>
      <c r="Q121" s="155"/>
      <c r="R121" s="127"/>
      <c r="S121" s="127"/>
      <c r="T121" s="127"/>
      <c r="U121" s="83"/>
      <c r="V121" s="62"/>
    </row>
    <row r="122" spans="1:29">
      <c r="J122" s="90"/>
      <c r="K122" s="130"/>
      <c r="L122" s="130"/>
      <c r="M122" s="130"/>
      <c r="N122" s="130"/>
      <c r="O122" s="93"/>
      <c r="P122" s="62"/>
      <c r="Q122" s="155"/>
      <c r="R122" s="127"/>
      <c r="S122" s="127"/>
      <c r="T122" s="127"/>
      <c r="U122" s="83"/>
      <c r="V122" s="62"/>
    </row>
    <row r="123" spans="1:29" s="103" customFormat="1" ht="15.75" thickBot="1">
      <c r="A123"/>
      <c r="B123" s="61"/>
      <c r="C123" s="62"/>
      <c r="D123" s="62"/>
      <c r="E123" s="62"/>
      <c r="F123" s="62"/>
      <c r="G123" s="62"/>
      <c r="H123" s="62"/>
      <c r="I123" s="63"/>
      <c r="J123" s="90"/>
      <c r="K123" s="130"/>
      <c r="L123" s="130"/>
      <c r="M123" s="130"/>
      <c r="N123" s="130"/>
      <c r="O123" s="93"/>
      <c r="P123" s="152"/>
      <c r="Q123" s="156"/>
      <c r="R123" s="131"/>
      <c r="S123" s="131"/>
      <c r="T123" s="131"/>
      <c r="U123" s="132"/>
      <c r="V123" s="152"/>
      <c r="W123"/>
      <c r="X123"/>
      <c r="Y123"/>
      <c r="Z123"/>
      <c r="AA123"/>
      <c r="AB123"/>
      <c r="AC123"/>
    </row>
    <row r="124" spans="1:29">
      <c r="J124" s="134"/>
      <c r="K124" s="135"/>
      <c r="L124" s="135"/>
      <c r="M124" s="135"/>
      <c r="N124" s="135"/>
      <c r="O124" s="136"/>
      <c r="P124" s="62"/>
      <c r="Q124" s="155"/>
      <c r="R124" s="127"/>
      <c r="S124" s="127"/>
      <c r="T124" s="127"/>
      <c r="U124" s="83"/>
      <c r="V124" s="62"/>
    </row>
    <row r="125" spans="1:29">
      <c r="J125" s="90"/>
      <c r="K125" s="130"/>
      <c r="L125" s="130"/>
      <c r="M125" s="130"/>
      <c r="N125" s="130"/>
      <c r="O125" s="93"/>
      <c r="P125" s="62"/>
      <c r="Q125" s="155"/>
      <c r="R125" s="127"/>
      <c r="S125" s="127"/>
      <c r="T125" s="127"/>
      <c r="U125" s="83"/>
      <c r="V125" s="62"/>
    </row>
    <row r="126" spans="1:29">
      <c r="J126" s="90"/>
      <c r="K126" s="130"/>
      <c r="L126" s="130"/>
      <c r="M126" s="130"/>
      <c r="N126" s="130"/>
      <c r="O126" s="93"/>
      <c r="P126" s="152"/>
      <c r="Q126" s="156"/>
      <c r="R126" s="131"/>
      <c r="S126" s="131"/>
      <c r="T126" s="131"/>
      <c r="U126" s="132"/>
      <c r="V126" s="152"/>
    </row>
    <row r="127" spans="1:29">
      <c r="J127" s="134"/>
      <c r="K127" s="135"/>
      <c r="L127" s="135"/>
      <c r="M127" s="135"/>
      <c r="N127" s="135"/>
      <c r="O127" s="136"/>
      <c r="P127" s="62"/>
      <c r="Q127" s="155"/>
      <c r="R127" s="127"/>
      <c r="S127" s="127"/>
      <c r="T127" s="127"/>
      <c r="U127" s="83"/>
      <c r="V127" s="62"/>
    </row>
    <row r="128" spans="1:29">
      <c r="J128" s="90"/>
      <c r="K128" s="130"/>
      <c r="L128" s="130"/>
      <c r="M128" s="130"/>
      <c r="N128" s="130"/>
      <c r="O128" s="93"/>
      <c r="P128" s="62"/>
      <c r="Q128" s="155"/>
      <c r="R128" s="127"/>
      <c r="S128" s="127"/>
      <c r="T128" s="127"/>
      <c r="U128" s="83"/>
      <c r="V128" s="62"/>
    </row>
    <row r="129" spans="1:29" s="103" customFormat="1" ht="15.75" thickBot="1">
      <c r="A129"/>
      <c r="B129" s="61"/>
      <c r="C129" s="62"/>
      <c r="D129" s="62"/>
      <c r="E129" s="62"/>
      <c r="F129" s="62"/>
      <c r="G129" s="62"/>
      <c r="H129" s="62"/>
      <c r="I129" s="63"/>
      <c r="J129" s="90"/>
      <c r="K129" s="130"/>
      <c r="L129" s="130"/>
      <c r="M129" s="130"/>
      <c r="N129" s="130"/>
      <c r="O129" s="93"/>
      <c r="P129" s="152"/>
      <c r="Q129" s="156"/>
      <c r="R129" s="131"/>
      <c r="S129" s="131"/>
      <c r="T129" s="131"/>
      <c r="U129" s="132"/>
      <c r="V129" s="152"/>
      <c r="W129"/>
      <c r="X129"/>
      <c r="Y129"/>
      <c r="Z129"/>
      <c r="AA129"/>
      <c r="AB129"/>
      <c r="AC129"/>
    </row>
    <row r="130" spans="1:29">
      <c r="J130" s="134"/>
      <c r="K130" s="135"/>
      <c r="L130" s="135"/>
      <c r="M130" s="135"/>
      <c r="N130" s="135"/>
      <c r="O130" s="136"/>
      <c r="P130" s="62"/>
      <c r="Q130" s="155"/>
      <c r="R130" s="127"/>
      <c r="S130" s="127"/>
      <c r="T130" s="127"/>
      <c r="U130" s="88"/>
      <c r="V130" s="62"/>
    </row>
    <row r="131" spans="1:29">
      <c r="J131" s="90"/>
      <c r="K131" s="163"/>
      <c r="L131" s="163"/>
      <c r="M131" s="163"/>
      <c r="N131" s="163"/>
      <c r="O131" s="93"/>
      <c r="P131" s="62"/>
      <c r="Q131" s="155"/>
      <c r="R131" s="127"/>
      <c r="S131" s="127"/>
      <c r="T131" s="127"/>
      <c r="U131" s="88"/>
      <c r="V131" s="62"/>
    </row>
    <row r="132" spans="1:29" ht="15.75" thickBot="1">
      <c r="J132" s="90"/>
      <c r="K132" s="163"/>
      <c r="L132" s="163"/>
      <c r="M132" s="163"/>
      <c r="N132" s="163"/>
      <c r="O132" s="93"/>
      <c r="P132" s="147"/>
      <c r="Q132" s="160"/>
      <c r="R132" s="145"/>
      <c r="S132" s="145"/>
      <c r="T132" s="145"/>
      <c r="U132" s="164"/>
      <c r="V132" s="147"/>
    </row>
    <row r="133" spans="1:29" ht="15.75" thickBot="1">
      <c r="J133" s="148"/>
      <c r="K133" s="165"/>
      <c r="L133" s="165"/>
      <c r="M133" s="165"/>
      <c r="N133" s="165"/>
      <c r="O133" s="150"/>
      <c r="P133" s="62"/>
      <c r="Q133" s="155"/>
      <c r="R133" s="127"/>
      <c r="S133" s="127"/>
      <c r="T133" s="127"/>
      <c r="U133" s="88"/>
      <c r="V133" s="62"/>
    </row>
    <row r="134" spans="1:29">
      <c r="J134" s="90"/>
      <c r="K134" s="163"/>
      <c r="L134" s="163"/>
      <c r="M134" s="163"/>
      <c r="N134" s="163"/>
      <c r="O134" s="93"/>
      <c r="P134" s="62"/>
      <c r="Q134" s="155"/>
      <c r="R134" s="127"/>
      <c r="S134" s="127"/>
      <c r="T134" s="127"/>
      <c r="U134" s="88"/>
      <c r="V134" s="62"/>
    </row>
    <row r="135" spans="1:29" ht="15.75" thickBot="1">
      <c r="J135" s="90"/>
      <c r="K135" s="163"/>
      <c r="L135" s="163"/>
      <c r="M135" s="163"/>
      <c r="N135" s="163"/>
      <c r="O135" s="93"/>
      <c r="P135" s="62"/>
      <c r="Q135" s="155"/>
      <c r="R135" s="145"/>
      <c r="S135" s="145"/>
      <c r="T135" s="145"/>
      <c r="U135" s="164"/>
      <c r="V135" s="62"/>
    </row>
    <row r="136" spans="1:29" ht="15.75" thickBot="1">
      <c r="J136" s="148"/>
      <c r="K136" s="165"/>
      <c r="L136" s="165"/>
      <c r="M136" s="165"/>
      <c r="N136" s="165"/>
      <c r="O136" s="150"/>
      <c r="P136" s="62"/>
      <c r="Q136" s="155"/>
      <c r="R136" s="127"/>
      <c r="S136" s="127"/>
      <c r="T136" s="127"/>
      <c r="U136" s="88"/>
      <c r="V136" s="62"/>
    </row>
    <row r="137" spans="1:29">
      <c r="J137" s="90"/>
      <c r="K137" s="163"/>
      <c r="L137" s="163"/>
      <c r="M137" s="163"/>
      <c r="N137" s="163"/>
      <c r="O137" s="93"/>
      <c r="P137" s="62"/>
      <c r="Q137" s="155"/>
      <c r="R137" s="127"/>
      <c r="S137" s="127"/>
      <c r="T137" s="127"/>
      <c r="U137" s="88"/>
      <c r="V137" s="62"/>
    </row>
    <row r="138" spans="1:29" ht="15.75" thickBot="1">
      <c r="J138" s="90"/>
      <c r="K138" s="163"/>
      <c r="L138" s="163"/>
      <c r="M138" s="163"/>
      <c r="N138" s="163"/>
      <c r="O138" s="93"/>
      <c r="P138" s="147"/>
      <c r="Q138" s="160"/>
      <c r="R138" s="145"/>
      <c r="S138" s="145"/>
      <c r="T138" s="145"/>
      <c r="U138" s="164"/>
      <c r="V138" s="147"/>
    </row>
    <row r="139" spans="1:29" ht="15.75" thickBot="1">
      <c r="J139" s="148"/>
      <c r="K139" s="165"/>
      <c r="L139" s="165"/>
      <c r="M139" s="165"/>
      <c r="N139" s="165"/>
      <c r="O139" s="150"/>
      <c r="P139" s="166"/>
      <c r="Q139" s="166"/>
      <c r="R139" s="127"/>
      <c r="S139" s="127"/>
      <c r="T139" s="127"/>
      <c r="U139" s="127"/>
      <c r="V139"/>
    </row>
    <row r="140" spans="1:29">
      <c r="J140" s="167"/>
      <c r="K140" s="168"/>
      <c r="L140" s="168"/>
      <c r="M140" s="168"/>
      <c r="N140" s="168"/>
      <c r="O140" s="169"/>
      <c r="P140" s="166"/>
      <c r="Q140" s="166"/>
      <c r="R140" s="127"/>
      <c r="S140" s="127"/>
      <c r="T140" s="127"/>
      <c r="U140" s="127"/>
      <c r="V140"/>
    </row>
    <row r="141" spans="1:29">
      <c r="J141" s="167"/>
      <c r="K141" s="168"/>
      <c r="L141" s="168"/>
      <c r="M141" s="168"/>
      <c r="N141" s="168"/>
      <c r="O141" s="169"/>
      <c r="P141" s="166"/>
      <c r="Q141" s="166"/>
      <c r="R141" s="127"/>
      <c r="S141" s="127"/>
      <c r="T141" s="127"/>
      <c r="U141" s="127"/>
      <c r="V141"/>
    </row>
    <row r="142" spans="1:29">
      <c r="J142" s="167"/>
      <c r="K142" s="168"/>
      <c r="L142" s="168"/>
      <c r="M142" s="168"/>
      <c r="N142" s="168"/>
      <c r="O142" s="169"/>
      <c r="P142" s="166"/>
      <c r="Q142" s="166"/>
      <c r="R142" s="127"/>
      <c r="S142" s="127"/>
      <c r="T142" s="127"/>
      <c r="U142" s="127"/>
      <c r="V142"/>
    </row>
    <row r="143" spans="1:29">
      <c r="J143" s="167"/>
      <c r="K143" s="168"/>
      <c r="L143" s="168"/>
      <c r="M143" s="168"/>
      <c r="N143" s="168"/>
      <c r="O143" s="169"/>
      <c r="P143" s="166"/>
      <c r="Q143" s="166"/>
      <c r="R143" s="127"/>
      <c r="S143" s="127"/>
      <c r="T143" s="127"/>
      <c r="U143" s="127"/>
      <c r="V143"/>
    </row>
    <row r="144" spans="1:29">
      <c r="J144" s="167"/>
      <c r="K144" s="168"/>
      <c r="L144" s="168"/>
      <c r="M144" s="168"/>
      <c r="N144" s="168"/>
      <c r="O144" s="169"/>
      <c r="P144" s="166"/>
      <c r="Q144" s="166"/>
      <c r="R144" s="127"/>
      <c r="S144" s="127"/>
      <c r="T144" s="127"/>
      <c r="U144" s="127"/>
      <c r="V144"/>
    </row>
    <row r="145" spans="10:22">
      <c r="J145" s="167"/>
      <c r="K145" s="168"/>
      <c r="L145" s="168"/>
      <c r="M145" s="168"/>
      <c r="N145" s="168"/>
      <c r="O145" s="169"/>
      <c r="P145" s="166"/>
      <c r="Q145" s="166"/>
      <c r="R145" s="127"/>
      <c r="S145" s="127"/>
      <c r="T145" s="127"/>
      <c r="U145" s="127"/>
      <c r="V145"/>
    </row>
    <row r="146" spans="10:22">
      <c r="J146" s="167"/>
      <c r="K146" s="168"/>
      <c r="L146" s="168"/>
      <c r="M146" s="168"/>
      <c r="N146" s="168"/>
      <c r="O146" s="169"/>
      <c r="P146" s="166"/>
      <c r="Q146" s="166"/>
      <c r="R146" s="127"/>
      <c r="S146" s="127"/>
      <c r="T146" s="127"/>
      <c r="U146" s="127"/>
      <c r="V146"/>
    </row>
    <row r="147" spans="10:22">
      <c r="J147" s="167"/>
      <c r="K147" s="168"/>
      <c r="L147" s="168"/>
      <c r="M147" s="168"/>
      <c r="N147" s="168"/>
      <c r="O147" s="169"/>
      <c r="P147" s="166"/>
      <c r="Q147" s="166"/>
      <c r="R147" s="127"/>
      <c r="S147" s="127"/>
      <c r="T147" s="127"/>
      <c r="U147" s="127"/>
      <c r="V147"/>
    </row>
    <row r="148" spans="10:22">
      <c r="J148" s="167"/>
      <c r="K148" s="168"/>
      <c r="L148" s="168"/>
      <c r="M148" s="168"/>
      <c r="N148" s="168"/>
      <c r="O148" s="169"/>
      <c r="P148" s="166"/>
      <c r="Q148" s="166"/>
      <c r="R148" s="127"/>
      <c r="S148" s="127"/>
      <c r="T148" s="127"/>
      <c r="U148" s="127"/>
      <c r="V148"/>
    </row>
    <row r="149" spans="10:22">
      <c r="J149" s="167"/>
      <c r="K149" s="168"/>
      <c r="L149" s="168"/>
      <c r="M149" s="168"/>
      <c r="N149" s="168"/>
      <c r="O149" s="169"/>
      <c r="P149" s="166"/>
      <c r="Q149" s="166"/>
      <c r="R149" s="127"/>
      <c r="S149" s="127"/>
      <c r="T149" s="127"/>
      <c r="U149" s="127"/>
      <c r="V149"/>
    </row>
    <row r="150" spans="10:22">
      <c r="J150" s="167"/>
      <c r="K150" s="168"/>
      <c r="L150" s="168"/>
      <c r="M150" s="168"/>
      <c r="N150" s="168"/>
      <c r="O150" s="169"/>
      <c r="P150" s="166"/>
      <c r="Q150" s="166"/>
      <c r="R150" s="127"/>
      <c r="S150" s="127"/>
      <c r="T150" s="127"/>
      <c r="U150" s="127"/>
      <c r="V150"/>
    </row>
    <row r="151" spans="10:22">
      <c r="J151" s="167"/>
      <c r="K151" s="168"/>
      <c r="L151" s="168"/>
      <c r="M151" s="168"/>
      <c r="N151" s="168"/>
      <c r="O151" s="169"/>
      <c r="P151" s="166"/>
      <c r="Q151" s="166"/>
      <c r="R151" s="127"/>
      <c r="S151" s="127"/>
      <c r="T151" s="127"/>
      <c r="U151" s="127"/>
      <c r="V151"/>
    </row>
    <row r="152" spans="10:22">
      <c r="J152" s="167"/>
      <c r="K152" s="168"/>
      <c r="L152" s="168"/>
      <c r="M152" s="168"/>
      <c r="N152" s="168"/>
      <c r="O152" s="169"/>
      <c r="P152" s="166"/>
      <c r="Q152" s="166"/>
      <c r="R152" s="127"/>
      <c r="S152" s="127"/>
      <c r="T152" s="127"/>
      <c r="U152" s="127"/>
      <c r="V152"/>
    </row>
    <row r="153" spans="10:22">
      <c r="J153" s="167"/>
      <c r="K153" s="168"/>
      <c r="L153" s="168"/>
      <c r="M153" s="168"/>
      <c r="N153" s="168"/>
      <c r="O153" s="169"/>
      <c r="P153" s="166"/>
      <c r="Q153" s="166"/>
      <c r="R153" s="127"/>
      <c r="S153" s="127"/>
      <c r="T153" s="127"/>
      <c r="U153" s="127"/>
      <c r="V153"/>
    </row>
    <row r="154" spans="10:22">
      <c r="J154" s="167"/>
      <c r="K154" s="168"/>
      <c r="L154" s="168"/>
      <c r="M154" s="168"/>
      <c r="N154" s="168"/>
      <c r="O154" s="169"/>
      <c r="P154" s="166"/>
      <c r="Q154" s="166"/>
      <c r="R154" s="127"/>
      <c r="S154" s="127"/>
      <c r="T154" s="127"/>
      <c r="U154" s="127"/>
      <c r="V154"/>
    </row>
    <row r="155" spans="10:22">
      <c r="J155" s="167"/>
      <c r="K155" s="168"/>
      <c r="L155" s="168"/>
      <c r="M155" s="168"/>
      <c r="N155" s="168"/>
      <c r="O155" s="169"/>
      <c r="P155" s="166"/>
      <c r="Q155" s="166"/>
      <c r="R155" s="127"/>
      <c r="S155" s="127"/>
      <c r="T155" s="127"/>
      <c r="U155" s="127"/>
      <c r="V155"/>
    </row>
    <row r="156" spans="10:22">
      <c r="J156" s="167"/>
      <c r="K156" s="168"/>
      <c r="L156" s="168"/>
      <c r="M156" s="168"/>
      <c r="N156" s="168"/>
      <c r="O156" s="169"/>
      <c r="P156" s="166"/>
      <c r="Q156" s="166"/>
      <c r="R156" s="127"/>
      <c r="S156" s="127"/>
      <c r="T156" s="127"/>
      <c r="U156" s="127"/>
      <c r="V156"/>
    </row>
    <row r="157" spans="10:22">
      <c r="J157" s="167"/>
      <c r="K157" s="168"/>
      <c r="L157" s="168"/>
      <c r="M157" s="168"/>
      <c r="N157" s="168"/>
      <c r="O157" s="169"/>
      <c r="P157" s="166"/>
      <c r="Q157" s="166"/>
      <c r="R157" s="127"/>
      <c r="S157" s="127"/>
      <c r="T157" s="127"/>
      <c r="U157" s="127"/>
      <c r="V157"/>
    </row>
    <row r="158" spans="10:22">
      <c r="J158" s="167"/>
      <c r="K158" s="168"/>
      <c r="L158" s="168"/>
      <c r="M158" s="168"/>
      <c r="N158" s="168"/>
      <c r="O158" s="169"/>
      <c r="P158" s="166"/>
      <c r="Q158" s="166"/>
      <c r="R158" s="127"/>
      <c r="S158" s="127"/>
      <c r="T158" s="127"/>
      <c r="U158" s="127"/>
      <c r="V158"/>
    </row>
    <row r="159" spans="10:22">
      <c r="J159" s="167"/>
      <c r="K159" s="168"/>
      <c r="L159" s="168"/>
      <c r="M159" s="168"/>
      <c r="N159" s="168"/>
      <c r="O159" s="169"/>
      <c r="P159" s="166"/>
      <c r="Q159" s="166"/>
      <c r="R159" s="127"/>
      <c r="S159" s="127"/>
      <c r="T159" s="127"/>
      <c r="U159" s="127"/>
      <c r="V159"/>
    </row>
    <row r="160" spans="10:22">
      <c r="J160" s="167"/>
      <c r="K160" s="168"/>
      <c r="L160" s="168"/>
      <c r="M160" s="168"/>
      <c r="N160" s="168"/>
      <c r="O160" s="169"/>
      <c r="P160" s="166"/>
      <c r="Q160" s="166"/>
      <c r="R160" s="127"/>
      <c r="S160" s="127"/>
      <c r="T160" s="127"/>
      <c r="U160" s="127"/>
      <c r="V160"/>
    </row>
    <row r="161" spans="10:22">
      <c r="J161" s="167"/>
      <c r="K161" s="168"/>
      <c r="L161" s="168"/>
      <c r="M161" s="168"/>
      <c r="N161" s="168"/>
      <c r="O161" s="169"/>
      <c r="P161" s="166"/>
      <c r="Q161" s="166"/>
      <c r="R161" s="127"/>
      <c r="S161" s="127"/>
      <c r="T161" s="127"/>
      <c r="U161" s="127"/>
      <c r="V161"/>
    </row>
    <row r="162" spans="10:22">
      <c r="J162" s="167"/>
      <c r="K162" s="168"/>
      <c r="L162" s="168"/>
      <c r="M162" s="168"/>
      <c r="N162" s="168"/>
      <c r="O162" s="169"/>
      <c r="P162" s="166"/>
      <c r="Q162" s="166"/>
      <c r="R162" s="127"/>
      <c r="S162" s="127"/>
      <c r="T162" s="127"/>
      <c r="U162" s="127"/>
      <c r="V162"/>
    </row>
    <row r="163" spans="10:22">
      <c r="J163" s="167"/>
      <c r="K163" s="168"/>
      <c r="L163" s="168"/>
      <c r="M163" s="168"/>
      <c r="N163" s="168"/>
      <c r="O163" s="169"/>
      <c r="P163" s="166"/>
      <c r="Q163" s="166"/>
      <c r="R163" s="127"/>
      <c r="S163" s="127"/>
      <c r="T163" s="127"/>
      <c r="U163" s="127"/>
      <c r="V163"/>
    </row>
    <row r="164" spans="10:22">
      <c r="J164" s="167"/>
      <c r="K164" s="168"/>
      <c r="L164" s="168"/>
      <c r="M164" s="168"/>
      <c r="N164" s="168"/>
      <c r="O164" s="169"/>
      <c r="P164" s="166"/>
      <c r="Q164" s="166"/>
      <c r="R164" s="127"/>
      <c r="S164" s="127"/>
      <c r="T164" s="127"/>
      <c r="U164" s="127"/>
      <c r="V164"/>
    </row>
    <row r="165" spans="10:22">
      <c r="J165" s="167"/>
      <c r="K165" s="168"/>
      <c r="L165" s="168"/>
      <c r="M165" s="168"/>
      <c r="N165" s="168"/>
      <c r="O165" s="169"/>
      <c r="P165" s="166"/>
      <c r="Q165" s="166"/>
      <c r="R165" s="127"/>
      <c r="S165" s="127"/>
      <c r="T165" s="127"/>
      <c r="U165" s="127"/>
      <c r="V165"/>
    </row>
    <row r="166" spans="10:22">
      <c r="J166" s="167"/>
      <c r="K166" s="168"/>
      <c r="L166" s="168"/>
      <c r="M166" s="168"/>
      <c r="N166" s="168"/>
      <c r="O166" s="169"/>
      <c r="P166" s="166"/>
      <c r="Q166" s="166"/>
      <c r="R166" s="127"/>
      <c r="S166" s="127"/>
      <c r="T166" s="127"/>
      <c r="U166" s="127"/>
      <c r="V166"/>
    </row>
    <row r="167" spans="10:22">
      <c r="J167" s="167"/>
      <c r="K167" s="168"/>
      <c r="L167" s="168"/>
      <c r="M167" s="168"/>
      <c r="N167" s="168"/>
      <c r="O167" s="169"/>
      <c r="P167" s="166"/>
      <c r="Q167" s="166"/>
      <c r="R167" s="127"/>
      <c r="S167" s="127"/>
      <c r="T167" s="127"/>
      <c r="U167" s="127"/>
      <c r="V167"/>
    </row>
    <row r="168" spans="10:22">
      <c r="J168" s="167"/>
      <c r="K168" s="168"/>
      <c r="L168" s="168"/>
      <c r="M168" s="168"/>
      <c r="N168" s="168"/>
      <c r="O168" s="169"/>
      <c r="P168" s="166"/>
      <c r="Q168" s="166"/>
      <c r="R168" s="127"/>
      <c r="S168" s="127"/>
      <c r="T168" s="127"/>
      <c r="U168" s="127"/>
      <c r="V168"/>
    </row>
    <row r="169" spans="10:22">
      <c r="J169" s="167"/>
      <c r="K169" s="168"/>
      <c r="L169" s="168"/>
      <c r="M169" s="168"/>
      <c r="N169" s="168"/>
      <c r="O169" s="169"/>
      <c r="P169" s="166"/>
      <c r="Q169" s="166"/>
      <c r="R169" s="127"/>
      <c r="S169" s="127"/>
      <c r="T169" s="127"/>
      <c r="U169" s="127"/>
      <c r="V169"/>
    </row>
    <row r="170" spans="10:22">
      <c r="J170" s="167"/>
      <c r="K170" s="168"/>
      <c r="L170" s="168"/>
      <c r="M170" s="168"/>
      <c r="N170" s="168"/>
      <c r="O170" s="169"/>
      <c r="P170" s="166"/>
      <c r="Q170" s="166"/>
      <c r="R170" s="127"/>
      <c r="S170" s="127"/>
      <c r="T170" s="127"/>
      <c r="U170" s="127"/>
      <c r="V170"/>
    </row>
    <row r="171" spans="10:22">
      <c r="J171" s="167"/>
      <c r="K171" s="168"/>
      <c r="L171" s="168"/>
      <c r="M171" s="168"/>
      <c r="N171" s="168"/>
      <c r="O171" s="169"/>
      <c r="P171" s="166"/>
      <c r="Q171" s="166"/>
      <c r="R171" s="127"/>
      <c r="S171" s="127"/>
      <c r="T171" s="127"/>
      <c r="U171" s="127"/>
      <c r="V171"/>
    </row>
    <row r="172" spans="10:22">
      <c r="J172" s="167"/>
      <c r="K172" s="168"/>
      <c r="L172" s="168"/>
      <c r="M172" s="168"/>
      <c r="N172" s="168"/>
      <c r="O172" s="169"/>
      <c r="P172" s="166"/>
      <c r="Q172" s="166"/>
      <c r="R172" s="127"/>
      <c r="S172" s="127"/>
      <c r="T172" s="127"/>
      <c r="U172" s="127"/>
      <c r="V172"/>
    </row>
    <row r="173" spans="10:22">
      <c r="J173" s="167"/>
      <c r="K173" s="168"/>
      <c r="L173" s="168"/>
      <c r="M173" s="168"/>
      <c r="N173" s="168"/>
      <c r="O173" s="169"/>
      <c r="P173" s="166"/>
      <c r="Q173" s="166"/>
      <c r="R173" s="127"/>
      <c r="S173" s="127"/>
      <c r="T173" s="127"/>
      <c r="U173" s="127"/>
      <c r="V173"/>
    </row>
    <row r="174" spans="10:22">
      <c r="J174" s="167"/>
      <c r="K174" s="168"/>
      <c r="L174" s="168"/>
      <c r="M174" s="168"/>
      <c r="N174" s="168"/>
      <c r="O174" s="169"/>
      <c r="P174" s="166"/>
      <c r="Q174" s="166"/>
      <c r="R174" s="127"/>
      <c r="S174" s="127"/>
      <c r="T174" s="127"/>
      <c r="U174" s="127"/>
      <c r="V174"/>
    </row>
    <row r="175" spans="10:22">
      <c r="J175" s="167"/>
      <c r="K175" s="168"/>
      <c r="L175" s="168"/>
      <c r="M175" s="168"/>
      <c r="N175" s="168"/>
      <c r="O175" s="169"/>
      <c r="P175" s="166"/>
      <c r="Q175" s="166"/>
      <c r="R175" s="127"/>
      <c r="S175" s="127"/>
      <c r="T175" s="127"/>
      <c r="U175" s="127"/>
      <c r="V175"/>
    </row>
    <row r="176" spans="10:22">
      <c r="J176" s="167"/>
      <c r="K176" s="168"/>
      <c r="L176" s="168"/>
      <c r="M176" s="168"/>
      <c r="N176" s="168"/>
      <c r="O176" s="169"/>
      <c r="P176" s="166"/>
      <c r="Q176" s="166"/>
      <c r="R176" s="127"/>
      <c r="S176" s="127"/>
      <c r="T176" s="127"/>
      <c r="U176" s="127"/>
      <c r="V176"/>
    </row>
    <row r="177" spans="10:22">
      <c r="J177" s="167"/>
      <c r="K177" s="168"/>
      <c r="L177" s="168"/>
      <c r="M177" s="168"/>
      <c r="N177" s="168"/>
      <c r="O177" s="169"/>
      <c r="P177" s="166"/>
      <c r="Q177" s="166"/>
      <c r="R177" s="127"/>
      <c r="S177" s="127"/>
      <c r="T177" s="127"/>
      <c r="U177" s="127"/>
      <c r="V177"/>
    </row>
    <row r="178" spans="10:22">
      <c r="J178" s="167"/>
      <c r="K178" s="168"/>
      <c r="L178" s="168"/>
      <c r="M178" s="168"/>
      <c r="N178" s="168"/>
      <c r="O178" s="169"/>
      <c r="P178" s="166"/>
      <c r="Q178" s="166"/>
      <c r="R178" s="127"/>
      <c r="S178" s="127"/>
      <c r="T178" s="127"/>
      <c r="U178" s="127"/>
      <c r="V178"/>
    </row>
    <row r="179" spans="10:22">
      <c r="J179" s="167"/>
      <c r="K179" s="168"/>
      <c r="L179" s="168"/>
      <c r="M179" s="168"/>
      <c r="N179" s="168"/>
      <c r="O179" s="169"/>
      <c r="P179" s="166"/>
      <c r="Q179" s="166"/>
      <c r="R179" s="127"/>
      <c r="S179" s="127"/>
      <c r="T179" s="127"/>
      <c r="U179" s="127"/>
      <c r="V179"/>
    </row>
    <row r="180" spans="10:22">
      <c r="J180" s="167"/>
      <c r="K180" s="168"/>
      <c r="L180" s="168"/>
      <c r="M180" s="168"/>
      <c r="N180" s="168"/>
      <c r="O180" s="169"/>
      <c r="P180" s="166"/>
      <c r="Q180" s="166"/>
      <c r="R180" s="127"/>
      <c r="S180" s="127"/>
      <c r="T180" s="127"/>
      <c r="U180" s="127"/>
      <c r="V180"/>
    </row>
    <row r="181" spans="10:22">
      <c r="J181" s="167"/>
      <c r="K181" s="168"/>
      <c r="L181" s="168"/>
      <c r="M181" s="168"/>
      <c r="N181" s="168"/>
      <c r="O181" s="169"/>
      <c r="P181" s="166"/>
      <c r="Q181" s="166"/>
      <c r="R181" s="127"/>
      <c r="S181" s="127"/>
      <c r="T181" s="127"/>
      <c r="U181" s="127"/>
      <c r="V181"/>
    </row>
    <row r="182" spans="10:22">
      <c r="J182" s="167"/>
      <c r="K182" s="168"/>
      <c r="L182" s="168"/>
      <c r="M182" s="168"/>
      <c r="N182" s="168"/>
      <c r="O182" s="169"/>
      <c r="P182" s="166"/>
      <c r="Q182" s="166"/>
      <c r="R182" s="127"/>
      <c r="S182" s="127"/>
      <c r="T182" s="127"/>
      <c r="U182" s="127"/>
      <c r="V182"/>
    </row>
    <row r="183" spans="10:22">
      <c r="J183" s="167"/>
      <c r="K183" s="168"/>
      <c r="L183" s="168"/>
      <c r="M183" s="168"/>
      <c r="N183" s="168"/>
      <c r="O183" s="169"/>
      <c r="P183" s="166"/>
      <c r="Q183" s="166"/>
      <c r="R183" s="127"/>
      <c r="S183" s="127"/>
      <c r="T183" s="127"/>
      <c r="U183" s="127"/>
      <c r="V183"/>
    </row>
    <row r="184" spans="10:22">
      <c r="J184" s="167"/>
      <c r="K184" s="168"/>
      <c r="L184" s="168"/>
      <c r="M184" s="168"/>
      <c r="N184" s="168"/>
      <c r="O184" s="169"/>
      <c r="P184" s="166"/>
      <c r="Q184" s="166"/>
      <c r="R184" s="127"/>
      <c r="S184" s="127"/>
      <c r="T184" s="127"/>
      <c r="U184" s="127"/>
      <c r="V184"/>
    </row>
    <row r="185" spans="10:22">
      <c r="J185" s="167"/>
      <c r="K185" s="168"/>
      <c r="L185" s="168"/>
      <c r="M185" s="168"/>
      <c r="N185" s="168"/>
      <c r="O185" s="169"/>
      <c r="P185" s="166"/>
      <c r="Q185" s="166"/>
      <c r="R185" s="127"/>
      <c r="S185" s="127"/>
      <c r="T185" s="127"/>
      <c r="U185" s="127"/>
      <c r="V185"/>
    </row>
    <row r="186" spans="10:22">
      <c r="J186" s="167"/>
      <c r="K186" s="168"/>
      <c r="L186" s="168"/>
      <c r="M186" s="168"/>
      <c r="N186" s="168"/>
      <c r="O186" s="169"/>
      <c r="P186" s="166"/>
      <c r="Q186" s="166"/>
      <c r="R186" s="127"/>
      <c r="S186" s="127"/>
      <c r="T186" s="127"/>
      <c r="U186" s="127"/>
      <c r="V186"/>
    </row>
    <row r="187" spans="10:22">
      <c r="J187" s="167"/>
      <c r="K187" s="168"/>
      <c r="L187" s="168"/>
      <c r="M187" s="168"/>
      <c r="N187" s="168"/>
      <c r="O187" s="169"/>
      <c r="P187" s="166"/>
      <c r="Q187" s="166"/>
      <c r="R187" s="127"/>
      <c r="S187" s="127"/>
      <c r="T187" s="127"/>
      <c r="U187" s="127"/>
      <c r="V187"/>
    </row>
    <row r="188" spans="10:22">
      <c r="J188" s="167"/>
      <c r="K188" s="168"/>
      <c r="L188" s="168"/>
      <c r="M188" s="168"/>
      <c r="N188" s="168"/>
      <c r="O188" s="169"/>
      <c r="P188" s="166"/>
      <c r="Q188" s="166"/>
      <c r="R188" s="127"/>
      <c r="S188" s="127"/>
      <c r="T188" s="127"/>
      <c r="U188" s="127"/>
      <c r="V188"/>
    </row>
    <row r="189" spans="10:22">
      <c r="J189" s="167"/>
      <c r="K189" s="168"/>
      <c r="L189" s="168"/>
      <c r="M189" s="168"/>
      <c r="N189" s="168"/>
      <c r="O189" s="169"/>
      <c r="P189" s="166"/>
      <c r="Q189" s="166"/>
      <c r="R189" s="127"/>
      <c r="S189" s="127"/>
      <c r="T189" s="127"/>
      <c r="U189" s="127"/>
      <c r="V189"/>
    </row>
    <row r="190" spans="10:22">
      <c r="J190" s="167"/>
      <c r="K190" s="168"/>
      <c r="L190" s="168"/>
      <c r="M190" s="168"/>
      <c r="N190" s="168"/>
      <c r="O190" s="169"/>
      <c r="P190" s="166"/>
      <c r="Q190" s="166"/>
      <c r="R190" s="127"/>
      <c r="S190" s="127"/>
      <c r="T190" s="127"/>
      <c r="U190" s="127"/>
      <c r="V190"/>
    </row>
    <row r="191" spans="10:22">
      <c r="J191" s="167"/>
      <c r="K191" s="168"/>
      <c r="L191" s="168"/>
      <c r="M191" s="168"/>
      <c r="N191" s="168"/>
      <c r="O191" s="169"/>
      <c r="P191" s="166"/>
      <c r="Q191" s="166"/>
      <c r="R191" s="127"/>
      <c r="S191" s="127"/>
      <c r="T191" s="127"/>
      <c r="U191" s="127"/>
      <c r="V191"/>
    </row>
    <row r="192" spans="10:22">
      <c r="J192" s="167"/>
      <c r="K192" s="168"/>
      <c r="L192" s="168"/>
      <c r="M192" s="168"/>
      <c r="N192" s="168"/>
      <c r="O192" s="169"/>
      <c r="P192" s="166"/>
      <c r="Q192" s="166"/>
      <c r="R192" s="127"/>
      <c r="S192" s="127"/>
      <c r="T192" s="127"/>
      <c r="U192" s="127"/>
      <c r="V192"/>
    </row>
    <row r="193" spans="10:22">
      <c r="J193" s="167"/>
      <c r="K193" s="168"/>
      <c r="L193" s="168"/>
      <c r="M193" s="168"/>
      <c r="N193" s="168"/>
      <c r="O193" s="169"/>
      <c r="P193" s="166"/>
      <c r="Q193" s="166"/>
      <c r="R193" s="127"/>
      <c r="S193" s="127"/>
      <c r="T193" s="127"/>
      <c r="U193" s="127"/>
      <c r="V193"/>
    </row>
    <row r="194" spans="10:22">
      <c r="J194" s="167"/>
      <c r="K194" s="168"/>
      <c r="L194" s="168"/>
      <c r="M194" s="168"/>
      <c r="N194" s="168"/>
      <c r="O194" s="169"/>
      <c r="P194" s="166"/>
      <c r="Q194" s="166"/>
      <c r="R194" s="127"/>
      <c r="S194" s="127"/>
      <c r="T194" s="127"/>
      <c r="U194" s="127"/>
      <c r="V194"/>
    </row>
    <row r="195" spans="10:22">
      <c r="J195" s="167"/>
      <c r="K195" s="168"/>
      <c r="L195" s="168"/>
      <c r="M195" s="168"/>
      <c r="N195" s="168"/>
      <c r="O195" s="169"/>
      <c r="P195" s="166"/>
      <c r="Q195" s="166"/>
      <c r="R195" s="127"/>
      <c r="S195" s="127"/>
      <c r="T195" s="127"/>
      <c r="U195" s="127"/>
      <c r="V195"/>
    </row>
    <row r="196" spans="10:22">
      <c r="J196" s="167"/>
      <c r="K196" s="168"/>
      <c r="L196" s="168"/>
      <c r="M196" s="168"/>
      <c r="N196" s="168"/>
      <c r="O196" s="169"/>
      <c r="P196" s="166"/>
      <c r="Q196" s="166"/>
      <c r="R196" s="127"/>
      <c r="S196" s="127"/>
      <c r="T196" s="127"/>
      <c r="U196" s="127"/>
      <c r="V196"/>
    </row>
    <row r="197" spans="10:22">
      <c r="J197" s="167"/>
      <c r="K197" s="168"/>
      <c r="L197" s="168"/>
      <c r="M197" s="168"/>
      <c r="N197" s="168"/>
      <c r="O197" s="169"/>
      <c r="P197" s="166"/>
      <c r="Q197" s="166"/>
      <c r="R197" s="127"/>
      <c r="S197" s="127"/>
      <c r="T197" s="127"/>
      <c r="U197" s="127"/>
      <c r="V197"/>
    </row>
    <row r="198" spans="10:22">
      <c r="J198" s="167"/>
      <c r="K198" s="168"/>
      <c r="L198" s="168"/>
      <c r="M198" s="168"/>
      <c r="N198" s="168"/>
      <c r="O198" s="169"/>
      <c r="P198" s="166"/>
      <c r="Q198" s="166"/>
      <c r="R198" s="127"/>
      <c r="S198" s="127"/>
      <c r="T198" s="127"/>
      <c r="U198" s="127"/>
      <c r="V198"/>
    </row>
    <row r="199" spans="10:22">
      <c r="J199" s="167"/>
      <c r="K199" s="168"/>
      <c r="L199" s="168"/>
      <c r="M199" s="168"/>
      <c r="N199" s="168"/>
      <c r="O199" s="169"/>
      <c r="P199" s="166"/>
      <c r="Q199" s="166"/>
      <c r="R199" s="127"/>
      <c r="S199" s="127"/>
      <c r="T199" s="127"/>
      <c r="U199" s="127"/>
      <c r="V199"/>
    </row>
    <row r="200" spans="10:22">
      <c r="J200" s="167"/>
      <c r="K200" s="168"/>
      <c r="L200" s="168"/>
      <c r="M200" s="168"/>
      <c r="N200" s="168"/>
      <c r="O200" s="169"/>
      <c r="P200" s="166"/>
      <c r="Q200" s="166"/>
      <c r="R200" s="127"/>
      <c r="S200" s="127"/>
      <c r="T200" s="127"/>
      <c r="U200" s="127"/>
      <c r="V200"/>
    </row>
    <row r="201" spans="10:22">
      <c r="J201" s="167"/>
      <c r="K201" s="168"/>
      <c r="L201" s="168"/>
      <c r="M201" s="168"/>
      <c r="N201" s="168"/>
      <c r="O201" s="169"/>
      <c r="P201" s="166"/>
      <c r="Q201" s="166"/>
      <c r="R201" s="127"/>
      <c r="S201" s="127"/>
      <c r="T201" s="127"/>
      <c r="U201" s="127"/>
      <c r="V201"/>
    </row>
    <row r="202" spans="10:22">
      <c r="J202" s="167"/>
      <c r="K202" s="168"/>
      <c r="L202" s="168"/>
      <c r="M202" s="168"/>
      <c r="N202" s="168"/>
      <c r="O202" s="169"/>
      <c r="P202" s="166"/>
      <c r="Q202" s="166"/>
      <c r="R202" s="127"/>
      <c r="S202" s="127"/>
      <c r="T202" s="127"/>
      <c r="U202" s="127"/>
      <c r="V202"/>
    </row>
    <row r="203" spans="10:22">
      <c r="J203" s="167"/>
      <c r="K203" s="168"/>
      <c r="L203" s="168"/>
      <c r="M203" s="168"/>
      <c r="N203" s="168"/>
      <c r="O203" s="169"/>
      <c r="P203" s="166"/>
      <c r="Q203" s="166"/>
      <c r="R203" s="127"/>
      <c r="S203" s="127"/>
      <c r="T203" s="127"/>
      <c r="U203" s="127"/>
      <c r="V203"/>
    </row>
    <row r="204" spans="10:22">
      <c r="J204" s="167"/>
      <c r="K204" s="168"/>
      <c r="L204" s="168"/>
      <c r="M204" s="168"/>
      <c r="N204" s="168"/>
      <c r="O204" s="169"/>
      <c r="P204" s="166"/>
      <c r="Q204" s="166"/>
      <c r="R204" s="127"/>
      <c r="S204" s="127"/>
      <c r="T204" s="127"/>
      <c r="U204" s="127"/>
      <c r="V204"/>
    </row>
    <row r="205" spans="10:22">
      <c r="J205" s="167"/>
      <c r="K205" s="168"/>
      <c r="L205" s="168"/>
      <c r="M205" s="168"/>
      <c r="N205" s="168"/>
      <c r="O205" s="169"/>
      <c r="P205" s="166"/>
      <c r="Q205" s="166"/>
      <c r="R205" s="127"/>
      <c r="S205" s="127"/>
      <c r="T205" s="127"/>
      <c r="U205" s="127"/>
      <c r="V205"/>
    </row>
    <row r="206" spans="10:22">
      <c r="J206" s="167"/>
      <c r="K206" s="168"/>
      <c r="L206" s="168"/>
      <c r="M206" s="168"/>
      <c r="N206" s="168"/>
      <c r="O206" s="169"/>
      <c r="P206" s="166"/>
      <c r="Q206" s="166"/>
      <c r="R206" s="127"/>
      <c r="S206" s="127"/>
      <c r="T206" s="127"/>
      <c r="U206" s="127"/>
      <c r="V206"/>
    </row>
    <row r="207" spans="10:22">
      <c r="J207" s="167"/>
      <c r="K207" s="168"/>
      <c r="L207" s="168"/>
      <c r="M207" s="168"/>
      <c r="N207" s="168"/>
      <c r="O207" s="169"/>
      <c r="P207" s="166"/>
      <c r="Q207" s="166"/>
      <c r="R207" s="127"/>
      <c r="S207" s="127"/>
      <c r="T207" s="127"/>
      <c r="U207" s="127"/>
      <c r="V207"/>
    </row>
    <row r="208" spans="10:22">
      <c r="J208" s="167"/>
      <c r="K208" s="168"/>
      <c r="L208" s="168"/>
      <c r="M208" s="168"/>
      <c r="N208" s="168"/>
      <c r="O208" s="169"/>
      <c r="P208" s="166"/>
      <c r="Q208" s="166"/>
      <c r="R208" s="127"/>
      <c r="S208" s="127"/>
      <c r="T208" s="127"/>
      <c r="U208" s="127"/>
      <c r="V208"/>
    </row>
    <row r="209" spans="1:27">
      <c r="J209" s="167"/>
      <c r="K209" s="168"/>
      <c r="L209" s="168"/>
      <c r="M209" s="168"/>
      <c r="N209" s="168"/>
      <c r="O209" s="169"/>
      <c r="P209" s="166"/>
      <c r="Q209" s="166"/>
      <c r="R209" s="127"/>
      <c r="S209" s="127"/>
      <c r="T209" s="127"/>
      <c r="U209" s="127"/>
      <c r="V209"/>
    </row>
    <row r="210" spans="1:27">
      <c r="J210" s="167"/>
      <c r="K210" s="168"/>
      <c r="L210" s="168"/>
      <c r="M210" s="168"/>
      <c r="N210" s="168"/>
      <c r="O210" s="169"/>
      <c r="P210" s="166"/>
      <c r="Q210" s="166"/>
      <c r="R210" s="127"/>
      <c r="S210" s="127"/>
      <c r="T210" s="127"/>
      <c r="U210" s="127"/>
      <c r="V210"/>
    </row>
    <row r="211" spans="1:27">
      <c r="J211" s="167"/>
      <c r="K211" s="168"/>
      <c r="L211" s="168"/>
      <c r="M211" s="168"/>
      <c r="N211" s="168"/>
      <c r="O211" s="169"/>
      <c r="P211" s="166"/>
      <c r="Q211" s="166"/>
      <c r="R211" s="127"/>
      <c r="S211" s="127"/>
      <c r="T211" s="127"/>
      <c r="U211" s="127"/>
      <c r="V211"/>
    </row>
    <row r="212" spans="1:27">
      <c r="J212" s="167"/>
      <c r="K212" s="168"/>
      <c r="L212" s="168"/>
      <c r="M212" s="168"/>
      <c r="N212" s="168"/>
      <c r="O212" s="169"/>
      <c r="P212" s="166"/>
      <c r="Q212" s="166"/>
      <c r="R212" s="127"/>
      <c r="S212" s="127"/>
      <c r="T212" s="127"/>
      <c r="U212" s="127"/>
      <c r="V212"/>
    </row>
    <row r="213" spans="1:27">
      <c r="J213" s="167"/>
      <c r="K213" s="168"/>
      <c r="L213" s="168"/>
      <c r="M213" s="168"/>
      <c r="N213" s="168"/>
      <c r="O213" s="169"/>
      <c r="P213" s="166"/>
      <c r="Q213" s="166"/>
      <c r="R213" s="127"/>
      <c r="S213" s="127"/>
      <c r="T213" s="127"/>
      <c r="U213" s="127"/>
      <c r="V213"/>
    </row>
    <row r="214" spans="1:27">
      <c r="J214" s="167"/>
      <c r="K214" s="168"/>
      <c r="L214" s="168"/>
      <c r="M214" s="168"/>
      <c r="N214" s="168"/>
      <c r="O214" s="169"/>
      <c r="P214" s="166"/>
      <c r="Q214" s="166"/>
      <c r="R214" s="127"/>
      <c r="S214" s="127"/>
      <c r="T214" s="127"/>
      <c r="U214" s="127"/>
      <c r="V214"/>
    </row>
    <row r="215" spans="1:27">
      <c r="J215" s="167"/>
      <c r="K215" s="168"/>
      <c r="L215" s="168"/>
      <c r="M215" s="168"/>
      <c r="N215" s="168"/>
      <c r="O215" s="169"/>
      <c r="P215" s="166"/>
      <c r="Q215" s="166"/>
      <c r="R215" s="127"/>
      <c r="S215" s="127"/>
      <c r="T215" s="127"/>
      <c r="U215" s="127"/>
      <c r="V215"/>
    </row>
    <row r="216" spans="1:27">
      <c r="J216" s="167"/>
      <c r="K216" s="168"/>
      <c r="L216" s="168"/>
      <c r="M216" s="168"/>
      <c r="N216" s="168"/>
      <c r="O216" s="169"/>
      <c r="P216" s="166"/>
      <c r="Q216" s="166"/>
      <c r="R216" s="127"/>
      <c r="S216" s="127"/>
      <c r="T216" s="127"/>
      <c r="U216" s="127"/>
      <c r="V216"/>
    </row>
    <row r="217" spans="1:27" s="168" customFormat="1">
      <c r="A217"/>
      <c r="B217" s="61"/>
      <c r="C217" s="62"/>
      <c r="D217" s="62"/>
      <c r="E217" s="62"/>
      <c r="F217" s="62"/>
      <c r="G217" s="62"/>
      <c r="H217" s="62"/>
      <c r="I217" s="63"/>
      <c r="J217" s="167"/>
      <c r="O217" s="169"/>
      <c r="P217" s="166"/>
      <c r="Q217" s="166"/>
      <c r="R217" s="127"/>
      <c r="S217" s="127"/>
      <c r="T217" s="127"/>
      <c r="U217" s="127"/>
      <c r="V217"/>
      <c r="W217"/>
      <c r="X217"/>
      <c r="Y217"/>
      <c r="Z217"/>
      <c r="AA217"/>
    </row>
    <row r="218" spans="1:27" s="168" customFormat="1">
      <c r="A218"/>
      <c r="B218" s="61"/>
      <c r="C218" s="62"/>
      <c r="D218" s="62"/>
      <c r="E218" s="62"/>
      <c r="F218" s="62"/>
      <c r="G218" s="62"/>
      <c r="H218" s="62"/>
      <c r="I218" s="63"/>
      <c r="J218" s="167"/>
      <c r="O218" s="169"/>
      <c r="P218" s="166"/>
      <c r="Q218" s="166"/>
      <c r="R218" s="127"/>
      <c r="S218" s="127"/>
      <c r="T218" s="127"/>
      <c r="U218" s="127"/>
      <c r="V218"/>
      <c r="W218"/>
      <c r="X218"/>
      <c r="Y218"/>
      <c r="Z218"/>
      <c r="AA218"/>
    </row>
    <row r="219" spans="1:27" s="168" customFormat="1">
      <c r="A219"/>
      <c r="B219" s="61"/>
      <c r="C219" s="62"/>
      <c r="D219" s="62"/>
      <c r="E219" s="62"/>
      <c r="F219" s="62"/>
      <c r="G219" s="62"/>
      <c r="H219" s="62"/>
      <c r="I219" s="63"/>
      <c r="J219" s="167"/>
      <c r="O219" s="169"/>
      <c r="P219" s="166"/>
      <c r="Q219" s="166"/>
      <c r="R219" s="127"/>
      <c r="S219" s="127"/>
      <c r="T219" s="127"/>
      <c r="U219" s="127"/>
      <c r="V219"/>
      <c r="W219"/>
      <c r="X219"/>
      <c r="Y219"/>
      <c r="Z219"/>
      <c r="AA219"/>
    </row>
    <row r="220" spans="1:27" s="168" customFormat="1">
      <c r="A220"/>
      <c r="B220" s="61"/>
      <c r="C220" s="62"/>
      <c r="D220" s="62"/>
      <c r="E220" s="62"/>
      <c r="F220" s="62"/>
      <c r="G220" s="62"/>
      <c r="H220" s="62"/>
      <c r="I220" s="63"/>
      <c r="J220" s="167"/>
      <c r="O220" s="169"/>
      <c r="P220" s="166"/>
      <c r="Q220" s="166"/>
      <c r="R220" s="127"/>
      <c r="S220" s="127"/>
      <c r="T220" s="127"/>
      <c r="U220" s="127"/>
      <c r="V220"/>
      <c r="W220"/>
      <c r="X220"/>
      <c r="Y220"/>
      <c r="Z220"/>
      <c r="AA220"/>
    </row>
    <row r="221" spans="1:27" s="168" customFormat="1">
      <c r="A221"/>
      <c r="B221" s="61"/>
      <c r="C221" s="62"/>
      <c r="D221" s="62"/>
      <c r="E221" s="62"/>
      <c r="F221" s="62"/>
      <c r="G221" s="62"/>
      <c r="H221" s="62"/>
      <c r="I221" s="63"/>
      <c r="J221" s="167"/>
      <c r="O221" s="169"/>
      <c r="P221" s="166"/>
      <c r="Q221" s="166"/>
      <c r="R221" s="127"/>
      <c r="S221" s="127"/>
      <c r="T221" s="127"/>
      <c r="U221" s="127"/>
      <c r="V221"/>
      <c r="W221"/>
      <c r="X221"/>
      <c r="Y221"/>
      <c r="Z221"/>
      <c r="AA221"/>
    </row>
    <row r="222" spans="1:27" s="168" customFormat="1">
      <c r="A222"/>
      <c r="B222" s="61"/>
      <c r="C222" s="62"/>
      <c r="D222" s="62"/>
      <c r="E222" s="62"/>
      <c r="F222" s="62"/>
      <c r="G222" s="62"/>
      <c r="H222" s="62"/>
      <c r="I222" s="63"/>
      <c r="J222" s="167"/>
      <c r="O222" s="169"/>
      <c r="P222" s="166"/>
      <c r="Q222" s="166"/>
      <c r="R222" s="127"/>
      <c r="S222" s="127"/>
      <c r="T222" s="127"/>
      <c r="U222" s="127"/>
      <c r="V222"/>
      <c r="W222"/>
      <c r="X222"/>
      <c r="Y222"/>
      <c r="Z222"/>
      <c r="AA222"/>
    </row>
    <row r="223" spans="1:27" s="168" customFormat="1">
      <c r="A223"/>
      <c r="B223" s="61"/>
      <c r="C223" s="62"/>
      <c r="D223" s="62"/>
      <c r="E223" s="62"/>
      <c r="F223" s="62"/>
      <c r="G223" s="62"/>
      <c r="H223" s="62"/>
      <c r="I223" s="63"/>
      <c r="J223" s="167"/>
      <c r="O223" s="169"/>
      <c r="P223" s="166"/>
      <c r="Q223" s="166"/>
      <c r="R223" s="127"/>
      <c r="S223" s="127"/>
      <c r="T223" s="127"/>
      <c r="U223" s="127"/>
      <c r="V223"/>
      <c r="W223"/>
      <c r="X223"/>
      <c r="Y223"/>
      <c r="Z223"/>
      <c r="AA223"/>
    </row>
    <row r="224" spans="1:27">
      <c r="J224" s="167"/>
      <c r="K224" s="168"/>
      <c r="L224" s="168"/>
      <c r="M224" s="168"/>
      <c r="N224" s="168"/>
      <c r="O224" s="169"/>
      <c r="P224" s="166"/>
      <c r="Q224" s="166"/>
      <c r="R224" s="127"/>
      <c r="S224" s="127"/>
      <c r="T224" s="127"/>
      <c r="U224" s="127"/>
      <c r="V224"/>
    </row>
    <row r="225" spans="10:27">
      <c r="J225" s="167"/>
      <c r="K225" s="168"/>
      <c r="L225" s="168"/>
      <c r="M225" s="168"/>
      <c r="N225" s="168"/>
      <c r="O225" s="169"/>
      <c r="P225" s="166"/>
      <c r="Q225" s="166"/>
      <c r="R225" s="127"/>
      <c r="S225" s="127"/>
      <c r="T225" s="127"/>
      <c r="U225" s="127"/>
      <c r="V225"/>
    </row>
    <row r="226" spans="10:27">
      <c r="J226" s="167"/>
      <c r="K226" s="168"/>
      <c r="L226" s="168"/>
      <c r="M226" s="168"/>
      <c r="N226" s="168"/>
      <c r="O226" s="169"/>
      <c r="P226" s="166"/>
      <c r="Q226" s="166"/>
      <c r="R226" s="127"/>
      <c r="S226" s="127"/>
      <c r="T226" s="127"/>
      <c r="U226" s="127"/>
      <c r="V226"/>
      <c r="W226" s="168"/>
      <c r="X226" s="168"/>
      <c r="Y226" s="168"/>
      <c r="Z226" s="168"/>
      <c r="AA226" s="168"/>
    </row>
    <row r="227" spans="10:27">
      <c r="J227" s="167"/>
      <c r="K227" s="168"/>
      <c r="L227" s="168"/>
      <c r="M227" s="168"/>
      <c r="N227" s="168"/>
      <c r="O227" s="169"/>
      <c r="P227" s="166"/>
      <c r="Q227" s="166"/>
      <c r="R227" s="127"/>
      <c r="S227" s="127"/>
      <c r="T227" s="127"/>
      <c r="U227" s="127"/>
      <c r="V227"/>
      <c r="W227" s="168"/>
      <c r="X227" s="168"/>
      <c r="Y227" s="168"/>
      <c r="Z227" s="168"/>
      <c r="AA227" s="168"/>
    </row>
    <row r="228" spans="10:27">
      <c r="J228" s="167"/>
      <c r="K228" s="168"/>
      <c r="L228" s="168"/>
      <c r="M228" s="168"/>
      <c r="N228" s="168"/>
      <c r="O228" s="169"/>
      <c r="P228" s="166"/>
      <c r="Q228" s="166"/>
      <c r="R228" s="127"/>
      <c r="S228" s="127"/>
      <c r="T228" s="127"/>
      <c r="U228" s="127"/>
      <c r="V228"/>
      <c r="W228" s="168"/>
      <c r="X228" s="168"/>
      <c r="Y228" s="168"/>
      <c r="Z228" s="168"/>
      <c r="AA228" s="168"/>
    </row>
    <row r="229" spans="10:27">
      <c r="J229" s="167"/>
      <c r="K229" s="168"/>
      <c r="L229" s="168"/>
      <c r="M229" s="168"/>
      <c r="N229" s="168"/>
      <c r="O229" s="169"/>
      <c r="P229" s="166"/>
      <c r="Q229" s="166"/>
      <c r="R229" s="127"/>
      <c r="S229" s="127"/>
      <c r="T229" s="127"/>
      <c r="U229" s="127"/>
      <c r="V229"/>
      <c r="W229" s="168"/>
      <c r="X229" s="168"/>
      <c r="Y229" s="168"/>
      <c r="Z229" s="168"/>
      <c r="AA229" s="168"/>
    </row>
    <row r="230" spans="10:27">
      <c r="J230" s="167"/>
      <c r="K230" s="168"/>
      <c r="L230" s="168"/>
      <c r="M230" s="168"/>
      <c r="N230" s="168"/>
      <c r="O230" s="169"/>
      <c r="P230" s="166"/>
      <c r="Q230" s="166"/>
      <c r="R230" s="127"/>
      <c r="S230" s="127"/>
      <c r="T230" s="127"/>
      <c r="U230" s="127"/>
      <c r="V230"/>
      <c r="W230" s="168"/>
      <c r="X230" s="168"/>
      <c r="Y230" s="168"/>
      <c r="Z230" s="168"/>
      <c r="AA230" s="168"/>
    </row>
    <row r="231" spans="10:27">
      <c r="J231" s="167"/>
      <c r="K231" s="168"/>
      <c r="L231" s="168"/>
      <c r="M231" s="168"/>
      <c r="N231" s="168"/>
      <c r="O231" s="169"/>
      <c r="P231" s="166"/>
      <c r="Q231" s="166"/>
      <c r="R231" s="127"/>
      <c r="S231" s="127"/>
      <c r="T231" s="127"/>
      <c r="U231" s="127"/>
      <c r="V231"/>
      <c r="W231" s="168"/>
      <c r="X231" s="168"/>
      <c r="Y231" s="168"/>
      <c r="Z231" s="168"/>
      <c r="AA231" s="168"/>
    </row>
    <row r="232" spans="10:27">
      <c r="J232" s="167"/>
      <c r="K232" s="168"/>
      <c r="L232" s="168"/>
      <c r="M232" s="168"/>
      <c r="N232" s="168"/>
      <c r="O232" s="169"/>
      <c r="P232" s="166"/>
      <c r="Q232" s="166"/>
      <c r="R232" s="127"/>
      <c r="S232" s="127"/>
      <c r="T232" s="127"/>
      <c r="U232" s="127"/>
      <c r="V232"/>
      <c r="W232" s="168"/>
      <c r="X232" s="168"/>
      <c r="Y232" s="168"/>
      <c r="Z232" s="168"/>
      <c r="AA232" s="168"/>
    </row>
    <row r="233" spans="10:27">
      <c r="J233" s="167"/>
      <c r="K233" s="168"/>
      <c r="L233" s="168"/>
      <c r="M233" s="168"/>
      <c r="N233" s="168"/>
      <c r="O233" s="169"/>
    </row>
  </sheetData>
  <mergeCells count="11">
    <mergeCell ref="C5:H5"/>
    <mergeCell ref="K1:O1"/>
    <mergeCell ref="R1:U1"/>
    <mergeCell ref="X1:AA1"/>
    <mergeCell ref="C3:H3"/>
    <mergeCell ref="C4:H4"/>
    <mergeCell ref="A6:A7"/>
    <mergeCell ref="C6:H6"/>
    <mergeCell ref="C7:H7"/>
    <mergeCell ref="A50:A52"/>
    <mergeCell ref="A54:A56"/>
  </mergeCells>
  <conditionalFormatting sqref="R57:U129">
    <cfRule type="containsBlanks" dxfId="12" priority="7">
      <formula>LEN(TRIM(R57))=0</formula>
    </cfRule>
  </conditionalFormatting>
  <conditionalFormatting sqref="R130:U132">
    <cfRule type="containsBlanks" dxfId="11" priority="5">
      <formula>LEN(TRIM(R130))=0</formula>
    </cfRule>
  </conditionalFormatting>
  <conditionalFormatting sqref="R133:T135">
    <cfRule type="containsBlanks" dxfId="10" priority="4">
      <formula>LEN(TRIM(R133))=0</formula>
    </cfRule>
  </conditionalFormatting>
  <conditionalFormatting sqref="R136:T138">
    <cfRule type="containsBlanks" dxfId="9" priority="3">
      <formula>LEN(TRIM(R136))=0</formula>
    </cfRule>
  </conditionalFormatting>
  <conditionalFormatting sqref="U133:U135">
    <cfRule type="containsBlanks" dxfId="8" priority="2">
      <formula>LEN(TRIM(U133))=0</formula>
    </cfRule>
  </conditionalFormatting>
  <conditionalFormatting sqref="U136:U138">
    <cfRule type="containsBlanks" dxfId="7" priority="1">
      <formula>LEN(TRIM(U136))=0</formula>
    </cfRule>
  </conditionalFormatting>
  <dataValidations count="1">
    <dataValidation type="list" allowBlank="1" showInputMessage="1" showErrorMessage="1" sqref="A8:A37" xr:uid="{8CB592AF-0850-46A7-843F-815B7E7932B0}">
      <formula1>$A$1:$A$2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B7D2F2F-16B7-4902-85FB-BB5934625084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06C4-C694-42FA-A94C-896968C3CB3C}">
  <dimension ref="B1:V64"/>
  <sheetViews>
    <sheetView workbookViewId="0">
      <selection activeCell="D8" sqref="D8"/>
    </sheetView>
  </sheetViews>
  <sheetFormatPr defaultColWidth="8.85546875" defaultRowHeight="15"/>
  <cols>
    <col min="1" max="1" width="3.5703125" style="180" customWidth="1"/>
    <col min="2" max="2" width="2.5703125" style="3" bestFit="1" customWidth="1"/>
    <col min="3" max="3" width="21.140625" style="177" customWidth="1"/>
    <col min="4" max="4" width="13.28515625" style="178" bestFit="1" customWidth="1"/>
    <col min="5" max="5" width="12.85546875" style="178" bestFit="1" customWidth="1"/>
    <col min="6" max="6" width="13.42578125" style="178" bestFit="1" customWidth="1"/>
    <col min="7" max="7" width="14.85546875" style="178" bestFit="1" customWidth="1"/>
    <col min="8" max="8" width="13.42578125" style="178" bestFit="1" customWidth="1"/>
    <col min="9" max="9" width="12.5703125" style="178" bestFit="1" customWidth="1"/>
    <col min="10" max="10" width="31.42578125" style="3" customWidth="1"/>
    <col min="11" max="12" width="1.7109375" style="3" customWidth="1"/>
    <col min="13" max="13" width="30.140625" style="6" bestFit="1" customWidth="1"/>
    <col min="14" max="14" width="6.85546875" style="6" bestFit="1" customWidth="1"/>
    <col min="15" max="15" width="6.7109375" style="6" bestFit="1" customWidth="1"/>
    <col min="16" max="16" width="31.85546875" style="6" bestFit="1" customWidth="1"/>
    <col min="17" max="17" width="10.7109375" style="179" bestFit="1" customWidth="1"/>
    <col min="18" max="18" width="9.7109375" style="179" customWidth="1"/>
    <col min="19" max="19" width="9.140625" style="179" bestFit="1" customWidth="1"/>
    <col min="20" max="20" width="1.85546875" style="179" customWidth="1"/>
    <col min="21" max="21" width="11.28515625" style="177" bestFit="1" customWidth="1"/>
    <col min="22" max="22" width="6" style="179" bestFit="1" customWidth="1"/>
    <col min="23" max="23" width="19.7109375" style="180" bestFit="1" customWidth="1"/>
    <col min="24" max="24" width="6" style="180" bestFit="1" customWidth="1"/>
    <col min="25" max="25" width="47.28515625" style="180" customWidth="1"/>
    <col min="26" max="16384" width="8.85546875" style="180"/>
  </cols>
  <sheetData>
    <row r="1" spans="2:22" ht="15.75" thickBot="1"/>
    <row r="2" spans="2:22" ht="21.75" thickBot="1">
      <c r="B2" s="354" t="s">
        <v>102</v>
      </c>
      <c r="C2" s="355"/>
      <c r="D2" s="355"/>
      <c r="E2" s="355"/>
      <c r="F2" s="355"/>
      <c r="G2" s="355"/>
      <c r="H2" s="355"/>
      <c r="I2" s="355"/>
      <c r="J2" s="356"/>
      <c r="L2" s="357" t="s">
        <v>103</v>
      </c>
      <c r="M2" s="358"/>
      <c r="N2" s="358"/>
      <c r="O2" s="358"/>
      <c r="P2" s="358"/>
      <c r="Q2" s="358"/>
      <c r="R2" s="358"/>
      <c r="S2" s="358"/>
      <c r="T2" s="359"/>
      <c r="V2" s="177"/>
    </row>
    <row r="3" spans="2:22" ht="7.5" customHeight="1" thickBot="1">
      <c r="B3" s="181"/>
      <c r="C3" s="182"/>
      <c r="D3" s="183"/>
      <c r="E3" s="183"/>
      <c r="F3" s="183"/>
      <c r="G3" s="183"/>
      <c r="H3" s="183"/>
      <c r="I3" s="183"/>
      <c r="J3" s="184"/>
      <c r="L3" s="185"/>
      <c r="S3" s="177"/>
      <c r="T3" s="186"/>
      <c r="U3" s="6"/>
      <c r="V3" s="180"/>
    </row>
    <row r="4" spans="2:22" ht="15" customHeight="1">
      <c r="B4" s="185"/>
      <c r="C4" s="360" t="s">
        <v>104</v>
      </c>
      <c r="D4" s="362">
        <f>'[1]CLP -INPUTS'!C2</f>
        <v>44286</v>
      </c>
      <c r="E4" s="187" t="str">
        <f>'[1]DATA - Since Change'!D2</f>
        <v>CLPFX</v>
      </c>
      <c r="F4" s="188" t="str">
        <f>'[1]DATA - Since Change'!H2</f>
        <v>BENCH</v>
      </c>
      <c r="J4" s="189"/>
      <c r="L4" s="185"/>
      <c r="M4" s="364" t="s">
        <v>105</v>
      </c>
      <c r="N4" s="365"/>
      <c r="O4" s="365"/>
      <c r="P4" s="365"/>
      <c r="Q4" s="366"/>
      <c r="R4" s="190"/>
      <c r="T4" s="191"/>
      <c r="V4" s="180"/>
    </row>
    <row r="5" spans="2:22">
      <c r="B5" s="185"/>
      <c r="C5" s="361"/>
      <c r="D5" s="363"/>
      <c r="E5" s="192">
        <f>'[1]DATA - Since Change'!K9</f>
        <v>10565.855164527444</v>
      </c>
      <c r="F5" s="193">
        <f>'[1]DATA - Since Change'!O9</f>
        <v>11507.058132558457</v>
      </c>
      <c r="J5" s="189"/>
      <c r="L5" s="185"/>
      <c r="M5" s="194" t="str">
        <f>'[1]CLP -INPUTS'!B11</f>
        <v>Invesco QQQ Trust Series 1</v>
      </c>
      <c r="N5" s="195">
        <f>'[1]CLP -INPUTS'!C11</f>
        <v>0.222</v>
      </c>
      <c r="O5" s="195"/>
      <c r="P5" s="196" t="str">
        <f>'[1]CLP -INPUTS'!B16</f>
        <v>Tesla Inc</v>
      </c>
      <c r="Q5" s="197">
        <f>'[1]CLP -INPUTS'!C16</f>
        <v>2.5999999999999999E-2</v>
      </c>
      <c r="R5" s="198"/>
      <c r="T5" s="191"/>
      <c r="V5" s="180"/>
    </row>
    <row r="6" spans="2:22" ht="15" customHeight="1">
      <c r="B6" s="185"/>
      <c r="C6" s="367" t="s">
        <v>106</v>
      </c>
      <c r="D6" s="199" t="str">
        <f>D15</f>
        <v>Since 10/1/2020</v>
      </c>
      <c r="E6" s="200">
        <f>D16/100</f>
        <v>5.6500000000000002E-2</v>
      </c>
      <c r="F6" s="201">
        <f>D17/100</f>
        <v>0.15079999999999999</v>
      </c>
      <c r="I6" s="202"/>
      <c r="J6" s="189"/>
      <c r="L6" s="185"/>
      <c r="M6" s="203" t="str">
        <f>'[1]CLP -INPUTS'!B12</f>
        <v>Cash &amp; Equivalents</v>
      </c>
      <c r="N6" s="204">
        <f>'[1]CLP -INPUTS'!C12</f>
        <v>0.17014290499877871</v>
      </c>
      <c r="O6" s="204"/>
      <c r="P6" s="205" t="str">
        <f>'[1]CLP -INPUTS'!B17</f>
        <v>Facebook Inc</v>
      </c>
      <c r="Q6" s="206">
        <f>'[1]CLP -INPUTS'!C17</f>
        <v>2.3E-2</v>
      </c>
      <c r="R6" s="198"/>
      <c r="T6" s="191"/>
      <c r="V6" s="180"/>
    </row>
    <row r="7" spans="2:22" ht="15" customHeight="1">
      <c r="B7" s="185"/>
      <c r="C7" s="368"/>
      <c r="D7" s="207" t="str">
        <f>E15</f>
        <v>YTD</v>
      </c>
      <c r="E7" s="208">
        <f>E16/100</f>
        <v>-2.2799999999999997E-2</v>
      </c>
      <c r="F7" s="209">
        <f>E17/100</f>
        <v>1.7600000000000001E-2</v>
      </c>
      <c r="I7" s="202"/>
      <c r="J7" s="189"/>
      <c r="L7" s="185"/>
      <c r="M7" s="203" t="str">
        <f>'[1]CLP -INPUTS'!B13</f>
        <v>Apple Inc</v>
      </c>
      <c r="N7" s="204">
        <f>'[1]CLP -INPUTS'!C13</f>
        <v>6.7000000000000004E-2</v>
      </c>
      <c r="O7" s="204"/>
      <c r="P7" s="205" t="str">
        <f>'[1]CLP -INPUTS'!B18</f>
        <v>Alphabet Inc</v>
      </c>
      <c r="Q7" s="206">
        <f>'[1]CLP -INPUTS'!C18</f>
        <v>2.1999999999999999E-2</v>
      </c>
      <c r="R7" s="198"/>
      <c r="T7" s="191"/>
      <c r="V7" s="180"/>
    </row>
    <row r="8" spans="2:22">
      <c r="B8" s="185"/>
      <c r="C8" s="368"/>
      <c r="D8" s="210" t="str">
        <f>F15</f>
        <v>1yr</v>
      </c>
      <c r="E8" s="211">
        <f>F16/100</f>
        <v>0.25409999999999999</v>
      </c>
      <c r="F8" s="212">
        <f>F17/100</f>
        <v>0.68879999999999997</v>
      </c>
      <c r="I8" s="202"/>
      <c r="J8" s="189"/>
      <c r="L8" s="185"/>
      <c r="M8" s="203" t="str">
        <f>'[1]CLP -INPUTS'!B14</f>
        <v>Microsoft Corp</v>
      </c>
      <c r="N8" s="204">
        <f>'[1]CLP -INPUTS'!C14</f>
        <v>5.8000000000000003E-2</v>
      </c>
      <c r="O8" s="204"/>
      <c r="P8" s="205" t="str">
        <f>'[1]CLP -INPUTS'!B19</f>
        <v>Alphabet Inc</v>
      </c>
      <c r="Q8" s="206">
        <f>'[1]CLP -INPUTS'!C19</f>
        <v>0.02</v>
      </c>
      <c r="R8" s="198"/>
      <c r="T8" s="191"/>
      <c r="V8" s="180"/>
    </row>
    <row r="9" spans="2:22" ht="15.75" thickBot="1">
      <c r="B9" s="185"/>
      <c r="C9" s="368"/>
      <c r="D9" s="210" t="str">
        <f>G15</f>
        <v>3yr</v>
      </c>
      <c r="E9" s="211">
        <f>G16/100</f>
        <v>6.3099999999999989E-2</v>
      </c>
      <c r="F9" s="212">
        <f>G17/100</f>
        <v>0.27010000000000001</v>
      </c>
      <c r="I9" s="202"/>
      <c r="J9" s="189"/>
      <c r="L9" s="185"/>
      <c r="M9" s="213" t="str">
        <f>'[1]CLP -INPUTS'!B15</f>
        <v>Amazon.com Inc</v>
      </c>
      <c r="N9" s="214">
        <f>'[1]CLP -INPUTS'!C15</f>
        <v>5.0999999999999997E-2</v>
      </c>
      <c r="O9" s="214"/>
      <c r="P9" s="215" t="str">
        <f>'[1]CLP -INPUTS'!B20</f>
        <v>NVIDIA Corp</v>
      </c>
      <c r="Q9" s="216">
        <f>'[1]CLP -INPUTS'!C20</f>
        <v>1.6E-2</v>
      </c>
      <c r="R9" s="198"/>
      <c r="T9" s="191"/>
      <c r="V9" s="180"/>
    </row>
    <row r="10" spans="2:22" ht="15.75" thickBot="1">
      <c r="B10" s="185"/>
      <c r="C10" s="368"/>
      <c r="D10" s="210" t="str">
        <f>H15</f>
        <v>5yr</v>
      </c>
      <c r="E10" s="211">
        <f>H16/100</f>
        <v>5.96E-2</v>
      </c>
      <c r="F10" s="212">
        <f>H17/100</f>
        <v>0.25219999999999998</v>
      </c>
      <c r="I10" s="202"/>
      <c r="J10" s="189"/>
      <c r="L10" s="185"/>
      <c r="M10" s="3"/>
      <c r="N10" s="3"/>
      <c r="O10" s="3"/>
      <c r="Q10" s="217"/>
      <c r="R10" s="198"/>
      <c r="T10" s="191"/>
      <c r="V10" s="180"/>
    </row>
    <row r="11" spans="2:22">
      <c r="B11" s="185"/>
      <c r="C11" s="368"/>
      <c r="D11" s="370" t="str">
        <f>I15</f>
        <v>Inception*</v>
      </c>
      <c r="E11" s="372">
        <f>I16/100</f>
        <v>4.4000000000000004E-2</v>
      </c>
      <c r="F11" s="374">
        <f>I17/100</f>
        <v>0.21249999999999999</v>
      </c>
      <c r="I11" s="202"/>
      <c r="J11" s="189"/>
      <c r="L11" s="185"/>
      <c r="M11" s="218" t="s">
        <v>107</v>
      </c>
      <c r="N11" s="219" t="s">
        <v>26</v>
      </c>
      <c r="O11" s="220" t="s">
        <v>108</v>
      </c>
      <c r="Q11" s="217"/>
      <c r="R11" s="198"/>
      <c r="T11" s="191"/>
      <c r="V11" s="180"/>
    </row>
    <row r="12" spans="2:22" ht="15.75" thickBot="1">
      <c r="B12" s="185"/>
      <c r="C12" s="369"/>
      <c r="D12" s="371"/>
      <c r="E12" s="373"/>
      <c r="F12" s="375"/>
      <c r="J12" s="189"/>
      <c r="L12" s="185"/>
      <c r="M12" s="221" t="str">
        <f>'[1]CLP -INPUTS'!B24</f>
        <v>Information Technology</v>
      </c>
      <c r="N12" s="222">
        <f>'[1]CLP -INPUTS'!C24</f>
        <v>0.2930421859708297</v>
      </c>
      <c r="O12" s="223">
        <f>'[1]CLP -INPUTS'!D24</f>
        <v>0.56000000000000005</v>
      </c>
      <c r="Q12" s="217"/>
      <c r="R12" s="198"/>
      <c r="T12" s="191"/>
      <c r="V12" s="180"/>
    </row>
    <row r="13" spans="2:22" ht="15" customHeight="1">
      <c r="B13" s="185"/>
      <c r="C13" s="224"/>
      <c r="D13" s="225"/>
      <c r="E13" s="226"/>
      <c r="F13" s="226"/>
      <c r="J13" s="189"/>
      <c r="L13" s="185"/>
      <c r="M13" s="221" t="str">
        <f>'[1]CLP -INPUTS'!B25</f>
        <v>ETF/ETN</v>
      </c>
      <c r="N13" s="222">
        <f>'[1]CLP -INPUTS'!C25</f>
        <v>0.22205767136594184</v>
      </c>
      <c r="O13" s="223">
        <f>'[1]CLP -INPUTS'!D25</f>
        <v>0</v>
      </c>
      <c r="Q13" s="217"/>
      <c r="R13" s="198"/>
      <c r="T13" s="191"/>
      <c r="V13" s="180"/>
    </row>
    <row r="14" spans="2:22" ht="15.75" thickBot="1">
      <c r="B14" s="185"/>
      <c r="C14" s="227"/>
      <c r="D14" s="228"/>
      <c r="E14" s="228"/>
      <c r="F14" s="376" t="s">
        <v>109</v>
      </c>
      <c r="G14" s="377"/>
      <c r="H14" s="377"/>
      <c r="I14" s="378"/>
      <c r="J14" s="189"/>
      <c r="L14" s="185"/>
      <c r="M14" s="221" t="str">
        <f>'[1]CLP -INPUTS'!B26</f>
        <v>Cash</v>
      </c>
      <c r="N14" s="222">
        <f>'[1]CLP -INPUTS'!C26</f>
        <v>0.17014290499877871</v>
      </c>
      <c r="O14" s="223">
        <f>'[1]CLP -INPUTS'!D26</f>
        <v>0</v>
      </c>
      <c r="Q14" s="217"/>
      <c r="R14" s="198"/>
      <c r="T14" s="191"/>
      <c r="V14" s="180"/>
    </row>
    <row r="15" spans="2:22" ht="14.45" customHeight="1" thickBot="1">
      <c r="B15" s="185"/>
      <c r="C15" s="229" t="s">
        <v>110</v>
      </c>
      <c r="D15" s="230" t="s">
        <v>8</v>
      </c>
      <c r="E15" s="231" t="s">
        <v>0</v>
      </c>
      <c r="F15" s="232" t="s">
        <v>111</v>
      </c>
      <c r="G15" s="230" t="s">
        <v>112</v>
      </c>
      <c r="H15" s="230" t="s">
        <v>113</v>
      </c>
      <c r="I15" s="233" t="s">
        <v>67</v>
      </c>
      <c r="J15" s="189"/>
      <c r="L15" s="185"/>
      <c r="M15" s="221" t="str">
        <f>'[1]CLP -INPUTS'!B27</f>
        <v>Communication Services</v>
      </c>
      <c r="N15" s="222">
        <f>'[1]CLP -INPUTS'!C27</f>
        <v>0.11671932882623685</v>
      </c>
      <c r="O15" s="223">
        <f>'[1]CLP -INPUTS'!D27</f>
        <v>1.2699999999999999E-2</v>
      </c>
      <c r="Q15" s="217"/>
      <c r="R15" s="198"/>
      <c r="T15" s="189"/>
      <c r="U15" s="6"/>
      <c r="V15" s="180"/>
    </row>
    <row r="16" spans="2:22" s="177" customFormat="1">
      <c r="B16" s="185"/>
      <c r="C16" s="234" t="s">
        <v>2</v>
      </c>
      <c r="D16" s="303">
        <v>5.65</v>
      </c>
      <c r="E16" s="235">
        <v>-2.2799999999999998</v>
      </c>
      <c r="F16" s="236">
        <v>25.41</v>
      </c>
      <c r="G16" s="235">
        <v>6.31</v>
      </c>
      <c r="H16" s="235">
        <v>5.96</v>
      </c>
      <c r="I16" s="237">
        <v>4.4000000000000004</v>
      </c>
      <c r="J16" s="189"/>
      <c r="K16" s="3"/>
      <c r="L16" s="185"/>
      <c r="M16" s="221" t="str">
        <f>'[1]CLP -INPUTS'!B28</f>
        <v>Consumer Discretionary</v>
      </c>
      <c r="N16" s="222">
        <f>'[1]CLP -INPUTS'!C28</f>
        <v>0.11100685257143381</v>
      </c>
      <c r="O16" s="223">
        <f>'[1]CLP -INPUTS'!D28</f>
        <v>0.2082</v>
      </c>
      <c r="P16" s="6"/>
      <c r="Q16" s="217"/>
      <c r="R16" s="198"/>
      <c r="S16" s="179"/>
      <c r="T16" s="186"/>
      <c r="U16" s="3"/>
    </row>
    <row r="17" spans="2:22" ht="14.45" customHeight="1">
      <c r="B17" s="185"/>
      <c r="C17" s="238" t="s">
        <v>7</v>
      </c>
      <c r="D17" s="304">
        <v>15.08</v>
      </c>
      <c r="E17" s="239">
        <v>1.76</v>
      </c>
      <c r="F17" s="240">
        <v>68.88</v>
      </c>
      <c r="G17" s="239">
        <v>27.01</v>
      </c>
      <c r="H17" s="239">
        <v>25.22</v>
      </c>
      <c r="I17" s="241">
        <v>21.25</v>
      </c>
      <c r="J17" s="242"/>
      <c r="L17" s="185"/>
      <c r="M17" s="221" t="str">
        <f>'[1]CLP -INPUTS'!B29</f>
        <v>Health Care</v>
      </c>
      <c r="N17" s="222">
        <f>'[1]CLP -INPUTS'!C29</f>
        <v>3.8921303912649328E-2</v>
      </c>
      <c r="O17" s="223">
        <f>'[1]CLP -INPUTS'!D29</f>
        <v>6.2300000000000001E-2</v>
      </c>
      <c r="Q17" s="217"/>
      <c r="R17" s="198"/>
      <c r="T17" s="186"/>
      <c r="U17" s="6"/>
      <c r="V17" s="180"/>
    </row>
    <row r="18" spans="2:22" ht="14.45" customHeight="1" thickBot="1">
      <c r="B18" s="185"/>
      <c r="C18" s="243" t="s">
        <v>3</v>
      </c>
      <c r="D18" s="305">
        <v>5.47</v>
      </c>
      <c r="E18" s="244">
        <v>-2.39</v>
      </c>
      <c r="F18" s="245">
        <v>24.97</v>
      </c>
      <c r="G18" s="244">
        <v>6.01</v>
      </c>
      <c r="H18" s="244">
        <v>5.74</v>
      </c>
      <c r="I18" s="246">
        <v>4.8499999999999996</v>
      </c>
      <c r="J18" s="189"/>
      <c r="L18" s="185"/>
      <c r="M18" s="221" t="str">
        <f>'[1]CLP -INPUTS'!B30</f>
        <v>Consumer Staples</v>
      </c>
      <c r="N18" s="222">
        <f>'[1]CLP -INPUTS'!C30</f>
        <v>3.1017313449082293E-2</v>
      </c>
      <c r="O18" s="223">
        <f>'[1]CLP -INPUTS'!D30</f>
        <v>9.1600000000000001E-2</v>
      </c>
      <c r="Q18" s="6"/>
      <c r="R18" s="6"/>
      <c r="S18" s="6"/>
      <c r="T18" s="186"/>
      <c r="U18" s="6"/>
      <c r="V18" s="180"/>
    </row>
    <row r="19" spans="2:22" ht="14.45" customHeight="1">
      <c r="B19" s="185"/>
      <c r="C19" s="247" t="s">
        <v>4</v>
      </c>
      <c r="D19" s="248">
        <f>D39*100</f>
        <v>5.1641313785963483</v>
      </c>
      <c r="E19" s="249">
        <v>-2.52</v>
      </c>
      <c r="F19" s="250">
        <v>24.22</v>
      </c>
      <c r="G19" s="249">
        <v>5.24</v>
      </c>
      <c r="H19" s="249">
        <v>4.9000000000000004</v>
      </c>
      <c r="I19" s="251">
        <v>4.0199999999999996</v>
      </c>
      <c r="J19" s="189"/>
      <c r="L19" s="185"/>
      <c r="M19" s="221" t="str">
        <f>'[1]CLP -INPUTS'!B31</f>
        <v>Industrials</v>
      </c>
      <c r="N19" s="222">
        <f>'[1]CLP -INPUTS'!C31</f>
        <v>1.1126084138519161E-2</v>
      </c>
      <c r="O19" s="223">
        <f>'[1]CLP -INPUTS'!D31</f>
        <v>5.2999999999999999E-2</v>
      </c>
      <c r="Q19" s="6"/>
      <c r="R19" s="6"/>
      <c r="S19" s="6"/>
      <c r="T19" s="186"/>
      <c r="U19" s="6"/>
      <c r="V19" s="180"/>
    </row>
    <row r="20" spans="2:22" ht="14.45" customHeight="1">
      <c r="B20" s="185"/>
      <c r="C20" s="252" t="s">
        <v>7</v>
      </c>
      <c r="D20" s="306">
        <v>15.08</v>
      </c>
      <c r="E20" s="239">
        <v>1.76</v>
      </c>
      <c r="F20" s="240">
        <v>68.88</v>
      </c>
      <c r="G20" s="239">
        <v>27.01</v>
      </c>
      <c r="H20" s="239">
        <v>25.22</v>
      </c>
      <c r="I20" s="241">
        <v>20.88</v>
      </c>
      <c r="J20" s="189"/>
      <c r="L20" s="185"/>
      <c r="M20" s="221" t="str">
        <f>'[1]CLP -INPUTS'!B32</f>
        <v>Utilities</v>
      </c>
      <c r="N20" s="222">
        <f>'[1]CLP -INPUTS'!C32</f>
        <v>5.9663547665282368E-3</v>
      </c>
      <c r="O20" s="223">
        <f>'[1]CLP -INPUTS'!D32</f>
        <v>9.7999999999999997E-3</v>
      </c>
      <c r="Q20" s="6"/>
      <c r="R20" s="6"/>
      <c r="S20" s="6"/>
      <c r="T20" s="253"/>
      <c r="U20" s="6"/>
      <c r="V20" s="180"/>
    </row>
    <row r="21" spans="2:22" ht="14.45" customHeight="1" thickBot="1">
      <c r="B21" s="185"/>
      <c r="C21" s="254" t="s">
        <v>114</v>
      </c>
      <c r="D21" s="255">
        <f t="shared" ref="D21" si="0">D41*100</f>
        <v>-0.59</v>
      </c>
      <c r="E21" s="255">
        <v>-8.01</v>
      </c>
      <c r="F21" s="255">
        <v>17.8</v>
      </c>
      <c r="G21" s="255">
        <v>3.94</v>
      </c>
      <c r="H21" s="255">
        <v>4.5</v>
      </c>
      <c r="I21" s="256">
        <v>3.99</v>
      </c>
      <c r="J21" s="189"/>
      <c r="L21" s="185"/>
      <c r="M21" s="221" t="str">
        <f>'[1]CLP -INPUTS'!B33</f>
        <v>Financials</v>
      </c>
      <c r="N21" s="222">
        <f>'[1]CLP -INPUTS'!C33</f>
        <v>0</v>
      </c>
      <c r="O21" s="223">
        <f>'[1]CLP -INPUTS'!D33</f>
        <v>0</v>
      </c>
      <c r="Q21" s="6"/>
      <c r="R21" s="6"/>
      <c r="S21" s="6"/>
      <c r="T21" s="253"/>
      <c r="U21" s="6"/>
      <c r="V21" s="180"/>
    </row>
    <row r="22" spans="2:22" ht="14.45" customHeight="1">
      <c r="B22" s="185"/>
      <c r="C22" s="257" t="s">
        <v>5</v>
      </c>
      <c r="J22" s="189"/>
      <c r="K22" s="15"/>
      <c r="L22" s="185"/>
      <c r="M22" s="221" t="str">
        <f>'[1]CLP -INPUTS'!B34</f>
        <v>Materials</v>
      </c>
      <c r="N22" s="222">
        <f>'[1]CLP -INPUTS'!C34</f>
        <v>0</v>
      </c>
      <c r="O22" s="223">
        <f>'[1]CLP -INPUTS'!D34</f>
        <v>2.3999999999999998E-3</v>
      </c>
      <c r="Q22" s="6"/>
      <c r="R22" s="6"/>
      <c r="S22" s="6"/>
      <c r="T22" s="258"/>
      <c r="U22" s="6"/>
      <c r="V22" s="180"/>
    </row>
    <row r="23" spans="2:22" ht="14.45" customHeight="1">
      <c r="B23" s="185"/>
      <c r="C23" s="202"/>
      <c r="D23" s="202"/>
      <c r="E23" s="202"/>
      <c r="F23" s="202"/>
      <c r="G23" s="202"/>
      <c r="H23" s="202"/>
      <c r="J23" s="189"/>
      <c r="L23" s="185"/>
      <c r="M23" s="221" t="str">
        <f>'[1]CLP -INPUTS'!B35</f>
        <v>Energy</v>
      </c>
      <c r="N23" s="222">
        <f>'[1]CLP -INPUTS'!C35</f>
        <v>0</v>
      </c>
      <c r="O23" s="223">
        <f>'[1]CLP -INPUTS'!D35</f>
        <v>0</v>
      </c>
      <c r="Q23" s="6"/>
      <c r="R23" s="6"/>
      <c r="S23" s="6"/>
      <c r="T23" s="258"/>
      <c r="U23" s="178"/>
      <c r="V23" s="180"/>
    </row>
    <row r="24" spans="2:22" s="3" customFormat="1" ht="14.45" customHeight="1">
      <c r="B24" s="353"/>
      <c r="C24" s="202"/>
      <c r="D24" s="202"/>
      <c r="E24" s="202"/>
      <c r="F24" s="202"/>
      <c r="G24" s="202"/>
      <c r="H24" s="202"/>
      <c r="I24" s="178"/>
      <c r="J24" s="259"/>
      <c r="L24" s="185"/>
      <c r="M24" s="221" t="str">
        <f>'[1]CLP -INPUTS'!B36</f>
        <v>Real Estate</v>
      </c>
      <c r="N24" s="222">
        <f>'[1]CLP -INPUTS'!C36</f>
        <v>0</v>
      </c>
      <c r="O24" s="223">
        <f>'[1]CLP -INPUTS'!D36</f>
        <v>0</v>
      </c>
      <c r="P24" s="6"/>
      <c r="Q24" s="6"/>
      <c r="R24" s="6"/>
      <c r="S24" s="6"/>
      <c r="T24" s="258"/>
      <c r="U24" s="178"/>
    </row>
    <row r="25" spans="2:22" ht="14.45" customHeight="1">
      <c r="B25" s="353"/>
      <c r="C25" s="202"/>
      <c r="D25" s="202"/>
      <c r="E25" s="202"/>
      <c r="F25" s="202"/>
      <c r="G25" s="202"/>
      <c r="H25" s="202"/>
      <c r="J25" s="189"/>
      <c r="L25" s="260"/>
      <c r="Q25" s="6"/>
      <c r="T25" s="258"/>
      <c r="U25" s="178"/>
      <c r="V25" s="180"/>
    </row>
    <row r="26" spans="2:22" ht="14.45" customHeight="1" thickBot="1">
      <c r="B26" s="353"/>
      <c r="C26" s="202"/>
      <c r="D26" s="202"/>
      <c r="E26" s="202"/>
      <c r="F26" s="202"/>
      <c r="G26" s="202"/>
      <c r="H26" s="202"/>
      <c r="J26" s="189"/>
      <c r="L26" s="185"/>
      <c r="T26" s="191"/>
      <c r="U26" s="178"/>
      <c r="V26" s="180"/>
    </row>
    <row r="27" spans="2:22" ht="14.45" customHeight="1">
      <c r="B27" s="353"/>
      <c r="C27" s="202"/>
      <c r="D27" s="202"/>
      <c r="E27" s="202"/>
      <c r="F27" s="202"/>
      <c r="G27" s="202"/>
      <c r="H27" s="202"/>
      <c r="J27" s="189"/>
      <c r="L27" s="185"/>
      <c r="M27" s="307" t="s">
        <v>41</v>
      </c>
      <c r="N27" s="308" t="s">
        <v>26</v>
      </c>
      <c r="O27" s="309" t="s">
        <v>108</v>
      </c>
      <c r="P27" s="3"/>
      <c r="Q27" s="3"/>
      <c r="R27" s="3"/>
      <c r="S27" s="3"/>
      <c r="T27" s="191"/>
      <c r="U27" s="178"/>
      <c r="V27" s="261"/>
    </row>
    <row r="28" spans="2:22" ht="14.45" customHeight="1">
      <c r="B28" s="353"/>
      <c r="C28" s="202"/>
      <c r="D28" s="202"/>
      <c r="E28" s="202"/>
      <c r="F28" s="202"/>
      <c r="G28" s="202"/>
      <c r="H28" s="202"/>
      <c r="J28" s="189"/>
      <c r="L28" s="185"/>
      <c r="M28" s="310"/>
      <c r="N28" s="311"/>
      <c r="O28" s="312"/>
      <c r="T28" s="191"/>
      <c r="V28" s="261"/>
    </row>
    <row r="29" spans="2:22">
      <c r="B29" s="353"/>
      <c r="C29" s="202"/>
      <c r="D29" s="202"/>
      <c r="E29" s="202"/>
      <c r="F29" s="202"/>
      <c r="G29" s="202"/>
      <c r="H29" s="202"/>
      <c r="J29" s="189"/>
      <c r="L29" s="185"/>
      <c r="M29" s="313" t="s">
        <v>43</v>
      </c>
      <c r="N29" s="314">
        <f>'[1]CLP -INPUTS'!C43</f>
        <v>107</v>
      </c>
      <c r="O29" s="315">
        <f>'[1]CLP -INPUTS'!D43</f>
        <v>102</v>
      </c>
      <c r="T29" s="191"/>
      <c r="V29" s="180"/>
    </row>
    <row r="30" spans="2:22">
      <c r="B30" s="353"/>
      <c r="C30" s="202"/>
      <c r="D30" s="202"/>
      <c r="E30" s="202"/>
      <c r="F30" s="202"/>
      <c r="G30" s="202"/>
      <c r="H30" s="202"/>
      <c r="J30" s="189"/>
      <c r="L30" s="185"/>
      <c r="M30" s="313" t="s">
        <v>44</v>
      </c>
      <c r="N30" s="316">
        <f>'[1]CLP -INPUTS'!C44</f>
        <v>0.6754</v>
      </c>
      <c r="O30" s="317">
        <f>'[1]CLP -INPUTS'!D44</f>
        <v>0.51270000000000004</v>
      </c>
      <c r="T30" s="191"/>
    </row>
    <row r="31" spans="2:22" ht="14.25" customHeight="1">
      <c r="B31" s="353"/>
      <c r="C31" s="202"/>
      <c r="D31" s="202"/>
      <c r="E31" s="202"/>
      <c r="F31" s="202"/>
      <c r="G31" s="202"/>
      <c r="H31" s="202"/>
      <c r="J31" s="189"/>
      <c r="L31" s="185"/>
      <c r="M31" s="313" t="s">
        <v>45</v>
      </c>
      <c r="N31" s="318">
        <f>'[1]CLP -INPUTS'!C45</f>
        <v>160845.53</v>
      </c>
      <c r="O31" s="319">
        <f>'[1]CLP -INPUTS'!D45</f>
        <v>161721.79999999999</v>
      </c>
      <c r="T31" s="191"/>
    </row>
    <row r="32" spans="2:22" ht="15.75" thickBot="1">
      <c r="B32" s="353"/>
      <c r="C32" s="202"/>
      <c r="D32" s="202"/>
      <c r="E32" s="202"/>
      <c r="F32" s="202"/>
      <c r="G32" s="202"/>
      <c r="H32" s="202"/>
      <c r="J32" s="189"/>
      <c r="L32" s="185"/>
      <c r="M32" s="320" t="s">
        <v>46</v>
      </c>
      <c r="N32" s="321">
        <f>'[1]CLP -INPUTS'!C46</f>
        <v>34.24</v>
      </c>
      <c r="O32" s="322">
        <f>'[1]CLP -INPUTS'!D46</f>
        <v>39.28</v>
      </c>
      <c r="T32" s="191"/>
    </row>
    <row r="33" spans="2:20" ht="15.75" thickBot="1">
      <c r="B33" s="262"/>
      <c r="C33" s="263"/>
      <c r="D33" s="264"/>
      <c r="E33" s="264"/>
      <c r="F33" s="264"/>
      <c r="G33" s="264"/>
      <c r="H33" s="264"/>
      <c r="I33" s="265"/>
      <c r="J33" s="266"/>
      <c r="L33" s="185"/>
      <c r="T33" s="191"/>
    </row>
    <row r="34" spans="2:20" ht="15.75" thickBot="1">
      <c r="C34" s="227"/>
      <c r="D34" s="228"/>
      <c r="E34" s="228"/>
      <c r="F34" s="228"/>
      <c r="G34" s="228"/>
      <c r="L34" s="267"/>
      <c r="M34" s="268"/>
      <c r="N34" s="268"/>
      <c r="O34" s="268"/>
      <c r="P34" s="268"/>
      <c r="Q34" s="269"/>
      <c r="R34" s="269"/>
      <c r="S34" s="269"/>
      <c r="T34" s="270"/>
    </row>
    <row r="35" spans="2:20">
      <c r="C35" s="271"/>
      <c r="D35" s="17" t="s">
        <v>8</v>
      </c>
      <c r="E35" s="17" t="s">
        <v>0</v>
      </c>
      <c r="F35" s="17" t="str">
        <f t="shared" ref="F35:H35" si="1">F15</f>
        <v>1yr</v>
      </c>
      <c r="G35" s="17" t="str">
        <f t="shared" si="1"/>
        <v>3yr</v>
      </c>
      <c r="H35" s="17" t="str">
        <f t="shared" si="1"/>
        <v>5yr</v>
      </c>
      <c r="I35" s="17" t="str">
        <f>I15</f>
        <v>Inception*</v>
      </c>
    </row>
    <row r="36" spans="2:20">
      <c r="C36" s="272" t="s">
        <v>2</v>
      </c>
      <c r="D36" s="273">
        <f>SUMIF('[1]DATA - Since Change'!B:B,'[1]CLP -Fact Sheet'!D35,'[1]DATA - Since Change'!D:D)</f>
        <v>5.6585516452744455E-2</v>
      </c>
      <c r="E36" s="274">
        <f t="shared" ref="E36:I41" si="2">E16/100</f>
        <v>-2.2799999999999997E-2</v>
      </c>
      <c r="F36" s="274">
        <f t="shared" si="2"/>
        <v>0.25409999999999999</v>
      </c>
      <c r="G36" s="274">
        <f t="shared" si="2"/>
        <v>6.3099999999999989E-2</v>
      </c>
      <c r="H36" s="274">
        <f t="shared" si="2"/>
        <v>5.96E-2</v>
      </c>
      <c r="I36" s="274">
        <f t="shared" si="2"/>
        <v>4.4000000000000004E-2</v>
      </c>
    </row>
    <row r="37" spans="2:20">
      <c r="C37" s="272" t="s">
        <v>7</v>
      </c>
      <c r="D37" s="273">
        <f>SUMIF('[1]DATA - Since Change'!B:B,'[1]CLP -Fact Sheet'!D35,'[1]DATA - Since Change'!H:H)</f>
        <v>0.15070581325584564</v>
      </c>
      <c r="E37" s="274">
        <f t="shared" si="2"/>
        <v>1.7600000000000001E-2</v>
      </c>
      <c r="F37" s="274">
        <f t="shared" si="2"/>
        <v>0.68879999999999997</v>
      </c>
      <c r="G37" s="274">
        <f t="shared" si="2"/>
        <v>0.27010000000000001</v>
      </c>
      <c r="H37" s="274">
        <f t="shared" si="2"/>
        <v>0.25219999999999998</v>
      </c>
      <c r="I37" s="274">
        <f t="shared" si="2"/>
        <v>0.21249999999999999</v>
      </c>
    </row>
    <row r="38" spans="2:20">
      <c r="C38" s="275" t="s">
        <v>3</v>
      </c>
      <c r="D38" s="273">
        <f>SUMIF('[1]DATA - Since Change'!B:B,'[1]CLP -Fact Sheet'!D35,'[1]DATA - Since Change'!E:E)</f>
        <v>5.4788281460815602E-2</v>
      </c>
      <c r="E38" s="274">
        <f t="shared" si="2"/>
        <v>-2.3900000000000001E-2</v>
      </c>
      <c r="F38" s="274">
        <f t="shared" si="2"/>
        <v>0.24969999999999998</v>
      </c>
      <c r="G38" s="274">
        <f t="shared" si="2"/>
        <v>6.0100000000000001E-2</v>
      </c>
      <c r="H38" s="274">
        <f t="shared" si="2"/>
        <v>5.74E-2</v>
      </c>
      <c r="I38" s="274">
        <f t="shared" si="2"/>
        <v>4.8499999999999995E-2</v>
      </c>
    </row>
    <row r="39" spans="2:20">
      <c r="C39" s="275" t="s">
        <v>4</v>
      </c>
      <c r="D39" s="276">
        <f>SUMIF('[1]DATA - Since Change'!B:B,'[1]CLP -Fact Sheet'!D35,'[1]DATA - Since Change'!F:F)</f>
        <v>5.1641313785963483E-2</v>
      </c>
      <c r="E39" s="274">
        <f t="shared" si="2"/>
        <v>-2.52E-2</v>
      </c>
      <c r="F39" s="274">
        <f t="shared" si="2"/>
        <v>0.2422</v>
      </c>
      <c r="G39" s="274">
        <f t="shared" si="2"/>
        <v>5.2400000000000002E-2</v>
      </c>
      <c r="H39" s="274">
        <f t="shared" si="2"/>
        <v>4.9000000000000002E-2</v>
      </c>
      <c r="I39" s="274">
        <f t="shared" si="2"/>
        <v>4.0199999999999993E-2</v>
      </c>
    </row>
    <row r="40" spans="2:20">
      <c r="C40" s="272" t="s">
        <v>7</v>
      </c>
      <c r="D40" s="273">
        <f>SUMIF('[1]DATA - Since Change'!B:B,'[1]CLP -Fact Sheet'!D35,'[1]DATA - Since Change'!H:H)</f>
        <v>0.15070581325584564</v>
      </c>
      <c r="E40" s="274">
        <f t="shared" si="2"/>
        <v>1.7600000000000001E-2</v>
      </c>
      <c r="F40" s="274">
        <f t="shared" si="2"/>
        <v>0.68879999999999997</v>
      </c>
      <c r="G40" s="274">
        <f t="shared" si="2"/>
        <v>0.27010000000000001</v>
      </c>
      <c r="H40" s="274">
        <f t="shared" si="2"/>
        <v>0.25219999999999998</v>
      </c>
      <c r="I40" s="274">
        <f t="shared" si="2"/>
        <v>0.20879999999999999</v>
      </c>
      <c r="M40" s="277"/>
    </row>
    <row r="41" spans="2:20">
      <c r="C41" s="278" t="s">
        <v>114</v>
      </c>
      <c r="D41" s="279">
        <f>'[1]CLP -INPUTS'!C7</f>
        <v>-5.8999999999999999E-3</v>
      </c>
      <c r="E41" s="274">
        <f t="shared" si="2"/>
        <v>-8.0100000000000005E-2</v>
      </c>
      <c r="F41" s="274">
        <f t="shared" si="2"/>
        <v>0.17800000000000002</v>
      </c>
      <c r="G41" s="274">
        <f t="shared" si="2"/>
        <v>3.9399999999999998E-2</v>
      </c>
      <c r="H41" s="274">
        <f t="shared" si="2"/>
        <v>4.4999999999999998E-2</v>
      </c>
      <c r="I41" s="274">
        <f t="shared" si="2"/>
        <v>3.9900000000000005E-2</v>
      </c>
    </row>
    <row r="42" spans="2:20">
      <c r="C42" s="280"/>
      <c r="E42" s="281"/>
    </row>
    <row r="43" spans="2:20">
      <c r="C43" s="280"/>
      <c r="M43" s="282"/>
    </row>
    <row r="44" spans="2:20">
      <c r="C44" s="280"/>
    </row>
    <row r="45" spans="2:20">
      <c r="C45" s="280"/>
    </row>
    <row r="47" spans="2:20">
      <c r="G47" s="283"/>
    </row>
    <row r="48" spans="2:20">
      <c r="G48" s="284"/>
    </row>
    <row r="49" spans="6:8">
      <c r="G49" s="284"/>
    </row>
    <row r="51" spans="6:8">
      <c r="G51" s="283"/>
    </row>
    <row r="59" spans="6:8">
      <c r="F59" s="285"/>
      <c r="H59" s="180"/>
    </row>
    <row r="60" spans="6:8">
      <c r="F60" s="285"/>
      <c r="H60" s="180"/>
    </row>
    <row r="61" spans="6:8">
      <c r="F61" s="285"/>
      <c r="H61" s="180"/>
    </row>
    <row r="62" spans="6:8">
      <c r="F62" s="179"/>
      <c r="H62" s="180"/>
    </row>
    <row r="63" spans="6:8">
      <c r="F63" s="179"/>
      <c r="H63" s="180"/>
    </row>
    <row r="64" spans="6:8">
      <c r="F64" s="179"/>
      <c r="H64" s="180"/>
    </row>
  </sheetData>
  <mergeCells count="11">
    <mergeCell ref="B24:B32"/>
    <mergeCell ref="B2:J2"/>
    <mergeCell ref="L2:T2"/>
    <mergeCell ref="C4:C5"/>
    <mergeCell ref="D4:D5"/>
    <mergeCell ref="M4:Q4"/>
    <mergeCell ref="C6:C12"/>
    <mergeCell ref="D11:D12"/>
    <mergeCell ref="E11:E12"/>
    <mergeCell ref="F11:F12"/>
    <mergeCell ref="F14:I14"/>
  </mergeCells>
  <conditionalFormatting sqref="M5:N9 P5:Q9 N12:O24">
    <cfRule type="containsBlanks" dxfId="5" priority="6">
      <formula>LEN(TRIM(M5))=0</formula>
    </cfRule>
  </conditionalFormatting>
  <conditionalFormatting sqref="E13:F13 E6:F11">
    <cfRule type="cellIs" dxfId="4" priority="5" operator="equal">
      <formula>0</formula>
    </cfRule>
  </conditionalFormatting>
  <conditionalFormatting sqref="E13:F13 E6:F11">
    <cfRule type="containsErrors" dxfId="3" priority="4">
      <formula>ISERROR(E6)</formula>
    </cfRule>
  </conditionalFormatting>
  <conditionalFormatting sqref="D16:I20">
    <cfRule type="cellIs" dxfId="2" priority="2" operator="equal">
      <formula>0</formula>
    </cfRule>
    <cfRule type="containsErrors" dxfId="1" priority="3">
      <formula>ISERROR(D16)</formula>
    </cfRule>
  </conditionalFormatting>
  <conditionalFormatting sqref="N28:O32">
    <cfRule type="containsBlanks" dxfId="0" priority="1">
      <formula>LEN(TRIM(N28))=0</formula>
    </cfRule>
  </conditionalFormatting>
  <dataValidations count="1">
    <dataValidation type="list" allowBlank="1" showInputMessage="1" showErrorMessage="1" sqref="C24:C32 D15:I15" xr:uid="{7CA32E7C-20D6-44EA-B01D-634A8737CE8F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AE95-09B9-4228-A448-AAF40D90F716}">
  <sheetPr>
    <tabColor rgb="FFFF0000"/>
  </sheetPr>
  <dimension ref="A1:C8"/>
  <sheetViews>
    <sheetView workbookViewId="0">
      <selection activeCell="E13" sqref="E13"/>
    </sheetView>
  </sheetViews>
  <sheetFormatPr defaultRowHeight="15"/>
  <cols>
    <col min="1" max="1" width="10.5703125" style="286" bestFit="1" customWidth="1"/>
    <col min="2" max="2" width="12" style="1" bestFit="1" customWidth="1"/>
    <col min="3" max="3" width="9.140625" style="1"/>
  </cols>
  <sheetData>
    <row r="1" spans="1:3">
      <c r="A1" s="286" t="s">
        <v>115</v>
      </c>
      <c r="B1" s="1" t="str">
        <f>'Data Since Change'!K2</f>
        <v>CLPFX</v>
      </c>
      <c r="C1" s="1" t="str">
        <f>'Data Since Change'!O2</f>
        <v>BENCH</v>
      </c>
    </row>
    <row r="2" spans="1:3">
      <c r="A2" s="286">
        <f>'Data Since Change'!J3</f>
        <v>44105</v>
      </c>
      <c r="B2" s="1">
        <f>'Data Since Change'!K3</f>
        <v>10000</v>
      </c>
      <c r="C2" s="1">
        <f>'Data Since Change'!O3</f>
        <v>10000</v>
      </c>
    </row>
    <row r="3" spans="1:3">
      <c r="A3" s="286">
        <f>'Data Since Change'!J4</f>
        <v>44135</v>
      </c>
      <c r="B3" s="1">
        <f>'Data Since Change'!K4</f>
        <v>9868</v>
      </c>
      <c r="C3" s="1">
        <f>'Data Since Change'!O4</f>
        <v>9684</v>
      </c>
    </row>
    <row r="4" spans="1:3">
      <c r="A4" s="286">
        <f>'Data Since Change'!J5</f>
        <v>44165</v>
      </c>
      <c r="B4" s="1">
        <f>'Data Since Change'!K5</f>
        <v>10377.188800000002</v>
      </c>
      <c r="C4" s="1">
        <f>'Data Since Change'!O5</f>
        <v>10758.923999999999</v>
      </c>
    </row>
    <row r="5" spans="1:3">
      <c r="A5" s="286">
        <f>'Data Since Change'!J6</f>
        <v>44196</v>
      </c>
      <c r="B5" s="1">
        <f>'Data Since Change'!K6</f>
        <v>10811.993010720002</v>
      </c>
      <c r="C5" s="1">
        <f>'Data Since Change'!O6</f>
        <v>11308.705016399997</v>
      </c>
    </row>
    <row r="6" spans="1:3">
      <c r="A6" s="286">
        <f>'Data Since Change'!J7</f>
        <v>44227</v>
      </c>
      <c r="B6" s="1">
        <f>'Data Since Change'!K7</f>
        <v>11002.284087708675</v>
      </c>
      <c r="C6" s="1">
        <f>'Data Since Change'!O7</f>
        <v>11344.892872452478</v>
      </c>
    </row>
    <row r="7" spans="1:3">
      <c r="A7" s="286">
        <f>'Data Since Change'!J8</f>
        <v>44255</v>
      </c>
      <c r="B7" s="1">
        <f>'Data Since Change'!K8</f>
        <v>10641.40916963183</v>
      </c>
      <c r="C7" s="1">
        <f>'Data Since Change'!O8</f>
        <v>11340.354915303496</v>
      </c>
    </row>
    <row r="8" spans="1:3">
      <c r="A8" s="286">
        <f>'Data Since Change'!J9</f>
        <v>44286</v>
      </c>
      <c r="B8" s="1">
        <f>'Data Since Change'!K9</f>
        <v>10565.855164527444</v>
      </c>
      <c r="C8" s="1">
        <f>'Data Since Change'!O9</f>
        <v>11507.058132558457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52A3-4C10-4821-B83B-264E1E700E20}">
  <sheetPr>
    <tabColor rgb="FFFF0000"/>
  </sheetPr>
  <dimension ref="A1:H7"/>
  <sheetViews>
    <sheetView workbookViewId="0">
      <selection activeCell="E13" sqref="E13"/>
    </sheetView>
  </sheetViews>
  <sheetFormatPr defaultRowHeight="15"/>
  <cols>
    <col min="1" max="1" width="24.85546875" bestFit="1" customWidth="1"/>
    <col min="2" max="2" width="14.42578125" style="1" bestFit="1" customWidth="1"/>
    <col min="3" max="7" width="12.5703125" style="1" bestFit="1" customWidth="1"/>
    <col min="8" max="8" width="4.85546875" customWidth="1"/>
  </cols>
  <sheetData>
    <row r="1" spans="1:8">
      <c r="A1" t="s">
        <v>116</v>
      </c>
      <c r="B1" s="1" t="str">
        <f>'CLP - Fact Sheet'!D15</f>
        <v>Since 10/1/2020</v>
      </c>
      <c r="C1" s="1" t="str">
        <f>'CLP - Fact Sheet'!E15</f>
        <v>YTD</v>
      </c>
      <c r="D1" s="1" t="str">
        <f>'CLP - Fact Sheet'!F15</f>
        <v>1yr</v>
      </c>
      <c r="E1" s="1" t="str">
        <f>'CLP - Fact Sheet'!G15</f>
        <v>3yr</v>
      </c>
      <c r="F1" s="1" t="str">
        <f>'CLP - Fact Sheet'!H15</f>
        <v>5yr</v>
      </c>
      <c r="G1" s="1" t="str">
        <f>'CLP - Fact Sheet'!I15</f>
        <v>Inception*</v>
      </c>
      <c r="H1" t="s">
        <v>6</v>
      </c>
    </row>
    <row r="2" spans="1:8">
      <c r="A2" t="str">
        <f>'CLP - Fact Sheet'!C16</f>
        <v>Class I</v>
      </c>
      <c r="B2" s="1">
        <f>'CLP - Fact Sheet'!D16</f>
        <v>5.65</v>
      </c>
      <c r="C2" s="1">
        <f>'CLP - Fact Sheet'!E16</f>
        <v>-2.2799999999999998</v>
      </c>
      <c r="D2" s="1">
        <f>'CLP - Fact Sheet'!F16</f>
        <v>25.41</v>
      </c>
      <c r="E2" s="1">
        <f>'CLP - Fact Sheet'!G16</f>
        <v>6.31</v>
      </c>
      <c r="F2" s="1">
        <f>'CLP - Fact Sheet'!H16</f>
        <v>5.96</v>
      </c>
      <c r="G2" s="1">
        <f>'CLP - Fact Sheet'!I16</f>
        <v>4.4000000000000004</v>
      </c>
      <c r="H2">
        <v>1</v>
      </c>
    </row>
    <row r="3" spans="1:8">
      <c r="A3" t="str">
        <f>'CLP - Fact Sheet'!C17</f>
        <v>NASDAQ-100 Index</v>
      </c>
      <c r="B3" s="1">
        <f>'CLP - Fact Sheet'!D17</f>
        <v>15.08</v>
      </c>
      <c r="C3" s="1">
        <f>'CLP - Fact Sheet'!E17</f>
        <v>1.76</v>
      </c>
      <c r="D3" s="1">
        <f>'CLP - Fact Sheet'!F17</f>
        <v>68.88</v>
      </c>
      <c r="E3" s="1">
        <f>'CLP - Fact Sheet'!G17</f>
        <v>27.01</v>
      </c>
      <c r="F3" s="1">
        <f>'CLP - Fact Sheet'!H17</f>
        <v>25.22</v>
      </c>
      <c r="G3" s="1">
        <f>'CLP - Fact Sheet'!I17</f>
        <v>21.25</v>
      </c>
      <c r="H3">
        <v>2</v>
      </c>
    </row>
    <row r="4" spans="1:8">
      <c r="A4" t="str">
        <f>'CLP - Fact Sheet'!C18</f>
        <v>Class A</v>
      </c>
      <c r="B4" s="1">
        <f>'CLP - Fact Sheet'!D18</f>
        <v>5.47</v>
      </c>
      <c r="C4" s="1">
        <f>'CLP - Fact Sheet'!E18</f>
        <v>-2.39</v>
      </c>
      <c r="D4" s="1">
        <f>'CLP - Fact Sheet'!F18</f>
        <v>24.97</v>
      </c>
      <c r="E4" s="1">
        <f>'CLP - Fact Sheet'!G18</f>
        <v>6.01</v>
      </c>
      <c r="F4" s="1">
        <f>'CLP - Fact Sheet'!H18</f>
        <v>5.74</v>
      </c>
      <c r="G4" s="1">
        <f>'CLP - Fact Sheet'!I18</f>
        <v>4.8499999999999996</v>
      </c>
      <c r="H4">
        <v>3</v>
      </c>
    </row>
    <row r="5" spans="1:8">
      <c r="A5" t="str">
        <f>'CLP - Fact Sheet'!C19</f>
        <v>Class C</v>
      </c>
      <c r="B5" s="1">
        <f>'CLP - Fact Sheet'!D19</f>
        <v>5.1641313785963483</v>
      </c>
      <c r="C5" s="1">
        <f>'CLP - Fact Sheet'!E19</f>
        <v>-2.52</v>
      </c>
      <c r="D5" s="1">
        <f>'CLP - Fact Sheet'!F19</f>
        <v>24.22</v>
      </c>
      <c r="E5" s="1">
        <f>'CLP - Fact Sheet'!G19</f>
        <v>5.24</v>
      </c>
      <c r="F5" s="1">
        <f>'CLP - Fact Sheet'!H19</f>
        <v>4.9000000000000004</v>
      </c>
      <c r="G5" s="1">
        <f>'CLP - Fact Sheet'!I19</f>
        <v>4.0199999999999996</v>
      </c>
      <c r="H5">
        <v>4</v>
      </c>
    </row>
    <row r="6" spans="1:8">
      <c r="A6" t="str">
        <f>'CLP - Fact Sheet'!C20</f>
        <v>NASDAQ-100 Index</v>
      </c>
      <c r="B6" s="1">
        <f>'CLP - Fact Sheet'!D20</f>
        <v>15.08</v>
      </c>
      <c r="C6" s="1">
        <f>'CLP - Fact Sheet'!E20</f>
        <v>1.76</v>
      </c>
      <c r="D6" s="1">
        <f>'CLP - Fact Sheet'!F20</f>
        <v>68.88</v>
      </c>
      <c r="E6" s="1">
        <f>'CLP - Fact Sheet'!G20</f>
        <v>27.01</v>
      </c>
      <c r="F6" s="1">
        <f>'CLP - Fact Sheet'!H20</f>
        <v>25.22</v>
      </c>
      <c r="G6" s="1">
        <f>'CLP - Fact Sheet'!I20</f>
        <v>20.88</v>
      </c>
      <c r="H6">
        <v>5</v>
      </c>
    </row>
    <row r="7" spans="1:8">
      <c r="A7" t="s">
        <v>119</v>
      </c>
      <c r="B7" s="1">
        <f>'CLP - Fact Sheet'!D21</f>
        <v>-0.59</v>
      </c>
      <c r="C7" s="1">
        <f>'CLP - Fact Sheet'!E21</f>
        <v>-8.01</v>
      </c>
      <c r="D7" s="1">
        <f>'CLP - Fact Sheet'!F21</f>
        <v>17.8</v>
      </c>
      <c r="E7" s="1">
        <f>'CLP - Fact Sheet'!G21</f>
        <v>3.94</v>
      </c>
      <c r="F7" s="1">
        <f>'CLP - Fact Sheet'!H21</f>
        <v>4.5</v>
      </c>
      <c r="G7" s="1">
        <f>'CLP - Fact Sheet'!I21</f>
        <v>3.99</v>
      </c>
      <c r="H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53F3-DD75-4D61-A055-0C9AF62C1626}">
  <sheetPr>
    <tabColor rgb="FFFF0000"/>
  </sheetPr>
  <dimension ref="A1:C11"/>
  <sheetViews>
    <sheetView workbookViewId="0">
      <selection activeCell="E13" sqref="E13"/>
    </sheetView>
  </sheetViews>
  <sheetFormatPr defaultRowHeight="15"/>
  <cols>
    <col min="1" max="1" width="25" bestFit="1" customWidth="1"/>
    <col min="2" max="2" width="12" style="323" bestFit="1" customWidth="1"/>
  </cols>
  <sheetData>
    <row r="1" spans="1:3">
      <c r="A1" t="s">
        <v>116</v>
      </c>
      <c r="B1" s="323" t="s">
        <v>120</v>
      </c>
      <c r="C1" t="s">
        <v>6</v>
      </c>
    </row>
    <row r="2" spans="1:3">
      <c r="A2" t="str">
        <f>'CLP Inputs'!B11</f>
        <v>Invesco QQQ Trust Series 1</v>
      </c>
      <c r="B2" s="324">
        <f>'CLP Inputs'!C11</f>
        <v>0.222</v>
      </c>
      <c r="C2">
        <v>1</v>
      </c>
    </row>
    <row r="3" spans="1:3">
      <c r="A3" t="str">
        <f>'CLP Inputs'!B12</f>
        <v>Cash &amp; Equivalents</v>
      </c>
      <c r="B3" s="324">
        <f>'CLP Inputs'!C12</f>
        <v>0.17014290499877871</v>
      </c>
      <c r="C3">
        <v>2</v>
      </c>
    </row>
    <row r="4" spans="1:3">
      <c r="A4" t="str">
        <f>'CLP Inputs'!B13</f>
        <v>Apple Inc</v>
      </c>
      <c r="B4" s="324">
        <f>'CLP Inputs'!C13</f>
        <v>6.7000000000000004E-2</v>
      </c>
      <c r="C4">
        <v>3</v>
      </c>
    </row>
    <row r="5" spans="1:3">
      <c r="A5" t="str">
        <f>'CLP Inputs'!B14</f>
        <v>Microsoft Corp</v>
      </c>
      <c r="B5" s="324">
        <f>'CLP Inputs'!C14</f>
        <v>5.8000000000000003E-2</v>
      </c>
      <c r="C5">
        <v>4</v>
      </c>
    </row>
    <row r="6" spans="1:3">
      <c r="A6" t="str">
        <f>'CLP Inputs'!B15</f>
        <v>Amazon.com Inc</v>
      </c>
      <c r="B6" s="324">
        <f>'CLP Inputs'!C15</f>
        <v>5.0999999999999997E-2</v>
      </c>
      <c r="C6">
        <v>5</v>
      </c>
    </row>
    <row r="7" spans="1:3">
      <c r="A7" t="str">
        <f>'CLP Inputs'!B16</f>
        <v>Tesla Inc</v>
      </c>
      <c r="B7" s="324">
        <f>'CLP Inputs'!C16</f>
        <v>2.5999999999999999E-2</v>
      </c>
      <c r="C7">
        <v>6</v>
      </c>
    </row>
    <row r="8" spans="1:3">
      <c r="A8" t="str">
        <f>'CLP Inputs'!B17</f>
        <v>Facebook Inc</v>
      </c>
      <c r="B8" s="324">
        <f>'CLP Inputs'!C17</f>
        <v>2.3E-2</v>
      </c>
      <c r="C8">
        <v>7</v>
      </c>
    </row>
    <row r="9" spans="1:3">
      <c r="A9" t="str">
        <f>'CLP Inputs'!B18</f>
        <v>Alphabet Inc</v>
      </c>
      <c r="B9" s="324">
        <f>'CLP Inputs'!C18</f>
        <v>2.1999999999999999E-2</v>
      </c>
      <c r="C9">
        <v>8</v>
      </c>
    </row>
    <row r="10" spans="1:3">
      <c r="A10" t="str">
        <f>'CLP Inputs'!B19</f>
        <v>Alphabet Inc</v>
      </c>
      <c r="B10" s="324">
        <f>'CLP Inputs'!C19</f>
        <v>0.02</v>
      </c>
      <c r="C10">
        <v>9</v>
      </c>
    </row>
    <row r="11" spans="1:3">
      <c r="A11" t="str">
        <f>'CLP Inputs'!B20</f>
        <v>NVIDIA Corp</v>
      </c>
      <c r="B11" s="324">
        <f>'CLP Inputs'!C20</f>
        <v>1.6E-2</v>
      </c>
      <c r="C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7EF7-0C9E-4C0F-B1C0-4FFB4CE45685}">
  <sheetPr>
    <tabColor rgb="FFFF0000"/>
  </sheetPr>
  <dimension ref="A1:C15"/>
  <sheetViews>
    <sheetView workbookViewId="0">
      <selection activeCell="E13" sqref="E13"/>
    </sheetView>
  </sheetViews>
  <sheetFormatPr defaultRowHeight="15"/>
  <cols>
    <col min="1" max="1" width="23.140625" bestFit="1" customWidth="1"/>
    <col min="2" max="2" width="6.28515625" style="1" bestFit="1" customWidth="1"/>
    <col min="3" max="3" width="18.140625" style="1" bestFit="1" customWidth="1"/>
  </cols>
  <sheetData>
    <row r="1" spans="1:3">
      <c r="A1" t="s">
        <v>117</v>
      </c>
      <c r="B1" s="1" t="s">
        <v>52</v>
      </c>
      <c r="C1" s="1" t="s">
        <v>7</v>
      </c>
    </row>
    <row r="2" spans="1:3">
      <c r="A2" s="287" t="str">
        <f>'CLP - Fact Sheet'!M21</f>
        <v>Financials</v>
      </c>
      <c r="B2" s="1">
        <f>'CLP - Fact Sheet'!N21*100</f>
        <v>0</v>
      </c>
      <c r="C2" s="1">
        <f>'CLP - Fact Sheet'!O21*100</f>
        <v>0</v>
      </c>
    </row>
    <row r="3" spans="1:3">
      <c r="A3" s="287" t="str">
        <f>'CLP - Fact Sheet'!M22</f>
        <v>Materials</v>
      </c>
      <c r="B3" s="1">
        <f>'CLP - Fact Sheet'!N22*100</f>
        <v>0</v>
      </c>
      <c r="C3" s="1">
        <f>'CLP - Fact Sheet'!O22*100</f>
        <v>0.24</v>
      </c>
    </row>
    <row r="4" spans="1:3">
      <c r="A4" s="287" t="str">
        <f>'CLP - Fact Sheet'!M23</f>
        <v>Energy</v>
      </c>
      <c r="B4" s="1">
        <f>'CLP - Fact Sheet'!N23*100</f>
        <v>0</v>
      </c>
      <c r="C4" s="1">
        <f>'CLP - Fact Sheet'!O23*100</f>
        <v>0</v>
      </c>
    </row>
    <row r="5" spans="1:3">
      <c r="A5" s="287" t="str">
        <f>'CLP - Fact Sheet'!M24</f>
        <v>Real Estate</v>
      </c>
      <c r="B5" s="1">
        <f>'CLP - Fact Sheet'!N24*100</f>
        <v>0</v>
      </c>
      <c r="C5" s="1">
        <f>'CLP - Fact Sheet'!O24*100</f>
        <v>0</v>
      </c>
    </row>
    <row r="6" spans="1:3">
      <c r="A6" s="287" t="str">
        <f>'CLP - Fact Sheet'!M20</f>
        <v>Utilities</v>
      </c>
      <c r="B6" s="1">
        <f>'CLP - Fact Sheet'!N20*100</f>
        <v>0.59663547665282368</v>
      </c>
      <c r="C6" s="1">
        <f>'CLP - Fact Sheet'!O20*100</f>
        <v>0.98</v>
      </c>
    </row>
    <row r="7" spans="1:3">
      <c r="A7" s="287" t="str">
        <f>'CLP - Fact Sheet'!M19</f>
        <v>Industrials</v>
      </c>
      <c r="B7" s="1">
        <f>'CLP - Fact Sheet'!N19*100</f>
        <v>1.1126084138519161</v>
      </c>
      <c r="C7" s="1">
        <f>'CLP - Fact Sheet'!O19*100</f>
        <v>5.3</v>
      </c>
    </row>
    <row r="8" spans="1:3">
      <c r="A8" s="287" t="str">
        <f>'CLP - Fact Sheet'!M18</f>
        <v>Consumer Staples</v>
      </c>
      <c r="B8" s="1">
        <f>'CLP - Fact Sheet'!N18*100</f>
        <v>3.1017313449082295</v>
      </c>
      <c r="C8" s="1">
        <f>'CLP - Fact Sheet'!O18*100</f>
        <v>9.16</v>
      </c>
    </row>
    <row r="9" spans="1:3">
      <c r="A9" s="287" t="str">
        <f>'CLP - Fact Sheet'!M17</f>
        <v>Health Care</v>
      </c>
      <c r="B9" s="1">
        <f>'CLP - Fact Sheet'!N17*100</f>
        <v>3.8921303912649328</v>
      </c>
      <c r="C9" s="1">
        <f>'CLP - Fact Sheet'!O17*100</f>
        <v>6.23</v>
      </c>
    </row>
    <row r="10" spans="1:3">
      <c r="A10" s="287" t="str">
        <f>'CLP - Fact Sheet'!M16</f>
        <v>Consumer Discretionary</v>
      </c>
      <c r="B10" s="1">
        <f>'CLP - Fact Sheet'!N16*100</f>
        <v>11.100685257143381</v>
      </c>
      <c r="C10" s="1">
        <f>'CLP - Fact Sheet'!O16*100</f>
        <v>20.82</v>
      </c>
    </row>
    <row r="11" spans="1:3">
      <c r="A11" s="287" t="str">
        <f>'CLP - Fact Sheet'!M15</f>
        <v>Communication Services</v>
      </c>
      <c r="B11" s="1">
        <f>'CLP - Fact Sheet'!N15*100</f>
        <v>11.671932882623686</v>
      </c>
      <c r="C11" s="1">
        <f>'CLP - Fact Sheet'!O15*100</f>
        <v>1.27</v>
      </c>
    </row>
    <row r="12" spans="1:3">
      <c r="A12" s="287" t="str">
        <f>'CLP - Fact Sheet'!M14</f>
        <v>Cash</v>
      </c>
      <c r="B12" s="1">
        <f>'CLP - Fact Sheet'!N14*100</f>
        <v>17.01429049987787</v>
      </c>
      <c r="C12" s="1">
        <f>'CLP - Fact Sheet'!O14*100</f>
        <v>0</v>
      </c>
    </row>
    <row r="13" spans="1:3">
      <c r="A13" s="287" t="str">
        <f>'CLP - Fact Sheet'!M13</f>
        <v>ETF/ETN</v>
      </c>
      <c r="B13" s="1">
        <f>'CLP - Fact Sheet'!N13*100</f>
        <v>22.205767136594183</v>
      </c>
      <c r="C13" s="1">
        <f>'CLP - Fact Sheet'!O13*100</f>
        <v>0</v>
      </c>
    </row>
    <row r="14" spans="1:3">
      <c r="A14" s="287" t="str">
        <f>'CLP - Fact Sheet'!M12</f>
        <v>Information Technology</v>
      </c>
      <c r="B14" s="1">
        <f>'CLP - Fact Sheet'!N12*100</f>
        <v>29.304218597082972</v>
      </c>
      <c r="C14" s="1">
        <f>'CLP - Fact Sheet'!O12*100</f>
        <v>56.000000000000007</v>
      </c>
    </row>
    <row r="15" spans="1:3">
      <c r="A15" s="287"/>
    </row>
  </sheetData>
  <sortState xmlns:xlrd2="http://schemas.microsoft.com/office/spreadsheetml/2017/richdata2" ref="A2:C15">
    <sortCondition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CLP Inputs</vt:lpstr>
      <vt:lpstr>Data Since Change</vt:lpstr>
      <vt:lpstr>CLP - Fact Sheet</vt:lpstr>
      <vt:lpstr>CLP_EXPORT_10kChart</vt:lpstr>
      <vt:lpstr>CLP_EXPORT_PerformanceTable</vt:lpstr>
      <vt:lpstr>CLP_EXPORT_Top10Holdings</vt:lpstr>
      <vt:lpstr>CLP_EXPORT_SectorAllocationBar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Jakob Bradshaw</cp:lastModifiedBy>
  <dcterms:created xsi:type="dcterms:W3CDTF">2020-02-06T15:35:18Z</dcterms:created>
  <dcterms:modified xsi:type="dcterms:W3CDTF">2021-04-26T13:18:47Z</dcterms:modified>
</cp:coreProperties>
</file>