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X:\Marketing Team Files\Marketing Materials\AutoCharts&amp;Tables\Backup Files\Rational\PBX\"/>
    </mc:Choice>
  </mc:AlternateContent>
  <xr:revisionPtr revIDLastSave="0" documentId="13_ncr:1_{E094896A-D378-4FB9-9BFC-0B609143071A}" xr6:coauthVersionLast="46" xr6:coauthVersionMax="46" xr10:uidLastSave="{00000000-0000-0000-0000-000000000000}"/>
  <bookViews>
    <workbookView xWindow="-28920" yWindow="-120" windowWidth="29040" windowHeight="15840" tabRatio="821" xr2:uid="{00000000-000D-0000-FFFF-FFFF00000000}"/>
  </bookViews>
  <sheets>
    <sheet name="PBX Return Data" sheetId="7" r:id="rId1"/>
    <sheet name="PBX - FACT SHEET" sheetId="4" r:id="rId2"/>
    <sheet name="PBX" sheetId="8" r:id="rId3"/>
    <sheet name="Price Return Table" sheetId="14" r:id="rId4"/>
    <sheet name="PBX_EXPORT_10kChart" sheetId="9" state="hidden" r:id="rId5"/>
    <sheet name="PBX_EXPORT_PriceReturnTable" sheetId="15" r:id="rId6"/>
    <sheet name="PBX_EXPORT_PerformanceTable" sheetId="10" r:id="rId7"/>
    <sheet name="PBX_EXPORT_Performance&amp;RiskStat" sheetId="11" r:id="rId8"/>
    <sheet name="PBX_EXPORT_SectorAllocation" sheetId="12" r:id="rId9"/>
    <sheet name="PBX_EXPORT_SecuritiesAssetPie" sheetId="13" r:id="rId10"/>
  </sheets>
  <externalReferences>
    <externalReference r:id="rId11"/>
    <externalReference r:id="rId12"/>
    <externalReference r:id="rId13"/>
    <externalReference r:id="rId14"/>
    <externalReference r:id="rId15"/>
  </externalReferences>
  <definedNames>
    <definedName name="__FDS_HYPERLINK_TOGGLE_STATE__" hidden="1">"ON"</definedName>
    <definedName name="__FDS_UNIQUE_RANGE_ID_GENERATOR_COUNTER" hidden="1">7</definedName>
    <definedName name="_1__FDSAUDITLINK__" hidden="1">{"fdsup://directions/FAT Viewer?action=UPDATE&amp;creator=factset&amp;DYN_ARGS=TRUE&amp;DOC_NAME=FAT:FQL_AUDITING_CLIENT_TEMPLATE.FAT&amp;display_string=Audit&amp;VAR:KEY=LSBADEBMNW&amp;VAR:QUERY=RkZfUEVfRElMKEFOTiw2LzMwLzIwMTEsNi8yOS8yMDEyLEFZKQ==&amp;WINDOW=FIRST_POPUP&amp;HEIGHT=450&amp;WI","DTH=450&amp;START_MAXIMIZED=FALSE&amp;VAR:CALENDAR=US&amp;VAR:SYMBOL=FNSXX&amp;VAR:INDEX=0"}</definedName>
    <definedName name="_2__FDSAUDITLINK__" hidden="1">{"fdsup://directions/FAT Viewer?action=UPDATE&amp;creator=factset&amp;DYN_ARGS=TRUE&amp;DOC_NAME=FAT:FQL_AUDITING_CLIENT_TEMPLATE.FAT&amp;display_string=Audit&amp;VAR:KEY=LCVWFIZGLE&amp;VAR:QUERY=RkZfUEVfRElMKEFOTiw2LzMwLzIwMTEsNi8yOS8yMDEyLEFZKQ==&amp;WINDOW=FIRST_POPUP&amp;HEIGHT=450&amp;WI","DTH=450&amp;START_MAXIMIZED=FALSE&amp;VAR:CALENDAR=US&amp;VAR:SYMBOL=AAPL&amp;VAR:INDEX=0"}</definedName>
    <definedName name="_3__FDSAUDITLINK__" hidden="1">{"fdsup://directions/FAT Viewer?action=UPDATE&amp;creator=factset&amp;DYN_ARGS=TRUE&amp;DOC_NAME=FAT:FQL_AUDITING_CLIENT_TEMPLATE.FAT&amp;display_string=Audit&amp;VAR:KEY=YLGNOZSPQD&amp;VAR:QUERY=RkZfUEVfRElMKENBTCwwNi8zMC8yMDExKQ==&amp;WINDOW=FIRST_POPUP&amp;HEIGHT=450&amp;WIDTH=450&amp;START_MA","XIMIZED=FALSE&amp;VAR:CALENDAR=US&amp;VAR:SYMBOL=HCA&amp;VAR:INDEX=0"}</definedName>
    <definedName name="_4__FDSAUDITLINK__" hidden="1">{"fdsup://directions/FAT Viewer?action=UPDATE&amp;creator=factset&amp;DYN_ARGS=TRUE&amp;DOC_NAME=FAT:FQL_AUDITING_CLIENT_TEMPLATE.FAT&amp;display_string=Audit&amp;VAR:KEY=ZYZGNKPSTA&amp;VAR:QUERY=RkZfUEVfRElMKEFOTiwxMi8zMC8yMDExLDA2LzI5LzIwMTIsQVkp&amp;WINDOW=FIRST_POPUP&amp;HEIGHT=450&amp;WI","DTH=450&amp;START_MAXIMIZED=FALSE&amp;VAR:CALENDAR=US&amp;VAR:SYMBOL=CHMT&amp;VAR:INDEX=0"}</definedName>
    <definedName name="_5__FDSAUDITLINK__" hidden="1">{"fdsup://directions/FAT Viewer?action=UPDATE&amp;creator=factset&amp;DYN_ARGS=TRUE&amp;DOC_NAME=FAT:FQL_AUDITING_CLIENT_TEMPLATE.FAT&amp;display_string=Audit&amp;VAR:KEY=YTILMLATQX&amp;VAR:QUERY=RkZfUEVfRElMKEFOTiwxMi8zMC8yMDExLDA2LzI5LzIwMTIsQVkp&amp;WINDOW=FIRST_POPUP&amp;HEIGHT=450&amp;WI","DTH=450&amp;START_MAXIMIZED=FALSE&amp;VAR:CALENDAR=US&amp;VAR:SYMBOL=FNSXX&amp;VAR:INDEX=0"}</definedName>
    <definedName name="_6__FDSAUDITLINK__" hidden="1">{"fdsup://directions/FAT Viewer?action=UPDATE&amp;creator=factset&amp;DYN_ARGS=TRUE&amp;DOC_NAME=FAT:FQL_AUDITING_CLIENT_TEMPLATE.FAT&amp;display_string=Audit&amp;VAR:KEY=EHQBUJUHER&amp;VAR:QUERY=RkZfUEVfRElMKEFOTiwwNi8zMC8yMDExLDA2LzI5LzIwMTIsQVkp&amp;WINDOW=FIRST_POPUP&amp;HEIGHT=450&amp;WI","DTH=450&amp;START_MAXIMIZED=FALSE&amp;VAR:CALENDAR=US&amp;VAR:SYMBOL=HSY&amp;VAR:INDEX=0"}</definedName>
    <definedName name="_xlnm._FilterDatabase" localSheetId="9" hidden="1">PBX_EXPORT_SecuritiesAssetPie!$A$1:$B$7</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1" l="1"/>
  <c r="C3" i="11"/>
  <c r="C4" i="11"/>
  <c r="C5" i="11"/>
  <c r="C6" i="11"/>
  <c r="C7" i="11"/>
  <c r="C2" i="11"/>
  <c r="B3" i="11"/>
  <c r="B4" i="11"/>
  <c r="B6" i="11"/>
  <c r="B7" i="11"/>
  <c r="B2" i="11"/>
  <c r="A3" i="11"/>
  <c r="A4" i="11"/>
  <c r="A5" i="11"/>
  <c r="A6" i="11"/>
  <c r="A7" i="11"/>
  <c r="A2" i="11"/>
  <c r="F35" i="4"/>
  <c r="E35" i="4"/>
  <c r="F34" i="4"/>
  <c r="E34" i="4"/>
  <c r="E33" i="4"/>
  <c r="E32" i="4"/>
  <c r="O31" i="4"/>
  <c r="E31" i="4"/>
  <c r="F30" i="4"/>
  <c r="E30" i="4"/>
  <c r="H16" i="4"/>
  <c r="G16" i="4"/>
  <c r="F16" i="4"/>
  <c r="E16" i="4"/>
  <c r="D16" i="4"/>
  <c r="F6" i="4" s="1"/>
  <c r="G15" i="4"/>
  <c r="F15" i="4"/>
  <c r="E15" i="4"/>
  <c r="D15" i="4"/>
  <c r="H14" i="4"/>
  <c r="G14" i="4"/>
  <c r="F14" i="4"/>
  <c r="E14" i="4"/>
  <c r="D14" i="4"/>
  <c r="G13" i="4"/>
  <c r="F13" i="4"/>
  <c r="E13" i="4"/>
  <c r="D13" i="4"/>
  <c r="G10" i="4"/>
  <c r="F10" i="4"/>
  <c r="E10" i="4"/>
  <c r="D10" i="4"/>
  <c r="G9" i="4"/>
  <c r="F9" i="4"/>
  <c r="E9" i="4"/>
  <c r="D9" i="4"/>
  <c r="G8" i="4"/>
  <c r="F8" i="4"/>
  <c r="E8" i="4"/>
  <c r="D8" i="4"/>
  <c r="G7" i="4"/>
  <c r="F7" i="4"/>
  <c r="E7" i="4"/>
  <c r="D7" i="4"/>
  <c r="G6" i="4"/>
  <c r="E6" i="4"/>
  <c r="D6" i="4"/>
  <c r="G5" i="4"/>
  <c r="F5" i="4"/>
  <c r="E5" i="4"/>
  <c r="D4" i="4"/>
  <c r="E4" i="15"/>
  <c r="E3" i="15"/>
  <c r="E2" i="15"/>
  <c r="D4" i="15"/>
  <c r="D3" i="15"/>
  <c r="D2" i="15"/>
  <c r="I8" i="14"/>
  <c r="H8" i="14"/>
  <c r="I7" i="14"/>
  <c r="H7" i="14"/>
  <c r="G7" i="14"/>
  <c r="G8" i="14" s="1"/>
  <c r="I6" i="14"/>
  <c r="I10" i="14" s="1"/>
  <c r="H6" i="14"/>
  <c r="H10" i="14" s="1"/>
  <c r="G6" i="14"/>
  <c r="G10" i="14" l="1"/>
  <c r="C4" i="15" l="1"/>
  <c r="C3" i="15"/>
  <c r="C2" i="15"/>
  <c r="B4" i="15"/>
  <c r="B3" i="15"/>
  <c r="B2" i="15"/>
  <c r="A7" i="10"/>
  <c r="B7" i="10"/>
  <c r="C7" i="10"/>
  <c r="D7" i="10"/>
  <c r="E7" i="10"/>
  <c r="F7" i="10"/>
  <c r="A8" i="10"/>
  <c r="E8" i="10"/>
  <c r="F8" i="10"/>
  <c r="A49" i="9"/>
  <c r="B49" i="9"/>
  <c r="C49" i="9"/>
  <c r="D49" i="9"/>
  <c r="A50" i="9"/>
  <c r="B50" i="9"/>
  <c r="C50" i="9"/>
  <c r="D50" i="9"/>
  <c r="A51" i="9"/>
  <c r="B51" i="9"/>
  <c r="C51" i="9"/>
  <c r="D51" i="9"/>
  <c r="D8" i="10"/>
  <c r="C8" i="10"/>
  <c r="B8" i="10"/>
  <c r="J52" i="7"/>
  <c r="I52" i="7"/>
  <c r="H52" i="7"/>
  <c r="G52" i="7"/>
  <c r="F52" i="7"/>
  <c r="J51" i="7"/>
  <c r="I51" i="7"/>
  <c r="H51" i="7"/>
  <c r="G51" i="7"/>
  <c r="F51" i="7"/>
  <c r="J50" i="7"/>
  <c r="I50" i="7"/>
  <c r="H50" i="7"/>
  <c r="G50" i="7"/>
  <c r="F50" i="7"/>
  <c r="J49" i="7"/>
  <c r="I49" i="7"/>
  <c r="H49" i="7"/>
  <c r="G49" i="7"/>
  <c r="F49" i="7"/>
  <c r="J48" i="7"/>
  <c r="I48" i="7"/>
  <c r="H48" i="7"/>
  <c r="G48" i="7"/>
  <c r="F48" i="7"/>
  <c r="J47" i="7"/>
  <c r="I47" i="7"/>
  <c r="H47" i="7"/>
  <c r="G47" i="7"/>
  <c r="F47" i="7"/>
  <c r="J46" i="7"/>
  <c r="I46" i="7"/>
  <c r="H46" i="7"/>
  <c r="G46" i="7"/>
  <c r="F46" i="7"/>
  <c r="J45" i="7"/>
  <c r="I45" i="7"/>
  <c r="H45" i="7"/>
  <c r="G45" i="7"/>
  <c r="F45" i="7"/>
  <c r="J44" i="7"/>
  <c r="I44" i="7"/>
  <c r="H44" i="7"/>
  <c r="G44" i="7"/>
  <c r="F44" i="7"/>
  <c r="J43" i="7"/>
  <c r="I43" i="7"/>
  <c r="H43" i="7"/>
  <c r="G43" i="7"/>
  <c r="F43" i="7"/>
  <c r="J42" i="7"/>
  <c r="I42" i="7"/>
  <c r="H42" i="7"/>
  <c r="G42" i="7"/>
  <c r="F42" i="7"/>
  <c r="J41" i="7"/>
  <c r="I41" i="7"/>
  <c r="H41" i="7"/>
  <c r="G41" i="7"/>
  <c r="F41" i="7"/>
  <c r="J40" i="7"/>
  <c r="I40" i="7"/>
  <c r="H40" i="7"/>
  <c r="G40" i="7"/>
  <c r="F40" i="7"/>
  <c r="J39" i="7"/>
  <c r="I39" i="7"/>
  <c r="H39" i="7"/>
  <c r="G39" i="7"/>
  <c r="F39" i="7"/>
  <c r="J38" i="7"/>
  <c r="I38" i="7"/>
  <c r="H38" i="7"/>
  <c r="G38" i="7"/>
  <c r="F38" i="7"/>
  <c r="J37" i="7"/>
  <c r="I37" i="7"/>
  <c r="H37" i="7"/>
  <c r="G37" i="7"/>
  <c r="F37" i="7"/>
  <c r="J36" i="7"/>
  <c r="I36" i="7"/>
  <c r="H36" i="7"/>
  <c r="G36" i="7"/>
  <c r="F36" i="7"/>
  <c r="J35" i="7"/>
  <c r="I35" i="7"/>
  <c r="H35" i="7"/>
  <c r="G35" i="7"/>
  <c r="F35" i="7"/>
  <c r="J34" i="7"/>
  <c r="I34" i="7"/>
  <c r="H34" i="7"/>
  <c r="G34" i="7"/>
  <c r="F34" i="7"/>
  <c r="J33" i="7"/>
  <c r="I33" i="7"/>
  <c r="H33" i="7"/>
  <c r="G33" i="7"/>
  <c r="F33" i="7"/>
  <c r="AC32" i="7"/>
  <c r="AB32" i="7"/>
  <c r="Y32" i="7"/>
  <c r="I32" i="7"/>
  <c r="H32" i="7"/>
  <c r="G32" i="7"/>
  <c r="F32" i="7"/>
  <c r="I31" i="7"/>
  <c r="H31" i="7"/>
  <c r="G31" i="7"/>
  <c r="F31" i="7"/>
  <c r="W30" i="7"/>
  <c r="I30" i="7"/>
  <c r="H30" i="7"/>
  <c r="G30" i="7"/>
  <c r="F30" i="7"/>
  <c r="I29" i="7"/>
  <c r="H29" i="7"/>
  <c r="G29" i="7"/>
  <c r="F29" i="7"/>
  <c r="W28" i="7"/>
  <c r="I28" i="7"/>
  <c r="H28" i="7"/>
  <c r="G28" i="7"/>
  <c r="F28" i="7"/>
  <c r="W27" i="7"/>
  <c r="I27" i="7"/>
  <c r="H27" i="7"/>
  <c r="G27" i="7"/>
  <c r="F27" i="7"/>
  <c r="W26" i="7"/>
  <c r="I26" i="7"/>
  <c r="H26" i="7"/>
  <c r="G26" i="7"/>
  <c r="F26" i="7"/>
  <c r="W25" i="7"/>
  <c r="I25" i="7"/>
  <c r="H25" i="7"/>
  <c r="G25" i="7"/>
  <c r="F25" i="7"/>
  <c r="W24" i="7"/>
  <c r="I24" i="7"/>
  <c r="H24" i="7"/>
  <c r="G24" i="7"/>
  <c r="F24" i="7"/>
  <c r="W23" i="7"/>
  <c r="I23" i="7"/>
  <c r="H23" i="7"/>
  <c r="G23" i="7"/>
  <c r="F23" i="7"/>
  <c r="W22" i="7"/>
  <c r="I22" i="7"/>
  <c r="H22" i="7"/>
  <c r="G22" i="7"/>
  <c r="F22" i="7"/>
  <c r="I21" i="7"/>
  <c r="H21" i="7"/>
  <c r="G21" i="7"/>
  <c r="F21" i="7"/>
  <c r="X20" i="7"/>
  <c r="X32" i="7" s="1"/>
  <c r="I20" i="7"/>
  <c r="H20" i="7"/>
  <c r="G20" i="7"/>
  <c r="F20" i="7"/>
  <c r="I19" i="7"/>
  <c r="H19" i="7"/>
  <c r="G19" i="7"/>
  <c r="F19" i="7"/>
  <c r="I18" i="7"/>
  <c r="H18" i="7"/>
  <c r="G18" i="7"/>
  <c r="F18" i="7"/>
  <c r="I17" i="7"/>
  <c r="H17" i="7"/>
  <c r="G17" i="7"/>
  <c r="F17" i="7"/>
  <c r="I16" i="7"/>
  <c r="H16" i="7"/>
  <c r="G16" i="7"/>
  <c r="Z7" i="7" s="1"/>
  <c r="F16" i="7"/>
  <c r="I15" i="7"/>
  <c r="H15" i="7"/>
  <c r="G15" i="7"/>
  <c r="F15" i="7"/>
  <c r="I14" i="7"/>
  <c r="H14" i="7"/>
  <c r="G14" i="7"/>
  <c r="F14" i="7"/>
  <c r="I13" i="7"/>
  <c r="H13" i="7"/>
  <c r="G13" i="7"/>
  <c r="F13" i="7"/>
  <c r="Z8" i="7" s="1"/>
  <c r="I12" i="7"/>
  <c r="H12" i="7"/>
  <c r="G12" i="7"/>
  <c r="F12" i="7"/>
  <c r="I11" i="7"/>
  <c r="H11" i="7"/>
  <c r="G11" i="7"/>
  <c r="F11" i="7"/>
  <c r="I10" i="7"/>
  <c r="H10" i="7"/>
  <c r="G10" i="7"/>
  <c r="F10" i="7"/>
  <c r="I9" i="7"/>
  <c r="H9" i="7"/>
  <c r="G9" i="7"/>
  <c r="F9" i="7"/>
  <c r="I8" i="7"/>
  <c r="H8" i="7"/>
  <c r="G8" i="7"/>
  <c r="F8" i="7"/>
  <c r="I7" i="7"/>
  <c r="H7" i="7"/>
  <c r="G7" i="7"/>
  <c r="F7" i="7"/>
  <c r="K6" i="7"/>
  <c r="I6" i="7"/>
  <c r="H6" i="7"/>
  <c r="G6" i="7"/>
  <c r="F6" i="7"/>
  <c r="K5" i="7"/>
  <c r="P5" i="7" s="1"/>
  <c r="I5" i="7"/>
  <c r="H5" i="7"/>
  <c r="G5" i="7"/>
  <c r="F5" i="7"/>
  <c r="A5" i="7"/>
  <c r="S4" i="7"/>
  <c r="P4" i="7"/>
  <c r="N4" i="7"/>
  <c r="N5" i="7" s="1"/>
  <c r="N6" i="7" s="1"/>
  <c r="S6" i="7" s="1"/>
  <c r="L4" i="7"/>
  <c r="Q4" i="7" s="1"/>
  <c r="K4" i="7"/>
  <c r="I4" i="7"/>
  <c r="H4" i="7"/>
  <c r="G4" i="7"/>
  <c r="F4" i="7"/>
  <c r="K7" i="7" l="1"/>
  <c r="P6" i="7"/>
  <c r="N7" i="7"/>
  <c r="Z15" i="7"/>
  <c r="M4" i="7"/>
  <c r="Z13" i="7"/>
  <c r="Z12" i="7"/>
  <c r="S5" i="7"/>
  <c r="W36" i="7"/>
  <c r="L5" i="7"/>
  <c r="A6" i="7"/>
  <c r="Y15" i="7"/>
  <c r="O4" i="7"/>
  <c r="Y7" i="7"/>
  <c r="B46" i="9"/>
  <c r="B47" i="9"/>
  <c r="B48" i="9"/>
  <c r="M5" i="7" l="1"/>
  <c r="R4" i="7"/>
  <c r="A7" i="7"/>
  <c r="K8" i="7"/>
  <c r="P7" i="7"/>
  <c r="O5" i="7"/>
  <c r="T4" i="7"/>
  <c r="Q5" i="7"/>
  <c r="L6" i="7"/>
  <c r="S7" i="7"/>
  <c r="N8" i="7"/>
  <c r="B43" i="9"/>
  <c r="B44" i="9"/>
  <c r="B45" i="9"/>
  <c r="A8" i="7" l="1"/>
  <c r="M6" i="7"/>
  <c r="R5" i="7"/>
  <c r="L7" i="7"/>
  <c r="Q6" i="7"/>
  <c r="S8" i="7"/>
  <c r="N9" i="7"/>
  <c r="O6" i="7"/>
  <c r="T5" i="7"/>
  <c r="K9" i="7"/>
  <c r="P8" i="7"/>
  <c r="P9" i="7" l="1"/>
  <c r="K10" i="7"/>
  <c r="O7" i="7"/>
  <c r="T6" i="7"/>
  <c r="N10" i="7"/>
  <c r="S9" i="7"/>
  <c r="R6" i="7"/>
  <c r="M7" i="7"/>
  <c r="L8" i="7"/>
  <c r="Q7" i="7"/>
  <c r="A9" i="7"/>
  <c r="A10" i="12"/>
  <c r="B10" i="12"/>
  <c r="B40" i="9"/>
  <c r="B41" i="9"/>
  <c r="B42" i="9"/>
  <c r="K11" i="7" l="1"/>
  <c r="P10" i="7"/>
  <c r="A10" i="7"/>
  <c r="O8" i="7"/>
  <c r="T7" i="7"/>
  <c r="Q8" i="7"/>
  <c r="L9" i="7"/>
  <c r="S10" i="7"/>
  <c r="N11" i="7"/>
  <c r="R7" i="7"/>
  <c r="M8" i="7"/>
  <c r="A3" i="13"/>
  <c r="N12" i="7" l="1"/>
  <c r="S11" i="7"/>
  <c r="K12" i="7"/>
  <c r="P11" i="7"/>
  <c r="L10" i="7"/>
  <c r="Q9" i="7"/>
  <c r="A11" i="7"/>
  <c r="T8" i="7"/>
  <c r="O9" i="7"/>
  <c r="R8" i="7"/>
  <c r="M9" i="7"/>
  <c r="B3" i="13"/>
  <c r="B4" i="13"/>
  <c r="B5" i="13"/>
  <c r="B2" i="13"/>
  <c r="A4" i="13"/>
  <c r="A5" i="13"/>
  <c r="A2" i="13"/>
  <c r="B3" i="12"/>
  <c r="B4" i="12"/>
  <c r="B5" i="12"/>
  <c r="B6" i="12"/>
  <c r="B7" i="12"/>
  <c r="B8" i="12"/>
  <c r="B9" i="12"/>
  <c r="B2" i="12"/>
  <c r="A3" i="12"/>
  <c r="A4" i="12"/>
  <c r="A5" i="12"/>
  <c r="A6" i="12"/>
  <c r="A7" i="12"/>
  <c r="A8" i="12"/>
  <c r="A9" i="12"/>
  <c r="A2" i="12"/>
  <c r="F4" i="10"/>
  <c r="B6" i="10"/>
  <c r="C6" i="10"/>
  <c r="D6" i="10"/>
  <c r="E6" i="10"/>
  <c r="F6" i="10"/>
  <c r="A3" i="10"/>
  <c r="A4" i="10"/>
  <c r="A5" i="10"/>
  <c r="A6" i="10"/>
  <c r="E2" i="10"/>
  <c r="A2" i="10"/>
  <c r="D3" i="9"/>
  <c r="D4" i="9"/>
  <c r="D5" i="9"/>
  <c r="D2" i="9"/>
  <c r="C3" i="9"/>
  <c r="C4" i="9"/>
  <c r="C5" i="9"/>
  <c r="C6" i="9"/>
  <c r="C7" i="9"/>
  <c r="C2" i="9"/>
  <c r="B3" i="9"/>
  <c r="B4" i="9"/>
  <c r="B5" i="9"/>
  <c r="B6" i="9"/>
  <c r="B31" i="9"/>
  <c r="B32" i="9"/>
  <c r="B33" i="9"/>
  <c r="B34" i="9"/>
  <c r="B35" i="9"/>
  <c r="B36" i="9"/>
  <c r="B37" i="9"/>
  <c r="B38" i="9"/>
  <c r="B39" i="9"/>
  <c r="B2" i="9"/>
  <c r="A3" i="9"/>
  <c r="A4" i="9"/>
  <c r="A5" i="9"/>
  <c r="A6" i="9"/>
  <c r="A7" i="9"/>
  <c r="A8" i="9"/>
  <c r="A2" i="9"/>
  <c r="K13" i="7" l="1"/>
  <c r="P12" i="7"/>
  <c r="L11" i="7"/>
  <c r="Q10" i="7"/>
  <c r="R9" i="7"/>
  <c r="M10" i="7"/>
  <c r="S12" i="7"/>
  <c r="N13" i="7"/>
  <c r="T9" i="7"/>
  <c r="O10" i="7"/>
  <c r="A12" i="7"/>
  <c r="C8" i="9"/>
  <c r="D6" i="9"/>
  <c r="A9" i="9"/>
  <c r="B7" i="9"/>
  <c r="N14" i="7" l="1"/>
  <c r="S13" i="7"/>
  <c r="A13" i="7"/>
  <c r="K14" i="7"/>
  <c r="P13" i="7"/>
  <c r="L12" i="7"/>
  <c r="Q11" i="7"/>
  <c r="M11" i="7"/>
  <c r="R10" i="7"/>
  <c r="T10" i="7"/>
  <c r="O11" i="7"/>
  <c r="C9" i="9"/>
  <c r="D7" i="9"/>
  <c r="A10" i="9"/>
  <c r="B8" i="9"/>
  <c r="K15" i="7" l="1"/>
  <c r="P14" i="7"/>
  <c r="L13" i="7"/>
  <c r="Q12" i="7"/>
  <c r="A14" i="7"/>
  <c r="M12" i="7"/>
  <c r="R11" i="7"/>
  <c r="T11" i="7"/>
  <c r="O12" i="7"/>
  <c r="S14" i="7"/>
  <c r="N15" i="7"/>
  <c r="C10" i="9"/>
  <c r="D8" i="9"/>
  <c r="A11" i="9"/>
  <c r="B9" i="9"/>
  <c r="A15" i="7" l="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K16" i="7"/>
  <c r="P15" i="7"/>
  <c r="T12" i="7"/>
  <c r="O13" i="7"/>
  <c r="L14" i="7"/>
  <c r="Q13" i="7"/>
  <c r="M13" i="7"/>
  <c r="R12" i="7"/>
  <c r="S15" i="7"/>
  <c r="N16" i="7"/>
  <c r="C11" i="9"/>
  <c r="D9" i="9"/>
  <c r="A12" i="9"/>
  <c r="B10" i="9"/>
  <c r="R13" i="7" l="1"/>
  <c r="M14" i="7"/>
  <c r="T13" i="7"/>
  <c r="O14" i="7"/>
  <c r="Q14" i="7"/>
  <c r="L15" i="7"/>
  <c r="S16" i="7"/>
  <c r="N17" i="7"/>
  <c r="K17" i="7"/>
  <c r="P16" i="7"/>
  <c r="A48" i="7"/>
  <c r="A46" i="9"/>
  <c r="C12" i="9"/>
  <c r="A40" i="9"/>
  <c r="A13" i="9"/>
  <c r="D10" i="9"/>
  <c r="B11" i="9"/>
  <c r="K18" i="7" l="1"/>
  <c r="P17" i="7"/>
  <c r="S17" i="7"/>
  <c r="N18" i="7"/>
  <c r="L16" i="7"/>
  <c r="Q15" i="7"/>
  <c r="A49" i="7"/>
  <c r="A47" i="9"/>
  <c r="O15" i="7"/>
  <c r="T14" i="7"/>
  <c r="M15" i="7"/>
  <c r="R14" i="7"/>
  <c r="C13" i="9"/>
  <c r="A41" i="9"/>
  <c r="D11" i="9"/>
  <c r="B12" i="9"/>
  <c r="A14" i="9"/>
  <c r="O16" i="7" l="1"/>
  <c r="T15" i="7"/>
  <c r="A50" i="7"/>
  <c r="A51" i="7" s="1"/>
  <c r="A52" i="7" s="1"/>
  <c r="A48" i="9"/>
  <c r="Q16" i="7"/>
  <c r="L17" i="7"/>
  <c r="P18" i="7"/>
  <c r="K19" i="7"/>
  <c r="N19" i="7"/>
  <c r="S18" i="7"/>
  <c r="M16" i="7"/>
  <c r="R15" i="7"/>
  <c r="C14" i="9"/>
  <c r="A42" i="9"/>
  <c r="A15" i="9"/>
  <c r="D12" i="9"/>
  <c r="B13" i="9"/>
  <c r="T16" i="7" l="1"/>
  <c r="O17" i="7"/>
  <c r="S19" i="7"/>
  <c r="N20" i="7"/>
  <c r="K20" i="7"/>
  <c r="P19" i="7"/>
  <c r="Q17" i="7"/>
  <c r="L18" i="7"/>
  <c r="X26" i="7"/>
  <c r="Y27" i="7"/>
  <c r="AA27" i="7"/>
  <c r="AA26" i="7"/>
  <c r="Y29" i="7"/>
  <c r="AA25" i="7"/>
  <c r="Z26" i="7"/>
  <c r="Z25" i="7"/>
  <c r="Y25" i="7"/>
  <c r="X29" i="7"/>
  <c r="Y26" i="7"/>
  <c r="X22" i="7"/>
  <c r="AA28" i="7"/>
  <c r="X30" i="7"/>
  <c r="Y28" i="7"/>
  <c r="Y33" i="7" s="1"/>
  <c r="X25" i="7"/>
  <c r="X34" i="7"/>
  <c r="X23" i="7"/>
  <c r="X28" i="7"/>
  <c r="X33" i="7" s="1"/>
  <c r="X27" i="7"/>
  <c r="Z28" i="7"/>
  <c r="X4" i="7"/>
  <c r="AA29" i="7"/>
  <c r="Z27" i="7"/>
  <c r="Z29" i="7"/>
  <c r="X36" i="7"/>
  <c r="X21" i="7"/>
  <c r="M17" i="7"/>
  <c r="R16" i="7"/>
  <c r="C15" i="9"/>
  <c r="A43" i="9"/>
  <c r="A16" i="9"/>
  <c r="D13" i="9"/>
  <c r="B14" i="9"/>
  <c r="AB34" i="7" l="1"/>
  <c r="Q18" i="7"/>
  <c r="L19" i="7"/>
  <c r="R17" i="7"/>
  <c r="M18" i="7"/>
  <c r="Z16" i="7"/>
  <c r="Y16" i="7"/>
  <c r="K21" i="7"/>
  <c r="P20" i="7"/>
  <c r="AB28" i="7"/>
  <c r="X10" i="7" s="1"/>
  <c r="AB27" i="7"/>
  <c r="AB26" i="7"/>
  <c r="AB25" i="7"/>
  <c r="AB23" i="7"/>
  <c r="AB22" i="7"/>
  <c r="AB21" i="7"/>
  <c r="X9" i="7"/>
  <c r="S20" i="7"/>
  <c r="N21" i="7"/>
  <c r="O18" i="7"/>
  <c r="T17" i="7"/>
  <c r="C16" i="9"/>
  <c r="A44" i="9"/>
  <c r="D14" i="9"/>
  <c r="B15" i="9"/>
  <c r="A17" i="9"/>
  <c r="S21" i="7" l="1"/>
  <c r="N22" i="7"/>
  <c r="K22" i="7"/>
  <c r="P21" i="7"/>
  <c r="O19" i="7"/>
  <c r="T18" i="7"/>
  <c r="M19" i="7"/>
  <c r="R18" i="7"/>
  <c r="Q19" i="7"/>
  <c r="L20" i="7"/>
  <c r="C17" i="9"/>
  <c r="A45" i="9"/>
  <c r="A18" i="9"/>
  <c r="B16" i="9"/>
  <c r="D15" i="9"/>
  <c r="O20" i="7" l="1"/>
  <c r="T19" i="7"/>
  <c r="R19" i="7"/>
  <c r="M20" i="7"/>
  <c r="K23" i="7"/>
  <c r="P22" i="7"/>
  <c r="Q20" i="7"/>
  <c r="L21" i="7"/>
  <c r="S22" i="7"/>
  <c r="N23" i="7"/>
  <c r="C18" i="9"/>
  <c r="B17" i="9"/>
  <c r="A19" i="9"/>
  <c r="D16" i="9"/>
  <c r="K24" i="7" l="1"/>
  <c r="P23" i="7"/>
  <c r="O21" i="7"/>
  <c r="T20" i="7"/>
  <c r="L22" i="7"/>
  <c r="Q21" i="7"/>
  <c r="R20" i="7"/>
  <c r="M21" i="7"/>
  <c r="S23" i="7"/>
  <c r="N24" i="7"/>
  <c r="C19" i="9"/>
  <c r="A20" i="9"/>
  <c r="B18" i="9"/>
  <c r="D17" i="9"/>
  <c r="L23" i="7" l="1"/>
  <c r="Q22" i="7"/>
  <c r="S24" i="7"/>
  <c r="N25" i="7"/>
  <c r="K25" i="7"/>
  <c r="P24" i="7"/>
  <c r="R21" i="7"/>
  <c r="M22" i="7"/>
  <c r="O22" i="7"/>
  <c r="T21" i="7"/>
  <c r="C20" i="9"/>
  <c r="B19" i="9"/>
  <c r="D18" i="9"/>
  <c r="A21" i="9"/>
  <c r="T22" i="7" l="1"/>
  <c r="O23" i="7"/>
  <c r="L24" i="7"/>
  <c r="Q23" i="7"/>
  <c r="R22" i="7"/>
  <c r="M23" i="7"/>
  <c r="K26" i="7"/>
  <c r="P25" i="7"/>
  <c r="X35" i="7"/>
  <c r="S25" i="7"/>
  <c r="N26" i="7"/>
  <c r="C21" i="9"/>
  <c r="A22" i="9"/>
  <c r="B20" i="9"/>
  <c r="D19" i="9"/>
  <c r="K27" i="7" l="1"/>
  <c r="P26" i="7"/>
  <c r="R23" i="7"/>
  <c r="M24" i="7"/>
  <c r="S26" i="7"/>
  <c r="N27" i="7"/>
  <c r="L25" i="7"/>
  <c r="Q24" i="7"/>
  <c r="T23" i="7"/>
  <c r="O24" i="7"/>
  <c r="AB35" i="7"/>
  <c r="AB36" i="7"/>
  <c r="C22" i="9"/>
  <c r="B21" i="9"/>
  <c r="D20" i="9"/>
  <c r="A23" i="9"/>
  <c r="S27" i="7" l="1"/>
  <c r="N28" i="7"/>
  <c r="R24" i="7"/>
  <c r="M25" i="7"/>
  <c r="L26" i="7"/>
  <c r="Q25" i="7"/>
  <c r="Y35" i="7"/>
  <c r="T24" i="7"/>
  <c r="O25" i="7"/>
  <c r="K28" i="7"/>
  <c r="P27" i="7"/>
  <c r="C23" i="9"/>
  <c r="D21" i="9"/>
  <c r="A24" i="9"/>
  <c r="B22" i="9"/>
  <c r="L27" i="7" l="1"/>
  <c r="Q26" i="7"/>
  <c r="R25" i="7"/>
  <c r="M26" i="7"/>
  <c r="S28" i="7"/>
  <c r="N29" i="7"/>
  <c r="AA24" i="7"/>
  <c r="K29" i="7"/>
  <c r="P28" i="7"/>
  <c r="X24" i="7"/>
  <c r="AB24" i="7" s="1"/>
  <c r="T25" i="7"/>
  <c r="O26" i="7"/>
  <c r="C24" i="9"/>
  <c r="A25" i="9"/>
  <c r="B23" i="9"/>
  <c r="D22" i="9"/>
  <c r="T26" i="7" l="1"/>
  <c r="O27" i="7"/>
  <c r="K30" i="7"/>
  <c r="P29" i="7"/>
  <c r="L28" i="7"/>
  <c r="Q27" i="7"/>
  <c r="S29" i="7"/>
  <c r="N30" i="7"/>
  <c r="R26" i="7"/>
  <c r="M27" i="7"/>
  <c r="C25" i="9"/>
  <c r="B24" i="9"/>
  <c r="A26" i="9"/>
  <c r="D23" i="9"/>
  <c r="N31" i="7" l="1"/>
  <c r="S30" i="7"/>
  <c r="L29" i="7"/>
  <c r="Q28" i="7"/>
  <c r="P30" i="7"/>
  <c r="K31" i="7"/>
  <c r="M28" i="7"/>
  <c r="R27" i="7"/>
  <c r="T27" i="7"/>
  <c r="O28" i="7"/>
  <c r="C26" i="9"/>
  <c r="A27" i="9"/>
  <c r="D24" i="9"/>
  <c r="B25" i="9"/>
  <c r="M29" i="7" l="1"/>
  <c r="R28" i="7"/>
  <c r="Y24" i="7"/>
  <c r="P31" i="7"/>
  <c r="J32" i="7"/>
  <c r="P35" i="7"/>
  <c r="P44" i="7"/>
  <c r="P52" i="7"/>
  <c r="P49" i="7"/>
  <c r="P50" i="7"/>
  <c r="P48" i="7"/>
  <c r="P36" i="7"/>
  <c r="P34" i="7"/>
  <c r="P39" i="7"/>
  <c r="P47" i="7"/>
  <c r="P46" i="7"/>
  <c r="P33" i="7"/>
  <c r="P38" i="7"/>
  <c r="P41" i="7"/>
  <c r="P37" i="7"/>
  <c r="P40" i="7"/>
  <c r="P42" i="7"/>
  <c r="P51" i="7"/>
  <c r="P43" i="7"/>
  <c r="P45" i="7"/>
  <c r="P32" i="7"/>
  <c r="L30" i="7"/>
  <c r="Q29" i="7"/>
  <c r="T28" i="7"/>
  <c r="O29" i="7"/>
  <c r="Z24" i="7"/>
  <c r="N32" i="7"/>
  <c r="S31" i="7"/>
  <c r="C27" i="9"/>
  <c r="D25" i="9"/>
  <c r="B26" i="9"/>
  <c r="A28" i="9"/>
  <c r="R29" i="7" l="1"/>
  <c r="M30" i="7"/>
  <c r="X17" i="7"/>
  <c r="T29" i="7"/>
  <c r="O30" i="7"/>
  <c r="N33" i="7"/>
  <c r="S32" i="7"/>
  <c r="X7" i="7"/>
  <c r="X14" i="7" s="1"/>
  <c r="X15" i="7"/>
  <c r="X16" i="7" s="1"/>
  <c r="X12" i="7"/>
  <c r="X8" i="7"/>
  <c r="X13" i="7"/>
  <c r="Q30" i="7"/>
  <c r="L31" i="7"/>
  <c r="C28" i="9"/>
  <c r="D26" i="9"/>
  <c r="A29" i="9"/>
  <c r="B27" i="9"/>
  <c r="L32" i="7" l="1"/>
  <c r="Q31" i="7"/>
  <c r="S33" i="7"/>
  <c r="N34" i="7"/>
  <c r="T30" i="7"/>
  <c r="O31" i="7"/>
  <c r="R30" i="7"/>
  <c r="M31" i="7"/>
  <c r="C29" i="9"/>
  <c r="A30" i="9"/>
  <c r="B28" i="9"/>
  <c r="D27" i="9"/>
  <c r="L33" i="7" l="1"/>
  <c r="Q32" i="7"/>
  <c r="M32" i="7"/>
  <c r="R31" i="7"/>
  <c r="O32" i="7"/>
  <c r="T31" i="7"/>
  <c r="S34" i="7"/>
  <c r="N35" i="7"/>
  <c r="C30" i="9"/>
  <c r="D28" i="9"/>
  <c r="B29" i="9"/>
  <c r="A31" i="9"/>
  <c r="T32" i="7" l="1"/>
  <c r="O33" i="7"/>
  <c r="M33" i="7"/>
  <c r="R32" i="7"/>
  <c r="Q33" i="7"/>
  <c r="L34" i="7"/>
  <c r="N36" i="7"/>
  <c r="S35" i="7"/>
  <c r="C31" i="9"/>
  <c r="D29" i="9"/>
  <c r="A32" i="9"/>
  <c r="B30" i="9"/>
  <c r="S36" i="7" l="1"/>
  <c r="N37" i="7"/>
  <c r="Q34" i="7"/>
  <c r="L35" i="7"/>
  <c r="R33" i="7"/>
  <c r="M34" i="7"/>
  <c r="T33" i="7"/>
  <c r="O34" i="7"/>
  <c r="C32" i="9"/>
  <c r="A33" i="9"/>
  <c r="D30" i="9"/>
  <c r="Q35" i="7" l="1"/>
  <c r="L36" i="7"/>
  <c r="R34" i="7"/>
  <c r="M35" i="7"/>
  <c r="N38" i="7"/>
  <c r="S37" i="7"/>
  <c r="T34" i="7"/>
  <c r="O35" i="7"/>
  <c r="C33" i="9"/>
  <c r="A34" i="9"/>
  <c r="D31" i="9"/>
  <c r="S38" i="7" l="1"/>
  <c r="N39" i="7"/>
  <c r="O36" i="7"/>
  <c r="T35" i="7"/>
  <c r="M36" i="7"/>
  <c r="R35" i="7"/>
  <c r="Q36" i="7"/>
  <c r="L37" i="7"/>
  <c r="C34" i="9"/>
  <c r="D32" i="9"/>
  <c r="A35" i="9"/>
  <c r="S39" i="7" l="1"/>
  <c r="N40" i="7"/>
  <c r="Q37" i="7"/>
  <c r="L38" i="7"/>
  <c r="R36" i="7"/>
  <c r="M37" i="7"/>
  <c r="T36" i="7"/>
  <c r="O37" i="7"/>
  <c r="C35" i="9"/>
  <c r="A36" i="9"/>
  <c r="D33" i="9"/>
  <c r="O38" i="7" l="1"/>
  <c r="T37" i="7"/>
  <c r="R37" i="7"/>
  <c r="M38" i="7"/>
  <c r="L39" i="7"/>
  <c r="Q38" i="7"/>
  <c r="N41" i="7"/>
  <c r="S40" i="7"/>
  <c r="AA23" i="7"/>
  <c r="C36" i="9"/>
  <c r="D34" i="9"/>
  <c r="A37" i="9"/>
  <c r="T38" i="7" l="1"/>
  <c r="O39" i="7"/>
  <c r="N42" i="7"/>
  <c r="S41" i="7"/>
  <c r="L40" i="7"/>
  <c r="Q39" i="7"/>
  <c r="R38" i="7"/>
  <c r="M39" i="7"/>
  <c r="C37" i="9"/>
  <c r="A38" i="9"/>
  <c r="D35" i="9"/>
  <c r="T39" i="7" l="1"/>
  <c r="O40" i="7"/>
  <c r="M40" i="7"/>
  <c r="R39" i="7"/>
  <c r="L41" i="7"/>
  <c r="Q40" i="7"/>
  <c r="N43" i="7"/>
  <c r="S42" i="7"/>
  <c r="C38" i="9"/>
  <c r="D36" i="9"/>
  <c r="A39" i="9"/>
  <c r="T40" i="7" l="1"/>
  <c r="O41" i="7"/>
  <c r="Z23" i="7"/>
  <c r="N44" i="7"/>
  <c r="S43" i="7"/>
  <c r="L42" i="7"/>
  <c r="Q41" i="7"/>
  <c r="M41" i="7"/>
  <c r="R40" i="7"/>
  <c r="Y23" i="7"/>
  <c r="C39" i="9"/>
  <c r="D37" i="9"/>
  <c r="M42" i="7" l="1"/>
  <c r="R41" i="7"/>
  <c r="O42" i="7"/>
  <c r="T41" i="7"/>
  <c r="L43" i="7"/>
  <c r="Q42" i="7"/>
  <c r="N45" i="7"/>
  <c r="S44" i="7"/>
  <c r="C40" i="9"/>
  <c r="D38" i="9"/>
  <c r="M43" i="7" l="1"/>
  <c r="R42" i="7"/>
  <c r="N46" i="7"/>
  <c r="S45" i="7"/>
  <c r="L44" i="7"/>
  <c r="Q43" i="7"/>
  <c r="O43" i="7"/>
  <c r="T42" i="7"/>
  <c r="C41" i="9"/>
  <c r="D43" i="9"/>
  <c r="D40" i="9"/>
  <c r="D3" i="10"/>
  <c r="E3" i="10"/>
  <c r="F3" i="10"/>
  <c r="D39" i="9"/>
  <c r="M44" i="7" l="1"/>
  <c r="R43" i="7"/>
  <c r="O44" i="7"/>
  <c r="T43" i="7"/>
  <c r="Q44" i="7"/>
  <c r="L45" i="7"/>
  <c r="S46" i="7"/>
  <c r="N47" i="7"/>
  <c r="C42" i="9"/>
  <c r="D46" i="9"/>
  <c r="D44" i="9"/>
  <c r="D41" i="9"/>
  <c r="B3" i="10"/>
  <c r="C3" i="10"/>
  <c r="D2" i="10"/>
  <c r="B2" i="10"/>
  <c r="C2" i="10"/>
  <c r="M45" i="7" l="1"/>
  <c r="R44" i="7"/>
  <c r="S47" i="7"/>
  <c r="N48" i="7"/>
  <c r="Q45" i="7"/>
  <c r="L46" i="7"/>
  <c r="O45" i="7"/>
  <c r="T44" i="7"/>
  <c r="C43" i="9"/>
  <c r="D45" i="9"/>
  <c r="D42" i="9"/>
  <c r="F2" i="10"/>
  <c r="L47" i="7" l="1"/>
  <c r="Q46" i="7"/>
  <c r="O46" i="7"/>
  <c r="T45" i="7"/>
  <c r="N49" i="7"/>
  <c r="S48" i="7"/>
  <c r="D47" i="9"/>
  <c r="R45" i="7"/>
  <c r="M46" i="7"/>
  <c r="C44" i="9"/>
  <c r="C5" i="10"/>
  <c r="D5" i="10"/>
  <c r="D4" i="10"/>
  <c r="E4" i="10"/>
  <c r="B5" i="10"/>
  <c r="E5" i="10"/>
  <c r="N50" i="7" l="1"/>
  <c r="S49" i="7"/>
  <c r="AA21" i="7"/>
  <c r="AA22" i="7"/>
  <c r="R46" i="7"/>
  <c r="M47" i="7"/>
  <c r="L48" i="7"/>
  <c r="Q47" i="7"/>
  <c r="D48" i="9"/>
  <c r="O47" i="7"/>
  <c r="T46" i="7"/>
  <c r="C45" i="9"/>
  <c r="F5" i="10"/>
  <c r="B4" i="10"/>
  <c r="C4" i="10"/>
  <c r="T47" i="7" l="1"/>
  <c r="O48" i="7"/>
  <c r="L49" i="7"/>
  <c r="Q48" i="7"/>
  <c r="M48" i="7"/>
  <c r="R47" i="7"/>
  <c r="N51" i="7"/>
  <c r="S50" i="7"/>
  <c r="C46" i="9"/>
  <c r="N52" i="7" l="1"/>
  <c r="S51" i="7"/>
  <c r="M49" i="7"/>
  <c r="R48" i="7"/>
  <c r="L50" i="7"/>
  <c r="Q49" i="7"/>
  <c r="T48" i="7"/>
  <c r="O49" i="7"/>
  <c r="C47" i="9"/>
  <c r="O50" i="7" l="1"/>
  <c r="T49" i="7"/>
  <c r="Z21" i="7"/>
  <c r="Z22" i="7"/>
  <c r="S52" i="7"/>
  <c r="AA30" i="7"/>
  <c r="M50" i="7"/>
  <c r="R49" i="7"/>
  <c r="Y22" i="7"/>
  <c r="Y21" i="7"/>
  <c r="L51" i="7"/>
  <c r="Q50" i="7"/>
  <c r="C48" i="9"/>
  <c r="L52" i="7" l="1"/>
  <c r="Q51" i="7"/>
  <c r="O51" i="7"/>
  <c r="T50" i="7"/>
  <c r="M51" i="7"/>
  <c r="R50" i="7"/>
  <c r="AE28" i="7"/>
  <c r="Z10" i="7" s="1"/>
  <c r="AE27" i="7"/>
  <c r="AE26" i="7"/>
  <c r="AE25" i="7"/>
  <c r="AE24" i="7"/>
  <c r="AE23" i="7"/>
  <c r="AE22" i="7"/>
  <c r="AE21" i="7"/>
  <c r="Z9" i="7"/>
  <c r="Z14" i="7" l="1"/>
  <c r="O52" i="7"/>
  <c r="T51" i="7"/>
  <c r="M52" i="7"/>
  <c r="R51" i="7"/>
  <c r="Q52" i="7"/>
  <c r="Y34" i="7"/>
  <c r="Y36" i="7"/>
  <c r="AC36" i="7" s="1"/>
  <c r="AC34" i="7" l="1"/>
  <c r="AC35" i="7"/>
  <c r="R52" i="7"/>
  <c r="Z17" i="7" s="1"/>
  <c r="Y30" i="7"/>
  <c r="T52" i="7"/>
  <c r="Y17" i="7" s="1"/>
  <c r="Z30" i="7"/>
  <c r="AD28" i="7" l="1"/>
  <c r="Y10" i="7" s="1"/>
  <c r="AD27" i="7"/>
  <c r="AD26" i="7"/>
  <c r="AD25" i="7"/>
  <c r="AD24" i="7"/>
  <c r="AD23" i="7"/>
  <c r="AD22" i="7"/>
  <c r="AD21" i="7"/>
  <c r="Y9" i="7"/>
  <c r="AC28" i="7"/>
  <c r="AC27" i="7"/>
  <c r="AC26" i="7"/>
  <c r="AC25" i="7"/>
  <c r="AC24" i="7"/>
  <c r="AC23" i="7"/>
  <c r="AC22" i="7"/>
  <c r="AC21" i="7"/>
  <c r="Y14" i="7" l="1"/>
  <c r="X11" i="7"/>
  <c r="Z11" i="7"/>
</calcChain>
</file>

<file path=xl/sharedStrings.xml><?xml version="1.0" encoding="utf-8"?>
<sst xmlns="http://schemas.openxmlformats.org/spreadsheetml/2006/main" count="429" uniqueCount="311">
  <si>
    <t>Inception*</t>
  </si>
  <si>
    <t>3 Years</t>
  </si>
  <si>
    <t>1 Year</t>
  </si>
  <si>
    <t>Current</t>
  </si>
  <si>
    <t>Class A</t>
  </si>
  <si>
    <t>YTD</t>
  </si>
  <si>
    <t xml:space="preserve">PERFORMANCE SUMMARY </t>
  </si>
  <si>
    <t>PAGE 1</t>
  </si>
  <si>
    <t>PERFORMANCE SUMMARY GRAPH</t>
  </si>
  <si>
    <t>Growth of $10,000 Chart</t>
  </si>
  <si>
    <t>Class A w/ Load</t>
  </si>
  <si>
    <t>Class C</t>
  </si>
  <si>
    <t>cut &amp; paste to fact sheet</t>
  </si>
  <si>
    <t>Date</t>
  </si>
  <si>
    <t>CURRENT</t>
  </si>
  <si>
    <t>Risk Free Rate:</t>
  </si>
  <si>
    <t>Months:</t>
  </si>
  <si>
    <t>Standard Deviation:</t>
  </si>
  <si>
    <t>Class I</t>
  </si>
  <si>
    <t>Beta:</t>
  </si>
  <si>
    <t>Cumulative Return</t>
  </si>
  <si>
    <t>Ann. Inception</t>
  </si>
  <si>
    <t>Alpha:</t>
  </si>
  <si>
    <t>R-squared:</t>
  </si>
  <si>
    <t>Sharpe Ratio:</t>
  </si>
  <si>
    <t># positive months</t>
  </si>
  <si>
    <t>% positive months</t>
  </si>
  <si>
    <t>max DD</t>
  </si>
  <si>
    <t>Growth of 10K</t>
  </si>
  <si>
    <t>Drawdown</t>
  </si>
  <si>
    <t>QTD</t>
  </si>
  <si>
    <t>Performance &amp; Risk Statistics</t>
  </si>
  <si>
    <t>5 Years</t>
  </si>
  <si>
    <t>Since A &amp; C Inception</t>
  </si>
  <si>
    <t>RFXIX</t>
  </si>
  <si>
    <t>10 Years</t>
  </si>
  <si>
    <t>Correlation</t>
  </si>
  <si>
    <t>Sharpe Ratio</t>
  </si>
  <si>
    <t>% of Positive Months</t>
  </si>
  <si>
    <t>Maximum Drawdown</t>
  </si>
  <si>
    <r>
      <t xml:space="preserve">Alpha </t>
    </r>
    <r>
      <rPr>
        <i/>
        <sz val="6.5"/>
        <color rgb="FF000000"/>
        <rFont val="Trade Gothic LT Std"/>
        <family val="3"/>
      </rPr>
      <t>(vs. Agg)</t>
    </r>
  </si>
  <si>
    <r>
      <t xml:space="preserve">Beta </t>
    </r>
    <r>
      <rPr>
        <i/>
        <sz val="6.5"/>
        <color rgb="FF000000"/>
        <rFont val="Trade Gothic LT Std"/>
        <family val="3"/>
      </rPr>
      <t>(vs. Agg)</t>
    </r>
  </si>
  <si>
    <r>
      <t xml:space="preserve">Correlation </t>
    </r>
    <r>
      <rPr>
        <i/>
        <sz val="6.5"/>
        <color rgb="FF000000"/>
        <rFont val="Trade Gothic LT Std"/>
        <family val="3"/>
      </rPr>
      <t>(vs. Agg)</t>
    </r>
  </si>
  <si>
    <t>-</t>
  </si>
  <si>
    <t>PAGE 2</t>
  </si>
  <si>
    <t>PBXIX</t>
  </si>
  <si>
    <t>S&amp;P 500 TR Index</t>
  </si>
  <si>
    <t>VX5C Index</t>
  </si>
  <si>
    <t>Bloomberg Barclays US Convertibles TR Index</t>
  </si>
  <si>
    <t>LUCCTRUU Index</t>
  </si>
  <si>
    <t>ICE BofAML Investment Grade US Convertible 5% Constrained Index</t>
  </si>
  <si>
    <t>SPXT Index</t>
  </si>
  <si>
    <t>2 Years</t>
  </si>
  <si>
    <t>ICE IG Converts</t>
  </si>
  <si>
    <t>2017 YTD</t>
  </si>
  <si>
    <t>BB CONV</t>
  </si>
  <si>
    <t>ICE CONV</t>
  </si>
  <si>
    <t>Cash</t>
  </si>
  <si>
    <t>Convertible Securities Asset Allocation</t>
  </si>
  <si>
    <t>Sector Weights</t>
  </si>
  <si>
    <t>Information Technology</t>
  </si>
  <si>
    <t>Utilities</t>
  </si>
  <si>
    <t>Financials</t>
  </si>
  <si>
    <t>Health Care</t>
  </si>
  <si>
    <t>Industrials</t>
  </si>
  <si>
    <t>Real Estate</t>
  </si>
  <si>
    <t>Consumer Discretionary</t>
  </si>
  <si>
    <t>TOTAL</t>
  </si>
  <si>
    <t>Portfolio Valuation</t>
  </si>
  <si>
    <t>RATIONAL/PIER 88 CONVERTIBLE SECURITIES FUND (3359)</t>
  </si>
  <si>
    <t>Quoted in U.S. Dollar</t>
  </si>
  <si>
    <t>Security Id</t>
  </si>
  <si>
    <t>Ticker</t>
  </si>
  <si>
    <t>Security Description</t>
  </si>
  <si>
    <t>Quantity</t>
  </si>
  <si>
    <t>Price</t>
  </si>
  <si>
    <t>Book Value</t>
  </si>
  <si>
    <t>Market Value</t>
  </si>
  <si>
    <t>%</t>
  </si>
  <si>
    <t>GICS Sector</t>
  </si>
  <si>
    <t>Holding Rank</t>
  </si>
  <si>
    <t>RATIONAL/PIER 88 CONVERTIBLE SECURITIES FUND</t>
  </si>
  <si>
    <t>670008AD3</t>
  </si>
  <si>
    <t>LRCX 2 5/8 05/15/41</t>
  </si>
  <si>
    <t>LRCX</t>
  </si>
  <si>
    <t>EEFT 0 3/4 03/15/49</t>
  </si>
  <si>
    <t>EEFT</t>
  </si>
  <si>
    <t>Sector Allocation</t>
  </si>
  <si>
    <t>94973VBG1</t>
  </si>
  <si>
    <t>ANTM 2 3/4 10/15/42</t>
  </si>
  <si>
    <t>ANTM</t>
  </si>
  <si>
    <t>256163AB2</t>
  </si>
  <si>
    <t>DOCU 0 1/2 09/15/23</t>
  </si>
  <si>
    <t>DOCU</t>
  </si>
  <si>
    <t>848637AD6</t>
  </si>
  <si>
    <t>SPLK 1 1/8 09/15/25</t>
  </si>
  <si>
    <t>SPLK</t>
  </si>
  <si>
    <t>Communication Services</t>
  </si>
  <si>
    <t>958102AP0</t>
  </si>
  <si>
    <t>WDC 1 1/2 02/01/24</t>
  </si>
  <si>
    <t>WDC</t>
  </si>
  <si>
    <t>Consumer Staples</t>
  </si>
  <si>
    <t>ETSY</t>
  </si>
  <si>
    <t>Materials</t>
  </si>
  <si>
    <t>Energy</t>
  </si>
  <si>
    <t>CHGG</t>
  </si>
  <si>
    <t>59001KAF7</t>
  </si>
  <si>
    <t>MTOR 3 1/4 10/15/37</t>
  </si>
  <si>
    <t>MTOR</t>
  </si>
  <si>
    <t>Conv</t>
  </si>
  <si>
    <t>Pfd</t>
  </si>
  <si>
    <t>Common</t>
  </si>
  <si>
    <t>87265KAD4</t>
  </si>
  <si>
    <t>TSLX 4 1/2 08/01/22</t>
  </si>
  <si>
    <t>TSLX</t>
  </si>
  <si>
    <t>647551AC4</t>
  </si>
  <si>
    <t>NMFC 5 3/4 08/15/23</t>
  </si>
  <si>
    <t>NMFC</t>
  </si>
  <si>
    <t>MONEY MARKET FUNDS</t>
  </si>
  <si>
    <t>TOTAL - MONEY MARKET FUNDS</t>
  </si>
  <si>
    <t>842587602</t>
  </si>
  <si>
    <t>SO 6 3/4</t>
  </si>
  <si>
    <t>SO</t>
  </si>
  <si>
    <t>25746U133</t>
  </si>
  <si>
    <t>D 7 1/4</t>
  </si>
  <si>
    <t>D</t>
  </si>
  <si>
    <t>11135F200</t>
  </si>
  <si>
    <t>AVGO 8</t>
  </si>
  <si>
    <t>AVGO</t>
  </si>
  <si>
    <t>949746804</t>
  </si>
  <si>
    <t>WFC 7 1/2 PERP</t>
  </si>
  <si>
    <t>WFC</t>
  </si>
  <si>
    <t>060505682</t>
  </si>
  <si>
    <t>BAC 7 1/4 PERP</t>
  </si>
  <si>
    <t>BAC</t>
  </si>
  <si>
    <t>SWK</t>
  </si>
  <si>
    <t>65339F796</t>
  </si>
  <si>
    <t>NEE 4.872</t>
  </si>
  <si>
    <t>NEE</t>
  </si>
  <si>
    <t>235851300</t>
  </si>
  <si>
    <t>DHR 4 3/4</t>
  </si>
  <si>
    <t>DHR</t>
  </si>
  <si>
    <t>TOTAL - RATIONAL/PIER 88 CONVERTIBLE SECURITIES FUND</t>
  </si>
  <si>
    <t>Agg</t>
  </si>
  <si>
    <t>Barclays Agg</t>
  </si>
  <si>
    <t>S&amp;P 500 TR</t>
  </si>
  <si>
    <t>Bloomberg Barclays US Aggregate TR Index</t>
  </si>
  <si>
    <t>298736AL3</t>
  </si>
  <si>
    <t>PFPT 0 1/4 08/15/24</t>
  </si>
  <si>
    <t>PFPT</t>
  </si>
  <si>
    <t>595112AX1</t>
  </si>
  <si>
    <t>MU 3 1/8 05/01/32</t>
  </si>
  <si>
    <t>MU</t>
  </si>
  <si>
    <t>233331842</t>
  </si>
  <si>
    <t>DTE 6 1/4</t>
  </si>
  <si>
    <t>DTE</t>
  </si>
  <si>
    <t>65339F770</t>
  </si>
  <si>
    <t>NEE 5.279</t>
  </si>
  <si>
    <t>Barclays Aggregate</t>
  </si>
  <si>
    <t>Label</t>
  </si>
  <si>
    <t>Since Inception</t>
  </si>
  <si>
    <t>ID</t>
  </si>
  <si>
    <t>Value</t>
  </si>
  <si>
    <t>CONVERTIBLE BONDS</t>
  </si>
  <si>
    <t>HZNP</t>
  </si>
  <si>
    <t>723787AN7</t>
  </si>
  <si>
    <t>PXD 0 1/4 05/15/25</t>
  </si>
  <si>
    <t>PXD</t>
  </si>
  <si>
    <t>18915MAA5</t>
  </si>
  <si>
    <t>NET 0 3/4 05/15/25</t>
  </si>
  <si>
    <t>NET</t>
  </si>
  <si>
    <t>844741BG2</t>
  </si>
  <si>
    <t>LUV 1 1/4 05/01/25</t>
  </si>
  <si>
    <t>LUV</t>
  </si>
  <si>
    <t>TOTAL - CONVERTIBLE BONDS</t>
  </si>
  <si>
    <t>31846V211</t>
  </si>
  <si>
    <t>FGUXX</t>
  </si>
  <si>
    <t>101137206</t>
  </si>
  <si>
    <t>BSX 5 1/2</t>
  </si>
  <si>
    <t>BSX</t>
  </si>
  <si>
    <t>235851409</t>
  </si>
  <si>
    <t>DHR 5</t>
  </si>
  <si>
    <t>854502853</t>
  </si>
  <si>
    <t>SWK 5 PERP</t>
  </si>
  <si>
    <t>854502846</t>
  </si>
  <si>
    <t>SWK 5 1/4</t>
  </si>
  <si>
    <t>ICE US Convert</t>
  </si>
  <si>
    <t>ICE US Converts</t>
  </si>
  <si>
    <t>ICE</t>
  </si>
  <si>
    <t>COMMON STOCKS</t>
  </si>
  <si>
    <t>G46188101</t>
  </si>
  <si>
    <t>Horizon Therapeutics plc</t>
  </si>
  <si>
    <t>TOTAL - COMMON STOCKS</t>
  </si>
  <si>
    <t>29786AAK2</t>
  </si>
  <si>
    <t>ETSY 0 1/8 09/01/27</t>
  </si>
  <si>
    <t>PODD 0 3/8 09/01/26</t>
  </si>
  <si>
    <t>PODD</t>
  </si>
  <si>
    <t>163092AE9</t>
  </si>
  <si>
    <t>CHGG 0 09/01/26</t>
  </si>
  <si>
    <t>RNG 0 03/01/25</t>
  </si>
  <si>
    <t>RNG</t>
  </si>
  <si>
    <t>743424AF0</t>
  </si>
  <si>
    <t>First American Government Obligations Fund Class U</t>
  </si>
  <si>
    <t>PREFERRED STOCKS</t>
  </si>
  <si>
    <t>Bank of America Corporation Series L</t>
  </si>
  <si>
    <t>Boston Scientific Corporation Series A</t>
  </si>
  <si>
    <t>Dominion Energy Inc. Series A</t>
  </si>
  <si>
    <t>Wells Fargo &amp; Company Series L</t>
  </si>
  <si>
    <t>Broadcom Inc. Series A</t>
  </si>
  <si>
    <t>NextEra Energy Inc.</t>
  </si>
  <si>
    <t>Danaher Corporation Series B</t>
  </si>
  <si>
    <t>Stanley Black &amp; Decker Inc.</t>
  </si>
  <si>
    <t>Southern Company (The) Series 2019</t>
  </si>
  <si>
    <t>DTE Energy Company</t>
  </si>
  <si>
    <t>Danaher Corporation Series A</t>
  </si>
  <si>
    <t>Stanley Black &amp; Decker Inc. Series C</t>
  </si>
  <si>
    <t>TOTAL - PREFERRED STOCKS</t>
  </si>
  <si>
    <t>Euronet Worldwide Inc. 0.75% Due 03/15/2049</t>
  </si>
  <si>
    <t>Chegg Inc. 0% Due 09/01/2026</t>
  </si>
  <si>
    <t>Southwest Airlines Company 1.25% Due 05/01/2025</t>
  </si>
  <si>
    <t>Novellus Systems Inc. 2.625% Due 05/15/2041</t>
  </si>
  <si>
    <t>Anthem Inc. 2.75% Due 10/15/2042</t>
  </si>
  <si>
    <t>Micron Technology Inc. 3.125% Due 05/01/2032</t>
  </si>
  <si>
    <t>682189AP0</t>
  </si>
  <si>
    <t>ON 1 5/8 10/15/23</t>
  </si>
  <si>
    <t>ON</t>
  </si>
  <si>
    <t>ON Semiconductor Corporation 1.625% Due 10/15/2023</t>
  </si>
  <si>
    <t>New Mountain Finance Corporation 5.75% Due 08/15/2023</t>
  </si>
  <si>
    <t>Proofpoint Inc. 0.25% Due 08/15/2024</t>
  </si>
  <si>
    <t>741503AX4</t>
  </si>
  <si>
    <t>BKNG 0.9 09/15/21</t>
  </si>
  <si>
    <t>BKNG</t>
  </si>
  <si>
    <t>Booking Holdings Inc. 0.9% Due 09/15/2021</t>
  </si>
  <si>
    <t>45784PAK7</t>
  </si>
  <si>
    <t>Insulet Corporation 0.375% Due 09/01/2026</t>
  </si>
  <si>
    <t>Western Digital Corporation 1.65% Due 02/01/2024</t>
  </si>
  <si>
    <t>Meritor Inc. 3.25% Due 10/15/2037</t>
  </si>
  <si>
    <t>Etsy Inc. 0.125% Due 09/01/2027</t>
  </si>
  <si>
    <t>04010LAW3</t>
  </si>
  <si>
    <t>ARCC 4 5/8 03/01/24</t>
  </si>
  <si>
    <t>ARCC</t>
  </si>
  <si>
    <t>Ares Capital Corporation 4.625% Due 03/01/2024</t>
  </si>
  <si>
    <t>DocuSign Inc. 0.5% Due 09/15/2023</t>
  </si>
  <si>
    <t>Sixth Street Specialty Lending Inc. 4.5% Due 08/01/2022</t>
  </si>
  <si>
    <t>Pioneer Natural Resources Company 0.25% Due 05/15/2025</t>
  </si>
  <si>
    <t>23248VAB1</t>
  </si>
  <si>
    <t>CYBR 0 11/15/24</t>
  </si>
  <si>
    <t>CYBR</t>
  </si>
  <si>
    <t>CyberArk Software Ltd. 0% Due 11/15/2024</t>
  </si>
  <si>
    <t>31816QAF8</t>
  </si>
  <si>
    <t>FEYE 0 7/8 06/01/24</t>
  </si>
  <si>
    <t>FEYE</t>
  </si>
  <si>
    <t>FireEye Inc. 0.875% Due 06/01/2024</t>
  </si>
  <si>
    <t>74346YAH6</t>
  </si>
  <si>
    <t>PRO 1 05/15/24</t>
  </si>
  <si>
    <t>PRO</t>
  </si>
  <si>
    <t>PROS Holdings Inc. 1% Due 05/15/2024</t>
  </si>
  <si>
    <t>Cloudflare Inc. 0.75% Due 05/15/2025</t>
  </si>
  <si>
    <t>Splunk Inc. 1.125% Due 09/15/2025</t>
  </si>
  <si>
    <t>00170F209</t>
  </si>
  <si>
    <t>AMG 5.15</t>
  </si>
  <si>
    <t>AMG</t>
  </si>
  <si>
    <t>AMG Capital Trust II</t>
  </si>
  <si>
    <t>As of Date: 3/31/2021</t>
  </si>
  <si>
    <t>30212PBD6</t>
  </si>
  <si>
    <t>EXPE 0 02/15/26</t>
  </si>
  <si>
    <t>EXPE</t>
  </si>
  <si>
    <t>Expedia Group Inc. 0% Due 02/15/2026</t>
  </si>
  <si>
    <t>670704AK1</t>
  </si>
  <si>
    <t>NUVA 1 06/01/23</t>
  </si>
  <si>
    <t>NUVA</t>
  </si>
  <si>
    <t>NuVasive Inc. 1% Due 06/1/2023</t>
  </si>
  <si>
    <t>87157DAD1</t>
  </si>
  <si>
    <t>SYNA 0 1/2 06/15/22</t>
  </si>
  <si>
    <t>SYNA</t>
  </si>
  <si>
    <t>Synaptics Inc. 0.5% Due 06/15/2022</t>
  </si>
  <si>
    <t>873379AA9</t>
  </si>
  <si>
    <t>TRHC 1 3/4 02/15/26</t>
  </si>
  <si>
    <t>TRHC</t>
  </si>
  <si>
    <t>Tabula Rasa HealthCare Inc. 1.75% Due 02/15/2026</t>
  </si>
  <si>
    <t>76680RAF4</t>
  </si>
  <si>
    <t>RingCentral Inc. 0% Due 03/1/2025</t>
  </si>
  <si>
    <t>143658BF8</t>
  </si>
  <si>
    <t>CCL 5 3/4 04/01/23</t>
  </si>
  <si>
    <t>CCL</t>
  </si>
  <si>
    <t>Carnival Corporation 5.75% Due 04/01/2023</t>
  </si>
  <si>
    <t>09857LAM0</t>
  </si>
  <si>
    <t>BKNG 0 3/4 05/01/25</t>
  </si>
  <si>
    <t>Booking Holdings Inc. 0.75% Due 05/01/2025</t>
  </si>
  <si>
    <t>48251W401</t>
  </si>
  <si>
    <t>KKR 6</t>
  </si>
  <si>
    <t>KKR</t>
  </si>
  <si>
    <t xml:space="preserve"> KKR &amp; Company Inc.</t>
  </si>
  <si>
    <t>VXA0 Index</t>
  </si>
  <si>
    <t>SPX</t>
  </si>
  <si>
    <t>RTY index</t>
  </si>
  <si>
    <t>Bloomberg</t>
  </si>
  <si>
    <t>Series A</t>
  </si>
  <si>
    <t>VXA0</t>
  </si>
  <si>
    <t>RTY</t>
  </si>
  <si>
    <t>Risk Free Rate (10 year treasury)</t>
  </si>
  <si>
    <t>Quarterly Return Mean</t>
  </si>
  <si>
    <t>Standard Deviation</t>
  </si>
  <si>
    <t>Annualized Standard Deviation</t>
  </si>
  <si>
    <t>Index</t>
  </si>
  <si>
    <t>ICE BofA U.S. Convertibles Index</t>
  </si>
  <si>
    <t>S&amp;P 500 Index</t>
  </si>
  <si>
    <t>Russell 200 Index</t>
  </si>
  <si>
    <t>Average Quarterly Return</t>
  </si>
  <si>
    <t>Yield</t>
  </si>
  <si>
    <t>*Inception: 03/01/2017. The performance shown prior to December 6, 2019 is that of the Predecessor Fund, which reflects all of the Predecessor Fund's actual fees and expenses adjusted to include any fees of each share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</si>
</sst>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_-&quot;$&quot;* #,##0.00_-;\-&quot;$&quot;* #,##0.00_-;_-&quot;$&quot;* &quot;-&quot;??_-;_-@_-"/>
    <numFmt numFmtId="165" formatCode="_-* #,##0.00_-;\-* #,##0.00_-;_-* &quot;-&quot;??_-;_-@_-"/>
    <numFmt numFmtId="166" formatCode="_-&quot;$&quot;* #,##0_-;\-&quot;$&quot;* #,##0_-;_-&quot;$&quot;* &quot;-&quot;??_-;_-@_-"/>
    <numFmt numFmtId="167" formatCode="0.0%"/>
    <numFmt numFmtId="168" formatCode="_-* #,##0_-;\-* #,##0_-;_-* &quot;-&quot;??_-;_-@_-"/>
    <numFmt numFmtId="169" formatCode="0.0000%"/>
    <numFmt numFmtId="170" formatCode="[$-10409]#,##0.00;\(#,##0.00\)"/>
    <numFmt numFmtId="171" formatCode="_(* #,##0_);_(* \(#,##0\);_(* &quot;-&quot;??_);_(@_)"/>
    <numFmt numFmtId="172" formatCode="0.000"/>
    <numFmt numFmtId="173" formatCode="[$-10409]#,##0.000000%"/>
    <numFmt numFmtId="174" formatCode="[$-10409]#,##0.000;\(#,##0.000\);0.000"/>
    <numFmt numFmtId="175" formatCode="[$-10409]#,##0.000;\-#,##0.000"/>
    <numFmt numFmtId="176" formatCode="[$-10409]#,##0.00;\(#,##0.00\);0.00"/>
    <numFmt numFmtId="177" formatCode="[$-10409]#,##0;\(#,##0\);0"/>
    <numFmt numFmtId="178" formatCode="0.0"/>
    <numFmt numFmtId="179" formatCode="_-* #,##0.000000000000000_-;\-* #,##0.000000000000000_-;_-* &quot;-&quot;??_-;_-@_-"/>
    <numFmt numFmtId="180" formatCode="_(* #,##0.000_);_(* \(#,##0.000\);_(* &quot;-&quot;??_);_(@_)"/>
  </numFmts>
  <fonts count="29">
    <font>
      <sz val="11"/>
      <color theme="1"/>
      <name val="Calibri"/>
      <family val="2"/>
      <scheme val="minor"/>
    </font>
    <font>
      <sz val="11"/>
      <color theme="1"/>
      <name val="Calibri"/>
      <family val="2"/>
      <scheme val="minor"/>
    </font>
    <font>
      <b/>
      <sz val="9"/>
      <color theme="1"/>
      <name val="Calibri"/>
      <family val="2"/>
      <scheme val="minor"/>
    </font>
    <font>
      <sz val="8"/>
      <color theme="1"/>
      <name val="Calibri"/>
      <family val="2"/>
      <scheme val="minor"/>
    </font>
    <font>
      <sz val="8"/>
      <name val="Arial"/>
      <family val="2"/>
    </font>
    <font>
      <sz val="8"/>
      <color rgb="FF000000"/>
      <name val="Source Sans Pro Light"/>
      <family val="2"/>
    </font>
    <font>
      <sz val="7.5"/>
      <color rgb="FF000000"/>
      <name val="Trade Gothic LT Std Light"/>
      <family val="3"/>
    </font>
    <font>
      <b/>
      <sz val="7"/>
      <color rgb="FF000000"/>
      <name val="Helvetica LT Std"/>
      <family val="2"/>
    </font>
    <font>
      <b/>
      <sz val="8"/>
      <color rgb="FF025C78"/>
      <name val="Proxima Nova Rg"/>
      <family val="3"/>
    </font>
    <font>
      <sz val="8"/>
      <color rgb="FF000000"/>
      <name val="Helvetica LT Std Light"/>
      <family val="2"/>
    </font>
    <font>
      <b/>
      <sz val="8"/>
      <color rgb="FF000000"/>
      <name val="Calibri"/>
      <family val="2"/>
      <scheme val="minor"/>
    </font>
    <font>
      <sz val="9"/>
      <color rgb="FF000000"/>
      <name val="Source Sans Pro Light"/>
      <family val="2"/>
    </font>
    <font>
      <b/>
      <sz val="8"/>
      <color rgb="FFFF0000"/>
      <name val="Calibri"/>
      <family val="2"/>
      <scheme val="minor"/>
    </font>
    <font>
      <sz val="11"/>
      <color rgb="FFFF0000"/>
      <name val="Calibri"/>
      <family val="2"/>
      <scheme val="minor"/>
    </font>
    <font>
      <sz val="10"/>
      <name val="Arial"/>
      <family val="2"/>
    </font>
    <font>
      <sz val="12"/>
      <color rgb="FFFFFF00"/>
      <name val="Calibri"/>
      <family val="2"/>
      <scheme val="minor"/>
    </font>
    <font>
      <b/>
      <sz val="12"/>
      <color rgb="FFFFFF00"/>
      <name val="Calibri"/>
      <family val="2"/>
      <scheme val="minor"/>
    </font>
    <font>
      <b/>
      <sz val="11"/>
      <color theme="1"/>
      <name val="Calibri"/>
      <family val="2"/>
      <scheme val="minor"/>
    </font>
    <font>
      <b/>
      <sz val="8"/>
      <color theme="1"/>
      <name val="Arial"/>
      <family val="2"/>
    </font>
    <font>
      <b/>
      <sz val="9"/>
      <color theme="0"/>
      <name val="Arial"/>
      <family val="2"/>
    </font>
    <font>
      <sz val="8"/>
      <color rgb="FF000000"/>
      <name val="Trade Gothic LT Std"/>
      <family val="3"/>
    </font>
    <font>
      <sz val="7.5"/>
      <color rgb="FF000000"/>
      <name val="Trade Gothic LT Std"/>
      <family val="3"/>
    </font>
    <font>
      <i/>
      <sz val="6.5"/>
      <color rgb="FF000000"/>
      <name val="Trade Gothic LT Std"/>
      <family val="3"/>
    </font>
    <font>
      <b/>
      <sz val="8"/>
      <color rgb="FF000000"/>
      <name val="Trade Gothic LT Std"/>
      <family val="3"/>
    </font>
    <font>
      <b/>
      <sz val="8"/>
      <color indexed="8"/>
      <name val="Arial"/>
      <family val="2"/>
    </font>
    <font>
      <sz val="8"/>
      <color indexed="8"/>
      <name val="Arial"/>
      <family val="2"/>
    </font>
    <font>
      <sz val="8"/>
      <color rgb="FFFF0000"/>
      <name val="Helvetica LT Std Light"/>
      <family val="2"/>
    </font>
    <font>
      <b/>
      <sz val="10"/>
      <name val="Calibri"/>
      <family val="2"/>
    </font>
    <font>
      <sz val="10"/>
      <name val="Calibri"/>
      <family val="2"/>
    </font>
  </fonts>
  <fills count="1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indexed="9"/>
        <bgColor indexed="0"/>
      </patternFill>
    </fill>
    <fill>
      <patternFill patternType="solid">
        <fgColor theme="0" tint="-0.499984740745262"/>
        <bgColor indexed="64"/>
      </patternFill>
    </fill>
    <fill>
      <patternFill patternType="solid">
        <fgColor theme="4"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right style="medium">
        <color indexed="64"/>
      </right>
      <top style="thin">
        <color theme="0" tint="-0.14996795556505021"/>
      </top>
      <bottom style="medium">
        <color indexed="64"/>
      </bottom>
      <diagonal/>
    </border>
    <border>
      <left/>
      <right/>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4" fillId="0" borderId="0"/>
    <xf numFmtId="9" fontId="14" fillId="0" borderId="0" applyFont="0" applyFill="0" applyBorder="0" applyAlignment="0" applyProtection="0"/>
    <xf numFmtId="43" fontId="1" fillId="0" borderId="0" applyFont="0" applyFill="0" applyBorder="0" applyAlignment="0" applyProtection="0"/>
  </cellStyleXfs>
  <cellXfs count="229">
    <xf numFmtId="0" fontId="0" fillId="0" borderId="0" xfId="0"/>
    <xf numFmtId="0" fontId="0" fillId="2" borderId="0" xfId="0" applyFill="1"/>
    <xf numFmtId="0" fontId="0" fillId="2" borderId="0" xfId="0" applyFill="1" applyAlignment="1">
      <alignment vertical="center"/>
    </xf>
    <xf numFmtId="0" fontId="0" fillId="2" borderId="0" xfId="0" applyFill="1" applyAlignment="1">
      <alignment horizontal="right" vertical="center"/>
    </xf>
    <xf numFmtId="0" fontId="3" fillId="2" borderId="0" xfId="0" applyFont="1" applyFill="1"/>
    <xf numFmtId="0" fontId="0" fillId="2" borderId="0" xfId="0" applyFill="1" applyAlignment="1">
      <alignment horizontal="center" vertical="center"/>
    </xf>
    <xf numFmtId="17" fontId="0" fillId="2" borderId="0" xfId="0" applyNumberFormat="1" applyFill="1" applyAlignment="1">
      <alignment vertical="center"/>
    </xf>
    <xf numFmtId="10" fontId="3" fillId="2" borderId="0" xfId="3" applyNumberFormat="1" applyFont="1" applyFill="1" applyAlignment="1">
      <alignment horizontal="center" vertical="center"/>
    </xf>
    <xf numFmtId="17" fontId="3" fillId="2" borderId="0" xfId="0" applyNumberFormat="1" applyFont="1" applyFill="1" applyAlignment="1">
      <alignment vertical="center"/>
    </xf>
    <xf numFmtId="0" fontId="3" fillId="2" borderId="0" xfId="0" applyFont="1" applyFill="1" applyAlignment="1">
      <alignment vertical="center"/>
    </xf>
    <xf numFmtId="0" fontId="3" fillId="2" borderId="9" xfId="0" applyFont="1" applyFill="1" applyBorder="1"/>
    <xf numFmtId="0" fontId="0" fillId="2" borderId="10" xfId="0" applyFill="1" applyBorder="1" applyAlignment="1">
      <alignment vertical="center"/>
    </xf>
    <xf numFmtId="0" fontId="0" fillId="2" borderId="10" xfId="0" applyFill="1" applyBorder="1" applyAlignment="1">
      <alignment horizontal="center" vertical="center"/>
    </xf>
    <xf numFmtId="0" fontId="3" fillId="2" borderId="11" xfId="0" applyFont="1" applyFill="1" applyBorder="1"/>
    <xf numFmtId="0" fontId="3" fillId="2" borderId="12" xfId="0" applyFont="1" applyFill="1" applyBorder="1"/>
    <xf numFmtId="10" fontId="7" fillId="2" borderId="15" xfId="0" applyNumberFormat="1" applyFont="1" applyFill="1" applyBorder="1" applyAlignment="1">
      <alignment horizontal="center" vertical="center"/>
    </xf>
    <xf numFmtId="0" fontId="3" fillId="2" borderId="13" xfId="0" applyFont="1" applyFill="1" applyBorder="1"/>
    <xf numFmtId="0" fontId="3" fillId="2" borderId="0" xfId="0" applyFont="1" applyFill="1" applyAlignment="1">
      <alignment horizontal="center" vertical="center"/>
    </xf>
    <xf numFmtId="0" fontId="12" fillId="2" borderId="25" xfId="0" applyFont="1" applyFill="1" applyBorder="1" applyAlignment="1">
      <alignment vertical="center" textRotation="90"/>
    </xf>
    <xf numFmtId="0" fontId="5" fillId="2" borderId="2" xfId="0" applyFont="1" applyFill="1" applyBorder="1" applyAlignment="1">
      <alignment horizontal="left" vertical="center"/>
    </xf>
    <xf numFmtId="0" fontId="4"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26" xfId="0" applyFont="1" applyFill="1" applyBorder="1"/>
    <xf numFmtId="10" fontId="9" fillId="2" borderId="27" xfId="0" applyNumberFormat="1" applyFont="1" applyFill="1" applyBorder="1" applyAlignment="1">
      <alignment horizontal="left" vertical="center"/>
    </xf>
    <xf numFmtId="0" fontId="15" fillId="2" borderId="0" xfId="0" applyFont="1" applyFill="1"/>
    <xf numFmtId="0" fontId="15" fillId="2" borderId="0" xfId="0" applyFont="1" applyFill="1" applyAlignment="1">
      <alignment vertical="center"/>
    </xf>
    <xf numFmtId="0" fontId="13" fillId="2" borderId="0" xfId="0" applyFont="1" applyFill="1" applyAlignment="1">
      <alignment vertical="center"/>
    </xf>
    <xf numFmtId="2" fontId="6" fillId="2" borderId="0" xfId="0" applyNumberFormat="1" applyFont="1" applyFill="1" applyAlignment="1">
      <alignment horizontal="right" vertical="center"/>
    </xf>
    <xf numFmtId="10" fontId="9" fillId="2" borderId="0" xfId="0" applyNumberFormat="1" applyFont="1" applyFill="1" applyAlignment="1">
      <alignment horizontal="left" vertical="center"/>
    </xf>
    <xf numFmtId="14" fontId="18" fillId="0" borderId="0" xfId="0" applyNumberFormat="1" applyFont="1"/>
    <xf numFmtId="0" fontId="17" fillId="0" borderId="0" xfId="0" applyFont="1"/>
    <xf numFmtId="0" fontId="1" fillId="0" borderId="0" xfId="0" applyFont="1" applyAlignment="1">
      <alignment horizontal="center"/>
    </xf>
    <xf numFmtId="0" fontId="2" fillId="0" borderId="0" xfId="0" applyFont="1" applyAlignment="1">
      <alignment horizontal="center"/>
    </xf>
    <xf numFmtId="14" fontId="1" fillId="0" borderId="0" xfId="0" applyNumberFormat="1" applyFont="1"/>
    <xf numFmtId="170" fontId="1" fillId="0" borderId="0" xfId="1" applyNumberFormat="1"/>
    <xf numFmtId="0" fontId="1" fillId="0" borderId="0" xfId="0" applyFont="1"/>
    <xf numFmtId="10" fontId="1" fillId="0" borderId="0" xfId="3" applyNumberFormat="1"/>
    <xf numFmtId="9" fontId="1" fillId="0" borderId="0" xfId="3"/>
    <xf numFmtId="2" fontId="1" fillId="0" borderId="0" xfId="0" applyNumberFormat="1" applyFont="1" applyAlignment="1">
      <alignment horizontal="center"/>
    </xf>
    <xf numFmtId="43" fontId="17" fillId="0" borderId="0" xfId="0" applyNumberFormat="1" applyFont="1" applyAlignment="1">
      <alignment horizontal="center"/>
    </xf>
    <xf numFmtId="10" fontId="1" fillId="0" borderId="0" xfId="3" applyNumberFormat="1" applyAlignment="1">
      <alignment horizontal="center"/>
    </xf>
    <xf numFmtId="167" fontId="1" fillId="0" borderId="0" xfId="3" applyNumberFormat="1" applyAlignment="1">
      <alignment horizontal="center"/>
    </xf>
    <xf numFmtId="10" fontId="1" fillId="0" borderId="0" xfId="0" applyNumberFormat="1" applyFont="1" applyAlignment="1">
      <alignment horizontal="center"/>
    </xf>
    <xf numFmtId="172" fontId="1" fillId="0" borderId="0" xfId="0" applyNumberFormat="1" applyFont="1" applyAlignment="1">
      <alignment horizontal="center"/>
    </xf>
    <xf numFmtId="0" fontId="2" fillId="0" borderId="9" xfId="0" applyFont="1" applyBorder="1" applyAlignment="1">
      <alignment horizontal="center"/>
    </xf>
    <xf numFmtId="0" fontId="1" fillId="0" borderId="10" xfId="0" applyFont="1" applyBorder="1"/>
    <xf numFmtId="0" fontId="2" fillId="0" borderId="12" xfId="0" applyFont="1" applyBorder="1" applyAlignment="1">
      <alignment horizontal="center"/>
    </xf>
    <xf numFmtId="14" fontId="1" fillId="5" borderId="0" xfId="0" applyNumberFormat="1" applyFont="1" applyFill="1"/>
    <xf numFmtId="171" fontId="1" fillId="0" borderId="0" xfId="11" applyNumberFormat="1" applyAlignment="1">
      <alignment horizontal="center"/>
    </xf>
    <xf numFmtId="10" fontId="1" fillId="0" borderId="12" xfId="3" applyNumberFormat="1" applyBorder="1" applyAlignment="1">
      <alignment horizontal="center"/>
    </xf>
    <xf numFmtId="14" fontId="1" fillId="0" borderId="0" xfId="0" applyNumberFormat="1" applyFont="1" applyAlignment="1">
      <alignment horizontal="center"/>
    </xf>
    <xf numFmtId="0" fontId="2" fillId="0" borderId="25" xfId="0" applyFont="1" applyBorder="1" applyAlignment="1">
      <alignment horizontal="center"/>
    </xf>
    <xf numFmtId="14" fontId="1" fillId="0" borderId="2" xfId="0" applyNumberFormat="1" applyFont="1" applyBorder="1" applyAlignment="1">
      <alignment horizontal="center"/>
    </xf>
    <xf numFmtId="171" fontId="1" fillId="0" borderId="2" xfId="11" applyNumberFormat="1" applyBorder="1" applyAlignment="1">
      <alignment horizontal="center"/>
    </xf>
    <xf numFmtId="10" fontId="1" fillId="0" borderId="25" xfId="3" applyNumberFormat="1" applyBorder="1" applyAlignment="1">
      <alignment horizontal="center"/>
    </xf>
    <xf numFmtId="0" fontId="1" fillId="0" borderId="10" xfId="0" applyFont="1" applyBorder="1" applyAlignment="1">
      <alignment horizontal="center"/>
    </xf>
    <xf numFmtId="171" fontId="1" fillId="0" borderId="10" xfId="0" applyNumberFormat="1" applyFont="1" applyBorder="1" applyAlignment="1">
      <alignment horizontal="center"/>
    </xf>
    <xf numFmtId="10" fontId="17" fillId="0" borderId="12" xfId="3" applyNumberFormat="1" applyFont="1" applyBorder="1" applyAlignment="1">
      <alignment horizontal="center"/>
    </xf>
    <xf numFmtId="14" fontId="1" fillId="0" borderId="2" xfId="0" applyNumberFormat="1" applyFont="1" applyBorder="1"/>
    <xf numFmtId="10" fontId="17" fillId="0" borderId="25" xfId="3" applyNumberFormat="1" applyFont="1" applyBorder="1" applyAlignment="1">
      <alignment horizontal="center"/>
    </xf>
    <xf numFmtId="168" fontId="1" fillId="0" borderId="0" xfId="1" applyNumberFormat="1"/>
    <xf numFmtId="168" fontId="0" fillId="0" borderId="0" xfId="1" applyNumberFormat="1" applyFont="1"/>
    <xf numFmtId="0" fontId="1" fillId="4" borderId="0" xfId="0" applyFont="1" applyFill="1"/>
    <xf numFmtId="2" fontId="1" fillId="4" borderId="0" xfId="0" applyNumberFormat="1" applyFont="1" applyFill="1" applyAlignment="1">
      <alignment horizontal="center"/>
    </xf>
    <xf numFmtId="0" fontId="17" fillId="2" borderId="0" xfId="0" applyFont="1" applyFill="1"/>
    <xf numFmtId="10" fontId="1" fillId="4" borderId="0" xfId="3" applyNumberFormat="1" applyFill="1" applyAlignment="1">
      <alignment horizontal="center"/>
    </xf>
    <xf numFmtId="0" fontId="1" fillId="0" borderId="2" xfId="0" applyFont="1" applyBorder="1" applyAlignment="1">
      <alignment horizontal="center"/>
    </xf>
    <xf numFmtId="10" fontId="17" fillId="0" borderId="2" xfId="3" applyNumberFormat="1" applyFont="1" applyBorder="1" applyAlignment="1">
      <alignment horizontal="center"/>
    </xf>
    <xf numFmtId="14" fontId="17" fillId="0" borderId="7" xfId="0" applyNumberFormat="1" applyFont="1" applyBorder="1" applyAlignment="1">
      <alignment horizontal="center" vertical="center"/>
    </xf>
    <xf numFmtId="14" fontId="17" fillId="0" borderId="8" xfId="0" applyNumberFormat="1" applyFont="1" applyBorder="1" applyAlignment="1">
      <alignment horizontal="center" vertical="center"/>
    </xf>
    <xf numFmtId="14" fontId="19" fillId="7" borderId="6" xfId="0" applyNumberFormat="1" applyFont="1" applyFill="1" applyBorder="1" applyAlignment="1">
      <alignment horizontal="center" wrapText="1"/>
    </xf>
    <xf numFmtId="10" fontId="1" fillId="0" borderId="13" xfId="3" applyNumberFormat="1" applyBorder="1" applyAlignment="1">
      <alignment horizontal="center"/>
    </xf>
    <xf numFmtId="0" fontId="1" fillId="0" borderId="26" xfId="0" applyFont="1" applyBorder="1" applyAlignment="1">
      <alignment horizontal="center"/>
    </xf>
    <xf numFmtId="10" fontId="17" fillId="0" borderId="13" xfId="3" applyNumberFormat="1" applyFont="1" applyBorder="1" applyAlignment="1">
      <alignment horizontal="center"/>
    </xf>
    <xf numFmtId="10" fontId="17" fillId="0" borderId="26" xfId="3" applyNumberFormat="1" applyFont="1" applyBorder="1" applyAlignment="1">
      <alignment horizontal="center"/>
    </xf>
    <xf numFmtId="14" fontId="0" fillId="0" borderId="0" xfId="0" applyNumberFormat="1"/>
    <xf numFmtId="10" fontId="1" fillId="5" borderId="13" xfId="3" applyNumberFormat="1" applyFill="1" applyBorder="1" applyAlignment="1">
      <alignment horizontal="center"/>
    </xf>
    <xf numFmtId="10" fontId="10" fillId="2" borderId="0" xfId="0" applyNumberFormat="1" applyFont="1" applyFill="1" applyAlignment="1">
      <alignment horizontal="center" vertical="center"/>
    </xf>
    <xf numFmtId="10" fontId="11" fillId="2" borderId="0" xfId="3" applyNumberFormat="1" applyFont="1" applyFill="1" applyAlignment="1">
      <alignment horizontal="right" vertical="center"/>
    </xf>
    <xf numFmtId="10" fontId="9" fillId="2" borderId="12" xfId="0" applyNumberFormat="1" applyFont="1" applyFill="1" applyBorder="1" applyAlignment="1">
      <alignment horizontal="left" vertical="center"/>
    </xf>
    <xf numFmtId="170" fontId="1" fillId="0" borderId="0" xfId="1" applyNumberFormat="1" applyFill="1"/>
    <xf numFmtId="10" fontId="17" fillId="0" borderId="0" xfId="3" applyNumberFormat="1" applyFont="1" applyBorder="1" applyAlignment="1">
      <alignment horizontal="center"/>
    </xf>
    <xf numFmtId="171" fontId="1" fillId="0" borderId="0" xfId="11" applyNumberFormat="1" applyBorder="1" applyAlignment="1">
      <alignment horizontal="center"/>
    </xf>
    <xf numFmtId="0" fontId="1" fillId="0" borderId="13" xfId="0" applyFont="1" applyBorder="1"/>
    <xf numFmtId="10" fontId="1" fillId="0" borderId="12" xfId="3" applyNumberFormat="1" applyFill="1" applyBorder="1" applyAlignment="1">
      <alignment horizontal="center"/>
    </xf>
    <xf numFmtId="10" fontId="1" fillId="0" borderId="0" xfId="3" applyNumberFormat="1" applyBorder="1" applyAlignment="1">
      <alignment horizontal="center"/>
    </xf>
    <xf numFmtId="10" fontId="1" fillId="0" borderId="0" xfId="3" applyNumberFormat="1" applyFill="1" applyBorder="1" applyAlignment="1">
      <alignment horizontal="center"/>
    </xf>
    <xf numFmtId="10" fontId="1" fillId="0" borderId="13" xfId="3" applyNumberFormat="1" applyFill="1" applyBorder="1" applyAlignment="1">
      <alignment horizontal="center"/>
    </xf>
    <xf numFmtId="2" fontId="1" fillId="4" borderId="0" xfId="3" applyNumberFormat="1" applyFill="1" applyAlignment="1">
      <alignment horizontal="center"/>
    </xf>
    <xf numFmtId="10" fontId="21" fillId="2" borderId="0" xfId="3" applyNumberFormat="1" applyFont="1" applyFill="1" applyBorder="1" applyAlignment="1">
      <alignment horizontal="right" vertical="center"/>
    </xf>
    <xf numFmtId="2" fontId="21" fillId="2" borderId="0" xfId="3" applyNumberFormat="1" applyFont="1" applyFill="1" applyBorder="1" applyAlignment="1">
      <alignment horizontal="right" vertical="center"/>
    </xf>
    <xf numFmtId="167" fontId="21" fillId="2" borderId="0" xfId="3" applyNumberFormat="1" applyFont="1" applyFill="1" applyBorder="1" applyAlignment="1">
      <alignment horizontal="right" vertical="center"/>
    </xf>
    <xf numFmtId="0" fontId="0" fillId="2" borderId="12" xfId="0" applyFill="1" applyBorder="1"/>
    <xf numFmtId="0" fontId="0" fillId="2" borderId="13" xfId="0" applyFill="1" applyBorder="1"/>
    <xf numFmtId="0" fontId="0" fillId="2" borderId="25" xfId="0" applyFill="1" applyBorder="1"/>
    <xf numFmtId="0" fontId="0" fillId="2" borderId="2" xfId="0" applyFill="1" applyBorder="1"/>
    <xf numFmtId="0" fontId="0" fillId="2" borderId="26" xfId="0" applyFill="1" applyBorder="1"/>
    <xf numFmtId="10" fontId="20" fillId="2" borderId="25" xfId="0" applyNumberFormat="1" applyFont="1" applyFill="1" applyBorder="1" applyAlignment="1">
      <alignment horizontal="left" vertical="center"/>
    </xf>
    <xf numFmtId="167" fontId="20" fillId="4" borderId="13" xfId="0" applyNumberFormat="1" applyFont="1" applyFill="1" applyBorder="1" applyAlignment="1">
      <alignment horizontal="right" vertical="center"/>
    </xf>
    <xf numFmtId="167" fontId="20" fillId="4" borderId="26" xfId="0" applyNumberFormat="1" applyFont="1" applyFill="1" applyBorder="1" applyAlignment="1">
      <alignment horizontal="right" vertical="center"/>
    </xf>
    <xf numFmtId="168" fontId="13" fillId="0" borderId="0" xfId="1" applyNumberFormat="1" applyFont="1"/>
    <xf numFmtId="0" fontId="18" fillId="0" borderId="0" xfId="0" applyFont="1"/>
    <xf numFmtId="0" fontId="1" fillId="5" borderId="0" xfId="0" applyFont="1" applyFill="1"/>
    <xf numFmtId="0" fontId="17" fillId="0" borderId="0" xfId="0" applyFont="1" applyAlignment="1">
      <alignment horizontal="center"/>
    </xf>
    <xf numFmtId="0" fontId="17" fillId="0" borderId="7" xfId="0" applyFont="1" applyBorder="1" applyAlignment="1">
      <alignment horizontal="center" vertical="center"/>
    </xf>
    <xf numFmtId="0" fontId="9" fillId="2" borderId="12" xfId="0" applyFont="1" applyFill="1" applyBorder="1" applyAlignment="1">
      <alignment horizontal="left" vertical="center"/>
    </xf>
    <xf numFmtId="173" fontId="1" fillId="4" borderId="0" xfId="3" applyNumberFormat="1" applyFill="1"/>
    <xf numFmtId="10" fontId="23" fillId="2" borderId="25" xfId="0" applyNumberFormat="1" applyFont="1" applyFill="1" applyBorder="1" applyAlignment="1">
      <alignment horizontal="left" vertical="center"/>
    </xf>
    <xf numFmtId="173" fontId="1" fillId="0" borderId="0" xfId="3" applyNumberFormat="1" applyFill="1"/>
    <xf numFmtId="170" fontId="1" fillId="4" borderId="0" xfId="1" applyNumberFormat="1" applyFill="1"/>
    <xf numFmtId="0" fontId="24" fillId="0" borderId="31" xfId="0" applyFont="1" applyBorder="1" applyAlignment="1" applyProtection="1">
      <alignment horizontal="center" readingOrder="1"/>
      <protection locked="0"/>
    </xf>
    <xf numFmtId="0" fontId="24" fillId="0" borderId="31" xfId="0" applyFont="1" applyBorder="1" applyAlignment="1" applyProtection="1">
      <alignment horizontal="left" wrapText="1" readingOrder="1"/>
      <protection locked="0"/>
    </xf>
    <xf numFmtId="0" fontId="24" fillId="0" borderId="31" xfId="0" applyFont="1" applyBorder="1" applyAlignment="1" applyProtection="1">
      <alignment horizontal="center" wrapText="1" readingOrder="1"/>
      <protection locked="0"/>
    </xf>
    <xf numFmtId="0" fontId="24" fillId="0" borderId="31" xfId="0" applyFont="1" applyBorder="1" applyAlignment="1" applyProtection="1">
      <alignment vertical="top" readingOrder="1"/>
      <protection locked="0"/>
    </xf>
    <xf numFmtId="0" fontId="0" fillId="0" borderId="31" xfId="0" applyBorder="1" applyAlignment="1" applyProtection="1">
      <alignment vertical="top"/>
      <protection locked="0"/>
    </xf>
    <xf numFmtId="0" fontId="25" fillId="0" borderId="0" xfId="0" applyFont="1" applyAlignment="1" applyProtection="1">
      <alignment vertical="top" readingOrder="1"/>
      <protection locked="0"/>
    </xf>
    <xf numFmtId="174" fontId="25" fillId="0" borderId="0" xfId="0" applyNumberFormat="1" applyFont="1" applyAlignment="1" applyProtection="1">
      <alignment horizontal="right" vertical="top" readingOrder="1"/>
      <protection locked="0"/>
    </xf>
    <xf numFmtId="175" fontId="25" fillId="0" borderId="0" xfId="0" applyNumberFormat="1" applyFont="1" applyAlignment="1" applyProtection="1">
      <alignment horizontal="right" vertical="top" readingOrder="1"/>
      <protection locked="0"/>
    </xf>
    <xf numFmtId="176" fontId="25" fillId="0" borderId="0" xfId="0" applyNumberFormat="1" applyFont="1" applyAlignment="1" applyProtection="1">
      <alignment horizontal="right" vertical="top" readingOrder="1"/>
      <protection locked="0"/>
    </xf>
    <xf numFmtId="0" fontId="25" fillId="0" borderId="0" xfId="0" applyFont="1" applyAlignment="1" applyProtection="1">
      <alignment horizontal="left" vertical="top" wrapText="1" readingOrder="1"/>
      <protection locked="0"/>
    </xf>
    <xf numFmtId="177" fontId="25" fillId="0" borderId="0" xfId="0" applyNumberFormat="1" applyFont="1" applyAlignment="1" applyProtection="1">
      <alignment horizontal="right" vertical="top" wrapText="1" readingOrder="1"/>
      <protection locked="0"/>
    </xf>
    <xf numFmtId="0" fontId="24" fillId="0" borderId="0" xfId="0" applyFont="1" applyAlignment="1" applyProtection="1">
      <alignment vertical="top" wrapText="1" readingOrder="1"/>
      <protection locked="0"/>
    </xf>
    <xf numFmtId="0" fontId="24" fillId="0" borderId="0" xfId="0" applyFont="1" applyAlignment="1" applyProtection="1">
      <alignment horizontal="center" vertical="top" wrapText="1" readingOrder="1"/>
      <protection locked="0"/>
    </xf>
    <xf numFmtId="0" fontId="25" fillId="0" borderId="0" xfId="0" applyFont="1" applyAlignment="1" applyProtection="1">
      <alignment vertical="top" wrapText="1" readingOrder="1"/>
      <protection locked="0"/>
    </xf>
    <xf numFmtId="0" fontId="24" fillId="8" borderId="0" xfId="0" applyFont="1" applyFill="1" applyAlignment="1" applyProtection="1">
      <alignment vertical="top" readingOrder="1"/>
      <protection locked="0"/>
    </xf>
    <xf numFmtId="174" fontId="25" fillId="8" borderId="32" xfId="0" applyNumberFormat="1" applyFont="1" applyFill="1" applyBorder="1" applyAlignment="1" applyProtection="1">
      <alignment vertical="top" readingOrder="1"/>
      <protection locked="0"/>
    </xf>
    <xf numFmtId="0" fontId="25" fillId="8" borderId="0" xfId="0" applyFont="1" applyFill="1" applyAlignment="1" applyProtection="1">
      <alignment vertical="top" readingOrder="1"/>
      <protection locked="0"/>
    </xf>
    <xf numFmtId="176" fontId="25" fillId="8" borderId="32" xfId="0" applyNumberFormat="1" applyFont="1" applyFill="1" applyBorder="1" applyAlignment="1" applyProtection="1">
      <alignment vertical="top" readingOrder="1"/>
      <protection locked="0"/>
    </xf>
    <xf numFmtId="174" fontId="25" fillId="8" borderId="0" xfId="0" applyNumberFormat="1" applyFont="1" applyFill="1" applyAlignment="1" applyProtection="1">
      <alignment vertical="top" readingOrder="1"/>
      <protection locked="0"/>
    </xf>
    <xf numFmtId="176" fontId="25" fillId="8" borderId="0" xfId="0" applyNumberFormat="1" applyFont="1" applyFill="1" applyAlignment="1" applyProtection="1">
      <alignment vertical="top" readingOrder="1"/>
      <protection locked="0"/>
    </xf>
    <xf numFmtId="0" fontId="24" fillId="0" borderId="0" xfId="0" applyFont="1" applyAlignment="1" applyProtection="1">
      <alignment vertical="top" readingOrder="1"/>
      <protection locked="0"/>
    </xf>
    <xf numFmtId="0" fontId="9" fillId="2" borderId="27" xfId="0" applyFont="1" applyFill="1" applyBorder="1" applyAlignment="1">
      <alignment horizontal="left" vertical="center"/>
    </xf>
    <xf numFmtId="167" fontId="20" fillId="4" borderId="13" xfId="3" applyNumberFormat="1" applyFont="1" applyFill="1" applyBorder="1" applyAlignment="1">
      <alignment horizontal="right" vertical="center"/>
    </xf>
    <xf numFmtId="167" fontId="20" fillId="4" borderId="26" xfId="3" applyNumberFormat="1" applyFont="1" applyFill="1" applyBorder="1" applyAlignment="1">
      <alignment horizontal="right" vertical="center"/>
    </xf>
    <xf numFmtId="0" fontId="13" fillId="2" borderId="0" xfId="0" applyFont="1" applyFill="1" applyAlignment="1">
      <alignment horizontal="left" vertical="center"/>
    </xf>
    <xf numFmtId="0" fontId="8" fillId="0" borderId="1" xfId="0" applyFont="1" applyBorder="1" applyAlignment="1">
      <alignment horizontal="left" vertical="center" readingOrder="1"/>
    </xf>
    <xf numFmtId="0" fontId="7" fillId="6" borderId="1" xfId="0" applyFont="1" applyFill="1" applyBorder="1" applyAlignment="1">
      <alignment horizontal="center" vertical="center"/>
    </xf>
    <xf numFmtId="10" fontId="9" fillId="2" borderId="33" xfId="0" applyNumberFormat="1" applyFont="1" applyFill="1" applyBorder="1" applyAlignment="1">
      <alignment horizontal="left" vertical="center"/>
    </xf>
    <xf numFmtId="2" fontId="6" fillId="2" borderId="34" xfId="0" applyNumberFormat="1" applyFont="1" applyFill="1" applyBorder="1" applyAlignment="1">
      <alignment horizontal="right" vertical="center"/>
    </xf>
    <xf numFmtId="10" fontId="9" fillId="2" borderId="35" xfId="0" applyNumberFormat="1" applyFont="1" applyFill="1" applyBorder="1" applyAlignment="1">
      <alignment horizontal="left" vertical="center"/>
    </xf>
    <xf numFmtId="2" fontId="6" fillId="2" borderId="39" xfId="0" applyNumberFormat="1" applyFont="1" applyFill="1" applyBorder="1" applyAlignment="1">
      <alignment horizontal="right" vertical="center"/>
    </xf>
    <xf numFmtId="10" fontId="20" fillId="2" borderId="35" xfId="0" applyNumberFormat="1" applyFont="1" applyFill="1" applyBorder="1" applyAlignment="1">
      <alignment horizontal="left" vertical="center"/>
    </xf>
    <xf numFmtId="2" fontId="21" fillId="2" borderId="34" xfId="3" applyNumberFormat="1" applyFont="1" applyFill="1" applyBorder="1" applyAlignment="1">
      <alignment horizontal="right" vertical="center"/>
    </xf>
    <xf numFmtId="10" fontId="21" fillId="2" borderId="34" xfId="3" applyNumberFormat="1" applyFont="1" applyFill="1" applyBorder="1" applyAlignment="1">
      <alignment horizontal="right" vertical="center"/>
    </xf>
    <xf numFmtId="167" fontId="21" fillId="2" borderId="34" xfId="3" applyNumberFormat="1" applyFont="1" applyFill="1" applyBorder="1" applyAlignment="1">
      <alignment horizontal="right" vertical="center"/>
    </xf>
    <xf numFmtId="10" fontId="21" fillId="2" borderId="37" xfId="3" applyNumberFormat="1" applyFont="1" applyFill="1" applyBorder="1" applyAlignment="1">
      <alignment horizontal="right" vertical="center"/>
    </xf>
    <xf numFmtId="10" fontId="21" fillId="2" borderId="38" xfId="3" applyNumberFormat="1" applyFont="1" applyFill="1" applyBorder="1" applyAlignment="1">
      <alignment horizontal="right" vertical="center"/>
    </xf>
    <xf numFmtId="10" fontId="1" fillId="0" borderId="0" xfId="3" applyNumberFormat="1" applyFont="1"/>
    <xf numFmtId="2" fontId="6" fillId="4" borderId="34" xfId="0" applyNumberFormat="1" applyFont="1" applyFill="1" applyBorder="1" applyAlignment="1">
      <alignment horizontal="right" vertical="center"/>
    </xf>
    <xf numFmtId="10" fontId="25" fillId="0" borderId="0" xfId="10" applyNumberFormat="1" applyFont="1" applyFill="1" applyAlignment="1" applyProtection="1">
      <alignment horizontal="right" vertical="top" readingOrder="1"/>
      <protection locked="0"/>
    </xf>
    <xf numFmtId="10" fontId="25" fillId="0" borderId="0" xfId="10" applyNumberFormat="1" applyFont="1" applyAlignment="1" applyProtection="1">
      <alignment horizontal="center" vertical="top" wrapText="1" readingOrder="1"/>
      <protection locked="0"/>
    </xf>
    <xf numFmtId="10" fontId="1" fillId="0" borderId="9" xfId="3" applyNumberFormat="1" applyBorder="1" applyAlignment="1">
      <alignment horizontal="center"/>
    </xf>
    <xf numFmtId="10" fontId="1" fillId="0" borderId="10" xfId="3" applyNumberFormat="1" applyBorder="1" applyAlignment="1">
      <alignment horizontal="center"/>
    </xf>
    <xf numFmtId="10" fontId="1" fillId="0" borderId="11" xfId="3" applyNumberFormat="1" applyBorder="1" applyAlignment="1">
      <alignment horizontal="center"/>
    </xf>
    <xf numFmtId="2" fontId="6" fillId="4" borderId="38" xfId="0" applyNumberFormat="1" applyFont="1" applyFill="1" applyBorder="1" applyAlignment="1">
      <alignment horizontal="right" vertical="center"/>
    </xf>
    <xf numFmtId="2" fontId="0" fillId="0" borderId="0" xfId="0" applyNumberFormat="1"/>
    <xf numFmtId="10" fontId="0" fillId="0" borderId="0" xfId="0" applyNumberFormat="1"/>
    <xf numFmtId="178" fontId="0" fillId="0" borderId="0" xfId="0" applyNumberFormat="1"/>
    <xf numFmtId="3" fontId="1" fillId="4" borderId="0" xfId="1" applyNumberFormat="1" applyFill="1"/>
    <xf numFmtId="0" fontId="13" fillId="2" borderId="0" xfId="0" applyFont="1" applyFill="1"/>
    <xf numFmtId="2" fontId="6" fillId="4" borderId="0" xfId="0" applyNumberFormat="1" applyFont="1" applyFill="1" applyAlignment="1">
      <alignment horizontal="right" vertical="center"/>
    </xf>
    <xf numFmtId="10" fontId="9" fillId="0" borderId="36" xfId="0" applyNumberFormat="1" applyFont="1" applyBorder="1" applyAlignment="1">
      <alignment horizontal="left" vertical="center"/>
    </xf>
    <xf numFmtId="2" fontId="6" fillId="4" borderId="37" xfId="0" applyNumberFormat="1" applyFont="1" applyFill="1" applyBorder="1" applyAlignment="1">
      <alignment horizontal="right" vertical="center"/>
    </xf>
    <xf numFmtId="10" fontId="20" fillId="2" borderId="0" xfId="0" applyNumberFormat="1" applyFont="1" applyFill="1" applyAlignment="1">
      <alignment horizontal="left" vertical="center"/>
    </xf>
    <xf numFmtId="0" fontId="8" fillId="0" borderId="9" xfId="0" applyFont="1" applyBorder="1" applyAlignment="1">
      <alignment horizontal="center" vertical="center" wrapText="1" readingOrder="1"/>
    </xf>
    <xf numFmtId="0" fontId="17" fillId="0" borderId="8" xfId="0" applyFont="1" applyBorder="1" applyAlignment="1">
      <alignment horizontal="center" vertical="center"/>
    </xf>
    <xf numFmtId="171" fontId="1" fillId="0" borderId="13" xfId="11" applyNumberFormat="1" applyBorder="1" applyAlignment="1">
      <alignment horizontal="center"/>
    </xf>
    <xf numFmtId="171" fontId="1" fillId="0" borderId="26" xfId="11" applyNumberFormat="1" applyBorder="1" applyAlignment="1">
      <alignment horizontal="center"/>
    </xf>
    <xf numFmtId="10" fontId="7" fillId="9" borderId="14" xfId="0" applyNumberFormat="1" applyFont="1" applyFill="1" applyBorder="1" applyAlignment="1">
      <alignment horizontal="center" vertical="center"/>
    </xf>
    <xf numFmtId="10" fontId="7" fillId="9" borderId="15" xfId="0" applyNumberFormat="1" applyFont="1" applyFill="1" applyBorder="1" applyAlignment="1">
      <alignment horizontal="center" vertical="center"/>
    </xf>
    <xf numFmtId="166" fontId="9" fillId="9" borderId="1" xfId="2" applyNumberFormat="1" applyFont="1" applyFill="1" applyBorder="1" applyAlignment="1">
      <alignment horizontal="center" vertical="center"/>
    </xf>
    <xf numFmtId="166" fontId="9" fillId="9" borderId="17" xfId="2" applyNumberFormat="1" applyFont="1" applyFill="1" applyBorder="1" applyAlignment="1">
      <alignment horizontal="center" vertical="center"/>
    </xf>
    <xf numFmtId="10" fontId="10" fillId="9" borderId="5" xfId="0" applyNumberFormat="1" applyFont="1" applyFill="1" applyBorder="1" applyAlignment="1">
      <alignment horizontal="center" vertical="center"/>
    </xf>
    <xf numFmtId="10" fontId="11" fillId="9" borderId="19" xfId="3" applyNumberFormat="1" applyFont="1" applyFill="1" applyBorder="1" applyAlignment="1">
      <alignment horizontal="right" vertical="center"/>
    </xf>
    <xf numFmtId="10" fontId="11" fillId="9" borderId="28" xfId="3" applyNumberFormat="1" applyFont="1" applyFill="1" applyBorder="1" applyAlignment="1">
      <alignment horizontal="right" vertical="center"/>
    </xf>
    <xf numFmtId="10" fontId="10" fillId="9" borderId="4" xfId="0" applyNumberFormat="1" applyFont="1" applyFill="1" applyBorder="1" applyAlignment="1">
      <alignment horizontal="center" vertical="center"/>
    </xf>
    <xf numFmtId="10" fontId="11" fillId="9" borderId="21" xfId="3" applyNumberFormat="1" applyFont="1" applyFill="1" applyBorder="1" applyAlignment="1">
      <alignment horizontal="right" vertical="center"/>
    </xf>
    <xf numFmtId="10" fontId="11" fillId="9" borderId="29" xfId="3" applyNumberFormat="1" applyFont="1" applyFill="1" applyBorder="1" applyAlignment="1">
      <alignment horizontal="right" vertical="center"/>
    </xf>
    <xf numFmtId="10" fontId="10" fillId="9" borderId="23" xfId="0" applyNumberFormat="1" applyFont="1" applyFill="1" applyBorder="1" applyAlignment="1">
      <alignment horizontal="center" vertical="center"/>
    </xf>
    <xf numFmtId="10" fontId="11" fillId="9" borderId="24" xfId="3" applyNumberFormat="1" applyFont="1" applyFill="1" applyBorder="1" applyAlignment="1">
      <alignment horizontal="right" vertical="center"/>
    </xf>
    <xf numFmtId="10" fontId="11" fillId="9" borderId="30" xfId="3" applyNumberFormat="1" applyFont="1" applyFill="1" applyBorder="1" applyAlignment="1">
      <alignment horizontal="right" vertical="center"/>
    </xf>
    <xf numFmtId="0" fontId="9" fillId="5" borderId="35" xfId="0" applyFont="1" applyFill="1" applyBorder="1" applyAlignment="1">
      <alignment horizontal="left" vertical="center"/>
    </xf>
    <xf numFmtId="2" fontId="6" fillId="5" borderId="40" xfId="0" applyNumberFormat="1" applyFont="1" applyFill="1" applyBorder="1" applyAlignment="1">
      <alignment horizontal="right" vertical="center"/>
    </xf>
    <xf numFmtId="179" fontId="1" fillId="0" borderId="0" xfId="1" applyNumberFormat="1" applyFont="1" applyAlignment="1">
      <alignment horizontal="center"/>
    </xf>
    <xf numFmtId="2" fontId="1" fillId="0" borderId="0" xfId="0" applyNumberFormat="1" applyFont="1"/>
    <xf numFmtId="2" fontId="1" fillId="0" borderId="0" xfId="1" applyNumberFormat="1"/>
    <xf numFmtId="0" fontId="24" fillId="0" borderId="0" xfId="0" applyFont="1" applyAlignment="1" applyProtection="1">
      <alignment horizontal="center" vertical="top" readingOrder="1"/>
      <protection locked="0"/>
    </xf>
    <xf numFmtId="0" fontId="0" fillId="0" borderId="32" xfId="0" applyBorder="1" applyAlignment="1" applyProtection="1">
      <alignment vertical="top"/>
      <protection locked="0"/>
    </xf>
    <xf numFmtId="169" fontId="14" fillId="5" borderId="0" xfId="10" applyNumberFormat="1" applyFont="1" applyFill="1"/>
    <xf numFmtId="172" fontId="1" fillId="5" borderId="0" xfId="0" applyNumberFormat="1" applyFont="1" applyFill="1"/>
    <xf numFmtId="2" fontId="6" fillId="4" borderId="40" xfId="0" applyNumberFormat="1" applyFont="1" applyFill="1" applyBorder="1" applyAlignment="1">
      <alignment horizontal="right" vertical="center"/>
    </xf>
    <xf numFmtId="0" fontId="13" fillId="0" borderId="0" xfId="0" applyFont="1" applyAlignment="1">
      <alignment horizontal="center"/>
    </xf>
    <xf numFmtId="10" fontId="9" fillId="2" borderId="0" xfId="0" applyNumberFormat="1" applyFont="1" applyFill="1" applyAlignment="1">
      <alignment horizontal="left" vertical="center" wrapText="1"/>
    </xf>
    <xf numFmtId="4" fontId="1" fillId="4" borderId="0" xfId="0" applyNumberFormat="1" applyFont="1" applyFill="1"/>
    <xf numFmtId="0" fontId="13" fillId="2" borderId="0" xfId="0" applyFont="1" applyFill="1" applyAlignment="1">
      <alignment horizontal="center" vertical="center"/>
    </xf>
    <xf numFmtId="10" fontId="26" fillId="2" borderId="0" xfId="0" applyNumberFormat="1" applyFont="1" applyFill="1" applyAlignment="1">
      <alignment horizontal="center" wrapText="1"/>
    </xf>
    <xf numFmtId="10" fontId="25" fillId="0" borderId="0" xfId="10" applyNumberFormat="1" applyFont="1" applyFill="1" applyBorder="1" applyAlignment="1" applyProtection="1">
      <alignment horizontal="right" vertical="top" readingOrder="1"/>
      <protection locked="0"/>
    </xf>
    <xf numFmtId="0" fontId="0" fillId="0" borderId="0" xfId="0" applyAlignment="1" applyProtection="1">
      <alignment vertical="top"/>
      <protection locked="0"/>
    </xf>
    <xf numFmtId="43" fontId="0" fillId="0" borderId="0" xfId="11" applyFont="1"/>
    <xf numFmtId="10" fontId="0" fillId="0" borderId="0" xfId="11" applyNumberFormat="1" applyFont="1"/>
    <xf numFmtId="10" fontId="0" fillId="0" borderId="0" xfId="3" applyNumberFormat="1" applyFont="1"/>
    <xf numFmtId="10" fontId="27" fillId="0" borderId="0" xfId="0" applyNumberFormat="1" applyFont="1"/>
    <xf numFmtId="10" fontId="27" fillId="0" borderId="0" xfId="0" applyNumberFormat="1" applyFont="1" applyAlignment="1">
      <alignment horizontal="center"/>
    </xf>
    <xf numFmtId="49" fontId="28" fillId="0" borderId="0" xfId="0" applyNumberFormat="1" applyFont="1"/>
    <xf numFmtId="10" fontId="28" fillId="10" borderId="0" xfId="0" applyNumberFormat="1" applyFont="1" applyFill="1"/>
    <xf numFmtId="0" fontId="28" fillId="0" borderId="0" xfId="0" applyFont="1"/>
    <xf numFmtId="10" fontId="28" fillId="10" borderId="0" xfId="3" applyNumberFormat="1" applyFont="1" applyFill="1"/>
    <xf numFmtId="0" fontId="28" fillId="5" borderId="0" xfId="0" applyFont="1" applyFill="1"/>
    <xf numFmtId="0" fontId="28" fillId="10" borderId="0" xfId="0" applyFont="1" applyFill="1"/>
    <xf numFmtId="180" fontId="28" fillId="10" borderId="0" xfId="11" applyNumberFormat="1" applyFont="1" applyFill="1"/>
    <xf numFmtId="2" fontId="28" fillId="10" borderId="0" xfId="0" applyNumberFormat="1" applyFont="1" applyFill="1"/>
    <xf numFmtId="167" fontId="0" fillId="0" borderId="0" xfId="0" applyNumberFormat="1"/>
    <xf numFmtId="167" fontId="0" fillId="0" borderId="0" xfId="3" applyNumberFormat="1" applyFont="1"/>
    <xf numFmtId="0" fontId="13" fillId="0" borderId="0" xfId="0" applyFont="1" applyAlignment="1">
      <alignment horizontal="center"/>
    </xf>
    <xf numFmtId="0" fontId="16" fillId="3" borderId="6" xfId="0" applyFont="1" applyFill="1" applyBorder="1" applyAlignment="1">
      <alignment horizontal="center"/>
    </xf>
    <xf numFmtId="0" fontId="16" fillId="3" borderId="7" xfId="0" applyFont="1" applyFill="1" applyBorder="1" applyAlignment="1">
      <alignment horizontal="center"/>
    </xf>
    <xf numFmtId="0" fontId="16" fillId="3" borderId="8" xfId="0" applyFont="1" applyFill="1" applyBorder="1" applyAlignment="1">
      <alignment horizontal="center"/>
    </xf>
    <xf numFmtId="0" fontId="8" fillId="9" borderId="9" xfId="0" applyFont="1" applyFill="1" applyBorder="1" applyAlignment="1">
      <alignment horizontal="center" vertical="center" wrapText="1" readingOrder="1"/>
    </xf>
    <xf numFmtId="0" fontId="8" fillId="9" borderId="16" xfId="0" applyFont="1" applyFill="1" applyBorder="1" applyAlignment="1">
      <alignment horizontal="center" vertical="center" wrapText="1" readingOrder="1"/>
    </xf>
    <xf numFmtId="15" fontId="10" fillId="9" borderId="14" xfId="0" applyNumberFormat="1" applyFont="1" applyFill="1" applyBorder="1" applyAlignment="1">
      <alignment horizontal="center" vertical="center"/>
    </xf>
    <xf numFmtId="15" fontId="10" fillId="9" borderId="3" xfId="0" applyNumberFormat="1" applyFont="1" applyFill="1" applyBorder="1" applyAlignment="1">
      <alignment horizontal="center" vertical="center"/>
    </xf>
    <xf numFmtId="0" fontId="8" fillId="9" borderId="18" xfId="0" applyFont="1" applyFill="1" applyBorder="1" applyAlignment="1">
      <alignment horizontal="center" vertical="center" wrapText="1" readingOrder="1"/>
    </xf>
    <xf numFmtId="0" fontId="8" fillId="9" borderId="20" xfId="0" applyFont="1" applyFill="1" applyBorder="1" applyAlignment="1">
      <alignment horizontal="center" vertical="center" wrapText="1" readingOrder="1"/>
    </xf>
    <xf numFmtId="0" fontId="8" fillId="9" borderId="22" xfId="0" applyFont="1" applyFill="1" applyBorder="1" applyAlignment="1">
      <alignment horizontal="center" vertical="center" wrapText="1" readingOrder="1"/>
    </xf>
    <xf numFmtId="10" fontId="9" fillId="2" borderId="39" xfId="0" applyNumberFormat="1" applyFont="1" applyFill="1" applyBorder="1" applyAlignment="1">
      <alignment horizontal="left" vertical="center" wrapText="1"/>
    </xf>
    <xf numFmtId="0" fontId="8" fillId="0" borderId="33" xfId="0" applyFont="1" applyBorder="1" applyAlignment="1">
      <alignment horizontal="left" vertical="center" readingOrder="1"/>
    </xf>
    <xf numFmtId="0" fontId="8" fillId="0" borderId="39" xfId="0" applyFont="1" applyBorder="1" applyAlignment="1">
      <alignment horizontal="left" vertical="center" readingOrder="1"/>
    </xf>
    <xf numFmtId="10" fontId="20" fillId="2" borderId="36" xfId="0" applyNumberFormat="1" applyFont="1" applyFill="1" applyBorder="1" applyAlignment="1">
      <alignment horizontal="left" vertical="center"/>
    </xf>
    <xf numFmtId="10" fontId="20" fillId="2" borderId="37" xfId="0" applyNumberFormat="1" applyFont="1" applyFill="1" applyBorder="1" applyAlignment="1">
      <alignment horizontal="left" vertical="center"/>
    </xf>
  </cellXfs>
  <cellStyles count="12">
    <cellStyle name="Comma" xfId="1" builtinId="3"/>
    <cellStyle name="Comma 2" xfId="4" xr:uid="{00000000-0005-0000-0000-000001000000}"/>
    <cellStyle name="Comma 2 2" xfId="11" xr:uid="{DF994D52-FA59-4BCC-B253-8395AFFDE301}"/>
    <cellStyle name="Comma 3" xfId="7" xr:uid="{00000000-0005-0000-0000-000002000000}"/>
    <cellStyle name="Comma 4" xfId="6" xr:uid="{00000000-0005-0000-0000-000003000000}"/>
    <cellStyle name="Currency" xfId="2" builtinId="4"/>
    <cellStyle name="Currency 2" xfId="5" xr:uid="{00000000-0005-0000-0000-000005000000}"/>
    <cellStyle name="Currency 3" xfId="8" xr:uid="{00000000-0005-0000-0000-000006000000}"/>
    <cellStyle name="Normal" xfId="0" builtinId="0"/>
    <cellStyle name="Normal 2" xfId="9" xr:uid="{00000000-0005-0000-0000-000008000000}"/>
    <cellStyle name="Percent" xfId="3" builtinId="5"/>
    <cellStyle name="Percent 2" xfId="10" xr:uid="{00000000-0005-0000-0000-00000A000000}"/>
  </cellStyles>
  <dxfs count="1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fill>
        <patternFill patternType="none">
          <bgColor auto="1"/>
        </patternFill>
      </fill>
    </dxf>
    <dxf>
      <font>
        <color theme="0"/>
      </font>
    </dxf>
  </dxfs>
  <tableStyles count="0" defaultTableStyle="TableStyleMedium2" defaultPivotStyle="PivotStyleLight16"/>
  <colors>
    <mruColors>
      <color rgb="FF025C78"/>
      <color rgb="FF08DA94"/>
      <color rgb="FF002060"/>
      <color rgb="FFDD2751"/>
      <color rgb="FFA5A5A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Data'!$K$3:$K$40</c:f>
              <c:numCache>
                <c:formatCode>[$-10409]#,##0.00;\(#,##0.00\)</c:formatCode>
                <c:ptCount val="38"/>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numCache>
            </c:numRef>
          </c:val>
          <c:smooth val="0"/>
          <c:extLst>
            <c:ext xmlns:c16="http://schemas.microsoft.com/office/drawing/2014/chart" uri="{C3380CC4-5D6E-409C-BE32-E72D297353CC}">
              <c16:uniqueId val="{00000000-D083-4C63-BCCE-5E5B9197E158}"/>
            </c:ext>
          </c:extLst>
        </c:ser>
        <c:ser>
          <c:idx val="2"/>
          <c:order val="1"/>
          <c:tx>
            <c:v>Bloomberg Barclays US Agg. TR</c:v>
          </c:tx>
          <c:spPr>
            <a:ln w="12700" cap="rnd">
              <a:solidFill>
                <a:schemeClr val="accent3"/>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Data'!$O$3:$O$40</c:f>
              <c:numCache>
                <c:formatCode>[$-10409]#,##0.00;\(#,##0.00\)</c:formatCode>
                <c:ptCount val="38"/>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numCache>
            </c:numRef>
          </c:val>
          <c:smooth val="0"/>
          <c:extLst>
            <c:ext xmlns:c16="http://schemas.microsoft.com/office/drawing/2014/chart" uri="{C3380CC4-5D6E-409C-BE32-E72D297353CC}">
              <c16:uniqueId val="{00000001-D083-4C63-BCCE-5E5B9197E158}"/>
            </c:ext>
          </c:extLst>
        </c:ser>
        <c:ser>
          <c:idx val="1"/>
          <c:order val="2"/>
          <c:tx>
            <c:v>S&amp;P 500 TR Index</c:v>
          </c:tx>
          <c:spPr>
            <a:ln w="12700" cap="rnd">
              <a:solidFill>
                <a:srgbClr val="025C78"/>
              </a:solidFill>
              <a:round/>
            </a:ln>
            <a:effectLst/>
          </c:spPr>
          <c:marker>
            <c:symbol val="none"/>
          </c:marker>
          <c:cat>
            <c:numRef>
              <c:f>'PBX Return Data'!$A$3:$A$40</c:f>
              <c:numCache>
                <c:formatCode>m/d/yyyy</c:formatCode>
                <c:ptCount val="38"/>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numCache>
            </c:numRef>
          </c:cat>
          <c:val>
            <c:numRef>
              <c:f>'PBX Return Data'!$N$3:$N$40</c:f>
              <c:numCache>
                <c:formatCode>[$-10409]#,##0.00;\(#,##0.00\)</c:formatCode>
                <c:ptCount val="38"/>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numCache>
            </c:numRef>
          </c:val>
          <c:smooth val="0"/>
          <c:extLst>
            <c:ext xmlns:c16="http://schemas.microsoft.com/office/drawing/2014/chart" uri="{C3380CC4-5D6E-409C-BE32-E72D297353CC}">
              <c16:uniqueId val="{00000000-53B0-407C-9DA4-FCDED137007E}"/>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66F8-48ED-83B0-011A3A0559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F8-48ED-83B0-011A3A0559FE}"/>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66F8-48ED-83B0-011A3A0559FE}"/>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66F8-48ED-83B0-011A3A0559FE}"/>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F8-48ED-83B0-011A3A0559FE}"/>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F8-48ED-83B0-011A3A0559FE}"/>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'[3]PBX - FACT SHEET'!$N$5:$N$8</c:f>
              <c:strCache>
                <c:ptCount val="4"/>
                <c:pt idx="0">
                  <c:v>Conv</c:v>
                </c:pt>
                <c:pt idx="1">
                  <c:v>Pfd</c:v>
                </c:pt>
                <c:pt idx="2">
                  <c:v>Cash</c:v>
                </c:pt>
                <c:pt idx="3">
                  <c:v>Common</c:v>
                </c:pt>
              </c:strCache>
            </c:strRef>
          </c:cat>
          <c:val>
            <c:numRef>
              <c:f>'[3]PBX - FACT SHEET'!$O$5:$O$8</c:f>
              <c:numCache>
                <c:formatCode>General</c:formatCode>
                <c:ptCount val="4"/>
                <c:pt idx="0">
                  <c:v>0.5504765608757819</c:v>
                </c:pt>
                <c:pt idx="1">
                  <c:v>0.37479219284604204</c:v>
                </c:pt>
                <c:pt idx="2">
                  <c:v>5.6921644959724828E-2</c:v>
                </c:pt>
                <c:pt idx="3">
                  <c:v>1.7809601318451114E-2</c:v>
                </c:pt>
              </c:numCache>
            </c:numRef>
          </c:val>
          <c:extLst>
            <c:ext xmlns:c16="http://schemas.microsoft.com/office/drawing/2014/chart" uri="{C3380CC4-5D6E-409C-BE32-E72D297353CC}">
              <c16:uniqueId val="{00000008-66F8-48ED-83B0-011A3A0559FE}"/>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6BE-4A28-922B-6E19C3F8E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BE-4A28-922B-6E19C3F8E270}"/>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76BE-4A28-922B-6E19C3F8E270}"/>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76BE-4A28-922B-6E19C3F8E270}"/>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BE-4A28-922B-6E19C3F8E270}"/>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BE-4A28-922B-6E19C3F8E270}"/>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76BE-4A28-922B-6E19C3F8E270}"/>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BDB-456B-B251-CBD241C4D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DB-456B-B251-CBD241C4DE4D}"/>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BDB-456B-B251-CBD241C4DE4D}"/>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BDB-456B-B251-CBD241C4DE4D}"/>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DB-456B-B251-CBD241C4DE4D}"/>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DB-456B-B251-CBD241C4DE4D}"/>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'[4]PBX - FACT SHEET'!$N$5:$N$8</c:f>
              <c:strCache>
                <c:ptCount val="4"/>
                <c:pt idx="0">
                  <c:v>Conv</c:v>
                </c:pt>
                <c:pt idx="1">
                  <c:v>Pfd</c:v>
                </c:pt>
                <c:pt idx="2">
                  <c:v>Cash</c:v>
                </c:pt>
                <c:pt idx="3">
                  <c:v>Common</c:v>
                </c:pt>
              </c:strCache>
            </c:strRef>
          </c:cat>
          <c:val>
            <c:numRef>
              <c:f>'[4]PBX - FACT SHEET'!$O$5:$O$8</c:f>
              <c:numCache>
                <c:formatCode>General</c:formatCode>
                <c:ptCount val="4"/>
                <c:pt idx="0">
                  <c:v>0.59512921927336693</c:v>
                </c:pt>
                <c:pt idx="1">
                  <c:v>0.36319719006622347</c:v>
                </c:pt>
                <c:pt idx="2">
                  <c:v>2.7628479585945019E-2</c:v>
                </c:pt>
                <c:pt idx="3">
                  <c:v>1.4045111074464637E-2</c:v>
                </c:pt>
              </c:numCache>
            </c:numRef>
          </c:val>
          <c:extLst>
            <c:ext xmlns:c16="http://schemas.microsoft.com/office/drawing/2014/chart" uri="{C3380CC4-5D6E-409C-BE32-E72D297353CC}">
              <c16:uniqueId val="{00000008-3BDB-456B-B251-CBD241C4DE4D}"/>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963E-4039-B518-6876A4E0FE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3E-4039-B518-6876A4E0FE88}"/>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963E-4039-B518-6876A4E0FE88}"/>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963E-4039-B518-6876A4E0FE88}"/>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3E-4039-B518-6876A4E0FE88}"/>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3E-4039-B518-6876A4E0FE88}"/>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'[5]PBX - FACT SHEET'!$N$5:$N$8</c:f>
              <c:strCache>
                <c:ptCount val="4"/>
                <c:pt idx="0">
                  <c:v>Conv</c:v>
                </c:pt>
                <c:pt idx="1">
                  <c:v>Pfd</c:v>
                </c:pt>
                <c:pt idx="2">
                  <c:v>Cash</c:v>
                </c:pt>
                <c:pt idx="3">
                  <c:v>Common</c:v>
                </c:pt>
              </c:strCache>
            </c:strRef>
          </c:cat>
          <c:val>
            <c:numRef>
              <c:f>'[5]PBX - FACT SHEET'!$O$5:$O$8</c:f>
              <c:numCache>
                <c:formatCode>General</c:formatCode>
                <c:ptCount val="4"/>
                <c:pt idx="0">
                  <c:v>0.60271947082721977</c:v>
                </c:pt>
                <c:pt idx="1">
                  <c:v>0.36156680850201106</c:v>
                </c:pt>
                <c:pt idx="2">
                  <c:v>2.761759638710528E-2</c:v>
                </c:pt>
                <c:pt idx="3">
                  <c:v>8.0961242836639167E-3</c:v>
                </c:pt>
              </c:numCache>
            </c:numRef>
          </c:val>
          <c:extLst>
            <c:ext xmlns:c16="http://schemas.microsoft.com/office/drawing/2014/chart" uri="{C3380CC4-5D6E-409C-BE32-E72D297353CC}">
              <c16:uniqueId val="{00000008-963E-4039-B518-6876A4E0FE88}"/>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70E9-4F0C-9256-B1364ABD52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E9-4F0C-9256-B1364ABD52F5}"/>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70E9-4F0C-9256-B1364ABD52F5}"/>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70E9-4F0C-9256-B1364ABD52F5}"/>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E9-4F0C-9256-B1364ABD52F5}"/>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E9-4F0C-9256-B1364ABD52F5}"/>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'[5]PBX - FACT SHEET'!$N$5:$N$8</c:f>
              <c:strCache>
                <c:ptCount val="4"/>
                <c:pt idx="0">
                  <c:v>Conv</c:v>
                </c:pt>
                <c:pt idx="1">
                  <c:v>Pfd</c:v>
                </c:pt>
                <c:pt idx="2">
                  <c:v>Cash</c:v>
                </c:pt>
                <c:pt idx="3">
                  <c:v>Common</c:v>
                </c:pt>
              </c:strCache>
            </c:strRef>
          </c:cat>
          <c:val>
            <c:numRef>
              <c:f>'[5]PBX - FACT SHEET'!$O$5:$O$8</c:f>
              <c:numCache>
                <c:formatCode>General</c:formatCode>
                <c:ptCount val="4"/>
                <c:pt idx="0">
                  <c:v>0.60271947082721977</c:v>
                </c:pt>
                <c:pt idx="1">
                  <c:v>0.36156680850201106</c:v>
                </c:pt>
                <c:pt idx="2">
                  <c:v>2.761759638710528E-2</c:v>
                </c:pt>
                <c:pt idx="3">
                  <c:v>8.0961242836639167E-3</c:v>
                </c:pt>
              </c:numCache>
            </c:numRef>
          </c:val>
          <c:extLst>
            <c:ext xmlns:c16="http://schemas.microsoft.com/office/drawing/2014/chart" uri="{C3380CC4-5D6E-409C-BE32-E72D297353CC}">
              <c16:uniqueId val="{00000008-70E9-4F0C-9256-B1364ABD52F5}"/>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45C9-4B65-8BFB-024E28A9EB27}"/>
            </c:ext>
          </c:extLst>
        </c:ser>
        <c:ser>
          <c:idx val="2"/>
          <c:order val="1"/>
          <c:tx>
            <c:v>Bloomberg Barclays US Agg. TR</c:v>
          </c:tx>
          <c:spPr>
            <a:ln w="12700" cap="rnd">
              <a:solidFill>
                <a:schemeClr val="accent3"/>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45C9-4B65-8BFB-024E28A9EB27}"/>
            </c:ext>
          </c:extLst>
        </c:ser>
        <c:ser>
          <c:idx val="1"/>
          <c:order val="2"/>
          <c:tx>
            <c:v>S&amp;P 500 TR Index</c:v>
          </c:tx>
          <c:spPr>
            <a:ln w="12700" cap="rnd">
              <a:solidFill>
                <a:srgbClr val="025C78"/>
              </a:solidFill>
              <a:round/>
            </a:ln>
            <a:effectLst/>
          </c:spPr>
          <c:marker>
            <c:symbol val="none"/>
          </c:marker>
          <c:cat>
            <c:numRef>
              <c:f>'[1]PBX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'[1]PBX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45C9-4B65-8BFB-024E28A9EB2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3C7A-470E-ADB4-29C8FF8ED937}"/>
            </c:ext>
          </c:extLst>
        </c:ser>
        <c:ser>
          <c:idx val="2"/>
          <c:order val="1"/>
          <c:tx>
            <c:v>Bloomberg Barclays US Agg. TR</c:v>
          </c:tx>
          <c:spPr>
            <a:ln w="12700" cap="rnd">
              <a:solidFill>
                <a:schemeClr val="accent3"/>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3C7A-470E-ADB4-29C8FF8ED937}"/>
            </c:ext>
          </c:extLst>
        </c:ser>
        <c:ser>
          <c:idx val="1"/>
          <c:order val="2"/>
          <c:tx>
            <c:v>S&amp;P 500 TR Index</c:v>
          </c:tx>
          <c:spPr>
            <a:ln w="12700" cap="rnd">
              <a:solidFill>
                <a:srgbClr val="025C78"/>
              </a:solidFill>
              <a:round/>
            </a:ln>
            <a:effectLst/>
          </c:spPr>
          <c:marker>
            <c:symbol val="none"/>
          </c:marker>
          <c:cat>
            <c:numRef>
              <c:f>'[2]PBX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'[2]PBX Return Data'!$N$3:$N$43</c:f>
              <c:numCache>
                <c:formatCode>General</c:formatCode>
                <c:ptCount val="41"/>
                <c:pt idx="0">
                  <c:v>10000</c:v>
                </c:pt>
                <c:pt idx="1">
                  <c:v>9874.8403409251641</c:v>
                </c:pt>
                <c:pt idx="2">
                  <c:v>9976.2605723138659</c:v>
                </c:pt>
                <c:pt idx="3">
                  <c:v>10116.651761526462</c:v>
                </c:pt>
                <c:pt idx="4">
                  <c:v>10179.797333611854</c:v>
                </c:pt>
                <c:pt idx="5">
                  <c:v>10389.122076362191</c:v>
                </c:pt>
                <c:pt idx="6">
                  <c:v>10420.93421502134</c:v>
                </c:pt>
                <c:pt idx="7">
                  <c:v>10635.894623922646</c:v>
                </c:pt>
                <c:pt idx="8">
                  <c:v>10884.081527853032</c:v>
                </c:pt>
                <c:pt idx="9">
                  <c:v>11217.891390486389</c:v>
                </c:pt>
                <c:pt idx="10">
                  <c:v>11342.615862985864</c:v>
                </c:pt>
                <c:pt idx="11">
                  <c:v>11992.023030073575</c:v>
                </c:pt>
                <c:pt idx="12">
                  <c:v>11550.047544133366</c:v>
                </c:pt>
                <c:pt idx="13">
                  <c:v>11256.514199049994</c:v>
                </c:pt>
                <c:pt idx="14">
                  <c:v>11299.706466654923</c:v>
                </c:pt>
                <c:pt idx="15">
                  <c:v>11571.828632230361</c:v>
                </c:pt>
                <c:pt idx="16">
                  <c:v>11643.046915288765</c:v>
                </c:pt>
                <c:pt idx="17">
                  <c:v>12076.340429050453</c:v>
                </c:pt>
                <c:pt idx="18">
                  <c:v>12469.836130495056</c:v>
                </c:pt>
                <c:pt idx="19">
                  <c:v>12540.81506093701</c:v>
                </c:pt>
                <c:pt idx="20">
                  <c:v>11683.649822770276</c:v>
                </c:pt>
                <c:pt idx="21">
                  <c:v>11921.740398152207</c:v>
                </c:pt>
                <c:pt idx="22">
                  <c:v>10845.328163316826</c:v>
                </c:pt>
                <c:pt idx="23">
                  <c:v>11714.417513648546</c:v>
                </c:pt>
                <c:pt idx="24">
                  <c:v>12090.549270736105</c:v>
                </c:pt>
                <c:pt idx="25">
                  <c:v>12325.484743446643</c:v>
                </c:pt>
                <c:pt idx="26">
                  <c:v>12824.53494874591</c:v>
                </c:pt>
                <c:pt idx="27">
                  <c:v>12009.561049060767</c:v>
                </c:pt>
                <c:pt idx="28">
                  <c:v>12855.955419487227</c:v>
                </c:pt>
                <c:pt idx="29">
                  <c:v>13040.735639387003</c:v>
                </c:pt>
                <c:pt idx="30">
                  <c:v>12834.152572061463</c:v>
                </c:pt>
                <c:pt idx="31">
                  <c:v>13074.288524347608</c:v>
                </c:pt>
                <c:pt idx="32">
                  <c:v>13357.464428937303</c:v>
                </c:pt>
                <c:pt idx="33">
                  <c:v>13842.327551879689</c:v>
                </c:pt>
                <c:pt idx="34">
                  <c:v>14260.128423558397</c:v>
                </c:pt>
                <c:pt idx="35">
                  <c:v>14254.536276064964</c:v>
                </c:pt>
                <c:pt idx="36">
                  <c:v>13081.120953580832</c:v>
                </c:pt>
                <c:pt idx="37">
                  <c:v>11465.425514553734</c:v>
                </c:pt>
                <c:pt idx="38">
                  <c:v>12935.224654189875</c:v>
                </c:pt>
                <c:pt idx="39">
                  <c:v>13551.296529604662</c:v>
                </c:pt>
                <c:pt idx="40">
                  <c:v>13820.807575727911</c:v>
                </c:pt>
              </c:numCache>
            </c:numRef>
          </c:val>
          <c:smooth val="0"/>
          <c:extLst>
            <c:ext xmlns:c16="http://schemas.microsoft.com/office/drawing/2014/chart" uri="{C3380CC4-5D6E-409C-BE32-E72D297353CC}">
              <c16:uniqueId val="{00000002-3C7A-470E-ADB4-29C8FF8ED93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96153846153844E-2"/>
          <c:y val="3.1833008790348269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Data'!$K$3:$K$43</c:f>
              <c:numCache>
                <c:formatCode>General</c:formatCode>
                <c:ptCount val="41"/>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numCache>
            </c:numRef>
          </c:val>
          <c:smooth val="0"/>
          <c:extLst>
            <c:ext xmlns:c16="http://schemas.microsoft.com/office/drawing/2014/chart" uri="{C3380CC4-5D6E-409C-BE32-E72D297353CC}">
              <c16:uniqueId val="{00000000-66FC-4848-8675-F72A814E7B58}"/>
            </c:ext>
          </c:extLst>
        </c:ser>
        <c:ser>
          <c:idx val="2"/>
          <c:order val="1"/>
          <c:tx>
            <c:v>Bloomberg Barclays US Agg. TR</c:v>
          </c:tx>
          <c:spPr>
            <a:ln w="12700" cap="rnd">
              <a:solidFill>
                <a:schemeClr val="accent3"/>
              </a:solidFill>
              <a:round/>
            </a:ln>
            <a:effectLst/>
          </c:spPr>
          <c:marker>
            <c:symbol val="none"/>
          </c:marker>
          <c:cat>
            <c:numRef>
              <c:f>'[3]PBX Return Data'!$A$3:$A$43</c:f>
              <c:numCache>
                <c:formatCode>General</c:formatCode>
                <c:ptCount val="41"/>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numCache>
            </c:numRef>
          </c:cat>
          <c:val>
            <c:numRef>
              <c:f>'[3]PBX Return Data'!$O$3:$O$43</c:f>
              <c:numCache>
                <c:formatCode>General</c:formatCode>
                <c:ptCount val="41"/>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numCache>
            </c:numRef>
          </c:val>
          <c:smooth val="0"/>
          <c:extLst>
            <c:ext xmlns:c16="http://schemas.microsoft.com/office/drawing/2014/chart" uri="{C3380CC4-5D6E-409C-BE32-E72D297353CC}">
              <c16:uniqueId val="{00000001-66FC-4848-8675-F72A814E7B58}"/>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45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2549-48A9-95F0-5FEFDF57D0B5}"/>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2549-48A9-95F0-5FEFDF57D0B5}"/>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Data'!$K$3:$K$49</c:f>
              <c:numCache>
                <c:formatCode>General</c:formatCode>
                <c:ptCount val="47"/>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numCache>
            </c:numRef>
          </c:val>
          <c:smooth val="0"/>
          <c:extLst>
            <c:ext xmlns:c16="http://schemas.microsoft.com/office/drawing/2014/chart" uri="{C3380CC4-5D6E-409C-BE32-E72D297353CC}">
              <c16:uniqueId val="{00000000-9032-4157-93F8-FC6FA747A652}"/>
            </c:ext>
          </c:extLst>
        </c:ser>
        <c:ser>
          <c:idx val="2"/>
          <c:order val="1"/>
          <c:tx>
            <c:v>Bloomberg Barclays US Agg. TR</c:v>
          </c:tx>
          <c:spPr>
            <a:ln w="12700" cap="rnd">
              <a:solidFill>
                <a:schemeClr val="accent3"/>
              </a:solidFill>
              <a:round/>
            </a:ln>
            <a:effectLst/>
          </c:spPr>
          <c:marker>
            <c:symbol val="none"/>
          </c:marker>
          <c:cat>
            <c:numRef>
              <c:f>'[4]PBX Return Data'!$A$3:$A$49</c:f>
              <c:numCache>
                <c:formatCode>General</c:formatCode>
                <c:ptCount val="47"/>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numCache>
            </c:numRef>
          </c:cat>
          <c:val>
            <c:numRef>
              <c:f>'[4]PBX Return Data'!$O$3:$O$49</c:f>
              <c:numCache>
                <c:formatCode>General</c:formatCode>
                <c:ptCount val="47"/>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numCache>
            </c:numRef>
          </c:val>
          <c:smooth val="0"/>
          <c:extLst>
            <c:ext xmlns:c16="http://schemas.microsoft.com/office/drawing/2014/chart" uri="{C3380CC4-5D6E-409C-BE32-E72D297353CC}">
              <c16:uniqueId val="{00000001-9032-4157-93F8-FC6FA747A652}"/>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39851260357115E-2"/>
          <c:y val="3.1832867960570513E-2"/>
          <c:w val="0.88166761633428303"/>
          <c:h val="0.86779545454545459"/>
        </c:manualLayout>
      </c:layout>
      <c:lineChart>
        <c:grouping val="standard"/>
        <c:varyColors val="0"/>
        <c:ser>
          <c:idx val="0"/>
          <c:order val="0"/>
          <c:tx>
            <c:v>RFXIX</c:v>
          </c:tx>
          <c:spPr>
            <a:ln w="31750" cap="rnd">
              <a:solidFill>
                <a:srgbClr val="08DA94"/>
              </a:solidFill>
              <a:round/>
            </a:ln>
            <a:effectLst/>
          </c:spPr>
          <c:marker>
            <c:symbol val="none"/>
          </c:marker>
          <c:cat>
            <c:numRef>
              <c:f>'[5]PBX Return Data'!$A$3:$A$52</c:f>
              <c:numCache>
                <c:formatCode>General</c:formatCode>
                <c:ptCount val="50"/>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pt idx="47">
                  <c:v>44227</c:v>
                </c:pt>
                <c:pt idx="48">
                  <c:v>44255</c:v>
                </c:pt>
                <c:pt idx="49">
                  <c:v>44286</c:v>
                </c:pt>
              </c:numCache>
            </c:numRef>
          </c:cat>
          <c:val>
            <c:numRef>
              <c:f>'[5]PBX Return Data'!$K$3:$K$52</c:f>
              <c:numCache>
                <c:formatCode>General</c:formatCode>
                <c:ptCount val="50"/>
                <c:pt idx="0">
                  <c:v>10000</c:v>
                </c:pt>
                <c:pt idx="1">
                  <c:v>9959.6151011064649</c:v>
                </c:pt>
                <c:pt idx="2">
                  <c:v>10070.147737228845</c:v>
                </c:pt>
                <c:pt idx="3">
                  <c:v>10180.381876698508</c:v>
                </c:pt>
                <c:pt idx="4">
                  <c:v>10241.521615198355</c:v>
                </c:pt>
                <c:pt idx="5">
                  <c:v>10441.048768580116</c:v>
                </c:pt>
                <c:pt idx="6">
                  <c:v>10429.828918110359</c:v>
                </c:pt>
                <c:pt idx="7">
                  <c:v>10463.117967910277</c:v>
                </c:pt>
                <c:pt idx="8">
                  <c:v>10660.974925576076</c:v>
                </c:pt>
                <c:pt idx="9">
                  <c:v>10727.143878585481</c:v>
                </c:pt>
                <c:pt idx="10">
                  <c:v>10718.427011272177</c:v>
                </c:pt>
                <c:pt idx="11">
                  <c:v>10963.813089299401</c:v>
                </c:pt>
                <c:pt idx="12">
                  <c:v>10892.837630739419</c:v>
                </c:pt>
                <c:pt idx="13">
                  <c:v>10854.981925361213</c:v>
                </c:pt>
                <c:pt idx="14">
                  <c:v>10883.69460104326</c:v>
                </c:pt>
                <c:pt idx="15">
                  <c:v>11120.862270721798</c:v>
                </c:pt>
                <c:pt idx="16">
                  <c:v>11296.045269096507</c:v>
                </c:pt>
                <c:pt idx="17">
                  <c:v>11454.289873860696</c:v>
                </c:pt>
                <c:pt idx="18">
                  <c:v>11777.46318235264</c:v>
                </c:pt>
                <c:pt idx="19">
                  <c:v>11770.528951422675</c:v>
                </c:pt>
                <c:pt idx="20">
                  <c:v>11284.446935421794</c:v>
                </c:pt>
                <c:pt idx="21">
                  <c:v>11529.939136578709</c:v>
                </c:pt>
                <c:pt idx="22">
                  <c:v>10911.119257589457</c:v>
                </c:pt>
                <c:pt idx="23">
                  <c:v>11596.058698765837</c:v>
                </c:pt>
                <c:pt idx="24">
                  <c:v>11825.5470849622</c:v>
                </c:pt>
                <c:pt idx="25">
                  <c:v>11914.277835021911</c:v>
                </c:pt>
                <c:pt idx="26">
                  <c:v>12062.166794421459</c:v>
                </c:pt>
                <c:pt idx="27">
                  <c:v>11804.241229555231</c:v>
                </c:pt>
                <c:pt idx="28">
                  <c:v>12157.854901998569</c:v>
                </c:pt>
                <c:pt idx="29">
                  <c:v>12371</c:v>
                </c:pt>
                <c:pt idx="30">
                  <c:v>12357</c:v>
                </c:pt>
                <c:pt idx="31">
                  <c:v>12590</c:v>
                </c:pt>
                <c:pt idx="32">
                  <c:v>12752</c:v>
                </c:pt>
                <c:pt idx="33">
                  <c:v>12803</c:v>
                </c:pt>
                <c:pt idx="34">
                  <c:v>13048</c:v>
                </c:pt>
                <c:pt idx="35">
                  <c:v>13151</c:v>
                </c:pt>
                <c:pt idx="36">
                  <c:v>12625</c:v>
                </c:pt>
                <c:pt idx="37">
                  <c:v>11316</c:v>
                </c:pt>
                <c:pt idx="38">
                  <c:v>12266</c:v>
                </c:pt>
                <c:pt idx="39">
                  <c:v>12971</c:v>
                </c:pt>
                <c:pt idx="40">
                  <c:v>13266</c:v>
                </c:pt>
                <c:pt idx="41">
                  <c:v>14062</c:v>
                </c:pt>
                <c:pt idx="42">
                  <c:v>14152</c:v>
                </c:pt>
                <c:pt idx="43">
                  <c:v>13837</c:v>
                </c:pt>
                <c:pt idx="44">
                  <c:v>13889</c:v>
                </c:pt>
                <c:pt idx="45">
                  <c:v>14704</c:v>
                </c:pt>
                <c:pt idx="46">
                  <c:v>15277</c:v>
                </c:pt>
                <c:pt idx="47">
                  <c:v>15277</c:v>
                </c:pt>
                <c:pt idx="48">
                  <c:v>15722</c:v>
                </c:pt>
                <c:pt idx="49">
                  <c:v>15598</c:v>
                </c:pt>
              </c:numCache>
            </c:numRef>
          </c:val>
          <c:smooth val="0"/>
          <c:extLst>
            <c:ext xmlns:c16="http://schemas.microsoft.com/office/drawing/2014/chart" uri="{C3380CC4-5D6E-409C-BE32-E72D297353CC}">
              <c16:uniqueId val="{00000000-D297-4C5E-8383-A99C9AC2BDE7}"/>
            </c:ext>
          </c:extLst>
        </c:ser>
        <c:ser>
          <c:idx val="2"/>
          <c:order val="1"/>
          <c:tx>
            <c:v>Bloomberg Barclays US Agg. TR</c:v>
          </c:tx>
          <c:spPr>
            <a:ln w="12700" cap="rnd">
              <a:solidFill>
                <a:schemeClr val="accent3"/>
              </a:solidFill>
              <a:round/>
            </a:ln>
            <a:effectLst/>
          </c:spPr>
          <c:marker>
            <c:symbol val="none"/>
          </c:marker>
          <c:cat>
            <c:numRef>
              <c:f>'[5]PBX Return Data'!$A$3:$A$52</c:f>
              <c:numCache>
                <c:formatCode>General</c:formatCode>
                <c:ptCount val="50"/>
                <c:pt idx="0">
                  <c:v>42795</c:v>
                </c:pt>
                <c:pt idx="1">
                  <c:v>42825</c:v>
                </c:pt>
                <c:pt idx="2">
                  <c:v>42855</c:v>
                </c:pt>
                <c:pt idx="3">
                  <c:v>42886</c:v>
                </c:pt>
                <c:pt idx="4">
                  <c:v>42916</c:v>
                </c:pt>
                <c:pt idx="5">
                  <c:v>42947</c:v>
                </c:pt>
                <c:pt idx="6">
                  <c:v>42978</c:v>
                </c:pt>
                <c:pt idx="7">
                  <c:v>43008</c:v>
                </c:pt>
                <c:pt idx="8">
                  <c:v>43039</c:v>
                </c:pt>
                <c:pt idx="9">
                  <c:v>43069</c:v>
                </c:pt>
                <c:pt idx="10">
                  <c:v>43100</c:v>
                </c:pt>
                <c:pt idx="11">
                  <c:v>43131</c:v>
                </c:pt>
                <c:pt idx="12">
                  <c:v>43159</c:v>
                </c:pt>
                <c:pt idx="13">
                  <c:v>43190</c:v>
                </c:pt>
                <c:pt idx="14">
                  <c:v>43220</c:v>
                </c:pt>
                <c:pt idx="15">
                  <c:v>43251</c:v>
                </c:pt>
                <c:pt idx="16">
                  <c:v>43281</c:v>
                </c:pt>
                <c:pt idx="17">
                  <c:v>43312</c:v>
                </c:pt>
                <c:pt idx="18">
                  <c:v>43343</c:v>
                </c:pt>
                <c:pt idx="19">
                  <c:v>43373</c:v>
                </c:pt>
                <c:pt idx="20">
                  <c:v>43404</c:v>
                </c:pt>
                <c:pt idx="21">
                  <c:v>43434</c:v>
                </c:pt>
                <c:pt idx="22">
                  <c:v>43465</c:v>
                </c:pt>
                <c:pt idx="23">
                  <c:v>43496</c:v>
                </c:pt>
                <c:pt idx="24">
                  <c:v>43524</c:v>
                </c:pt>
                <c:pt idx="25">
                  <c:v>43555</c:v>
                </c:pt>
                <c:pt idx="26">
                  <c:v>43585</c:v>
                </c:pt>
                <c:pt idx="27">
                  <c:v>43616</c:v>
                </c:pt>
                <c:pt idx="28">
                  <c:v>43646</c:v>
                </c:pt>
                <c:pt idx="29">
                  <c:v>43677</c:v>
                </c:pt>
                <c:pt idx="30">
                  <c:v>43708</c:v>
                </c:pt>
                <c:pt idx="31">
                  <c:v>43738</c:v>
                </c:pt>
                <c:pt idx="32">
                  <c:v>43769</c:v>
                </c:pt>
                <c:pt idx="33">
                  <c:v>43799</c:v>
                </c:pt>
                <c:pt idx="34">
                  <c:v>43830</c:v>
                </c:pt>
                <c:pt idx="35">
                  <c:v>43861</c:v>
                </c:pt>
                <c:pt idx="36">
                  <c:v>43890</c:v>
                </c:pt>
                <c:pt idx="37">
                  <c:v>43921</c:v>
                </c:pt>
                <c:pt idx="38">
                  <c:v>43951</c:v>
                </c:pt>
                <c:pt idx="39">
                  <c:v>43982</c:v>
                </c:pt>
                <c:pt idx="40">
                  <c:v>44012</c:v>
                </c:pt>
                <c:pt idx="41">
                  <c:v>44043</c:v>
                </c:pt>
                <c:pt idx="42">
                  <c:v>44074</c:v>
                </c:pt>
                <c:pt idx="43">
                  <c:v>44104</c:v>
                </c:pt>
                <c:pt idx="44">
                  <c:v>44135</c:v>
                </c:pt>
                <c:pt idx="45">
                  <c:v>44165</c:v>
                </c:pt>
                <c:pt idx="46">
                  <c:v>44196</c:v>
                </c:pt>
                <c:pt idx="47">
                  <c:v>44227</c:v>
                </c:pt>
                <c:pt idx="48">
                  <c:v>44255</c:v>
                </c:pt>
                <c:pt idx="49">
                  <c:v>44286</c:v>
                </c:pt>
              </c:numCache>
            </c:numRef>
          </c:cat>
          <c:val>
            <c:numRef>
              <c:f>'[5]PBX Return Data'!$O$3:$O$52</c:f>
              <c:numCache>
                <c:formatCode>General</c:formatCode>
                <c:ptCount val="50"/>
                <c:pt idx="0">
                  <c:v>10000</c:v>
                </c:pt>
                <c:pt idx="1">
                  <c:v>10050.897388040878</c:v>
                </c:pt>
                <c:pt idx="2">
                  <c:v>10128.479333340058</c:v>
                </c:pt>
                <c:pt idx="3">
                  <c:v>10206.414382421483</c:v>
                </c:pt>
                <c:pt idx="4">
                  <c:v>10196.17437273635</c:v>
                </c:pt>
                <c:pt idx="5">
                  <c:v>10240.060128529774</c:v>
                </c:pt>
                <c:pt idx="6">
                  <c:v>10331.86711191372</c:v>
                </c:pt>
                <c:pt idx="7">
                  <c:v>10282.684799386607</c:v>
                </c:pt>
                <c:pt idx="8">
                  <c:v>10288.637120287323</c:v>
                </c:pt>
                <c:pt idx="9">
                  <c:v>10275.420950151831</c:v>
                </c:pt>
                <c:pt idx="10">
                  <c:v>10322.585526780396</c:v>
                </c:pt>
                <c:pt idx="11">
                  <c:v>10203.690438958442</c:v>
                </c:pt>
                <c:pt idx="12">
                  <c:v>10106.990446020518</c:v>
                </c:pt>
                <c:pt idx="13">
                  <c:v>10171.81021176138</c:v>
                </c:pt>
                <c:pt idx="14">
                  <c:v>10096.145115565821</c:v>
                </c:pt>
                <c:pt idx="15">
                  <c:v>10168.178287143994</c:v>
                </c:pt>
                <c:pt idx="16">
                  <c:v>10155.668324572995</c:v>
                </c:pt>
                <c:pt idx="17">
                  <c:v>10158.089607651253</c:v>
                </c:pt>
                <c:pt idx="18">
                  <c:v>10223.464250764217</c:v>
                </c:pt>
                <c:pt idx="19">
                  <c:v>10157.63561707408</c:v>
                </c:pt>
                <c:pt idx="20">
                  <c:v>10077.380171709323</c:v>
                </c:pt>
                <c:pt idx="21">
                  <c:v>10137.50870148606</c:v>
                </c:pt>
                <c:pt idx="22">
                  <c:v>10323.745724922061</c:v>
                </c:pt>
                <c:pt idx="23">
                  <c:v>10433.409671008159</c:v>
                </c:pt>
                <c:pt idx="24">
                  <c:v>10427.356463312513</c:v>
                </c:pt>
                <c:pt idx="25">
                  <c:v>10627.566307845964</c:v>
                </c:pt>
                <c:pt idx="26">
                  <c:v>10630.290251309005</c:v>
                </c:pt>
                <c:pt idx="27">
                  <c:v>10818.999001220731</c:v>
                </c:pt>
                <c:pt idx="28">
                  <c:v>10954.84307059049</c:v>
                </c:pt>
                <c:pt idx="29">
                  <c:v>10978.95501457814</c:v>
                </c:pt>
                <c:pt idx="30">
                  <c:v>11263.455776273442</c:v>
                </c:pt>
                <c:pt idx="31">
                  <c:v>11203.478576689096</c:v>
                </c:pt>
                <c:pt idx="32">
                  <c:v>11237.225209592316</c:v>
                </c:pt>
                <c:pt idx="33">
                  <c:v>11231.474662281453</c:v>
                </c:pt>
                <c:pt idx="34">
                  <c:v>11223.655935674577</c:v>
                </c:pt>
                <c:pt idx="35">
                  <c:v>11439.654563614167</c:v>
                </c:pt>
                <c:pt idx="36">
                  <c:v>11645.564512061013</c:v>
                </c:pt>
                <c:pt idx="37">
                  <c:v>11577.011934907838</c:v>
                </c:pt>
                <c:pt idx="38">
                  <c:v>11782.820996559756</c:v>
                </c:pt>
                <c:pt idx="39">
                  <c:v>11837.652969602805</c:v>
                </c:pt>
                <c:pt idx="40">
                  <c:v>11912.258754451628</c:v>
                </c:pt>
                <c:pt idx="41">
                  <c:v>12090.17261730612</c:v>
                </c:pt>
                <c:pt idx="42">
                  <c:v>11992.564643213847</c:v>
                </c:pt>
                <c:pt idx="43">
                  <c:v>11986.007001543567</c:v>
                </c:pt>
                <c:pt idx="44">
                  <c:v>11932.486556834574</c:v>
                </c:pt>
                <c:pt idx="45">
                  <c:v>12049.565682347835</c:v>
                </c:pt>
                <c:pt idx="46">
                  <c:v>12066.161560113394</c:v>
                </c:pt>
                <c:pt idx="47">
                  <c:v>11979.651133463138</c:v>
                </c:pt>
                <c:pt idx="48">
                  <c:v>11806.68072356009</c:v>
                </c:pt>
                <c:pt idx="49">
                  <c:v>11659.234672773679</c:v>
                </c:pt>
              </c:numCache>
            </c:numRef>
          </c:val>
          <c:smooth val="0"/>
          <c:extLst>
            <c:ext xmlns:c16="http://schemas.microsoft.com/office/drawing/2014/chart" uri="{C3380CC4-5D6E-409C-BE32-E72D297353CC}">
              <c16:uniqueId val="{00000001-D297-4C5E-8383-A99C9AC2BDE7}"/>
            </c:ext>
          </c:extLst>
        </c:ser>
        <c:dLbls>
          <c:showLegendKey val="0"/>
          <c:showVal val="0"/>
          <c:showCatName val="0"/>
          <c:showSerName val="0"/>
          <c:showPercent val="0"/>
          <c:showBubbleSize val="0"/>
        </c:dLbls>
        <c:smooth val="0"/>
        <c:axId val="266366792"/>
        <c:axId val="266368360"/>
      </c:lineChart>
      <c:dateAx>
        <c:axId val="266366792"/>
        <c:scaling>
          <c:orientation val="minMax"/>
        </c:scaling>
        <c:delete val="0"/>
        <c:axPos val="b"/>
        <c:numFmt formatCode="mmm\-yy" sourceLinked="0"/>
        <c:majorTickMark val="cross"/>
        <c:minorTickMark val="none"/>
        <c:tickLblPos val="low"/>
        <c:spPr>
          <a:noFill/>
          <a:ln w="3175" cap="flat" cmpd="sng" algn="ctr">
            <a:solidFill>
              <a:schemeClr val="tx1"/>
            </a:solidFill>
            <a:round/>
          </a:ln>
          <a:effectLst/>
        </c:spPr>
        <c:txPr>
          <a:bodyPr rot="-60000000" spcFirstLastPara="1" vertOverflow="ellipsis" vert="horz" wrap="square" anchor="ctr" anchorCtr="1"/>
          <a:lstStyle/>
          <a:p>
            <a:pPr>
              <a:defRPr sz="600" b="0" i="0" u="none" strike="noStrike" kern="1200" baseline="0">
                <a:solidFill>
                  <a:schemeClr val="tx1"/>
                </a:solidFill>
                <a:latin typeface="Trade Gothic LT Std" panose="00000500000000000000" pitchFamily="50" charset="0"/>
                <a:ea typeface="+mn-ea"/>
                <a:cs typeface="+mn-cs"/>
              </a:defRPr>
            </a:pPr>
            <a:endParaRPr lang="en-US"/>
          </a:p>
        </c:txPr>
        <c:crossAx val="266368360"/>
        <c:crosses val="autoZero"/>
        <c:auto val="0"/>
        <c:lblOffset val="100"/>
        <c:baseTimeUnit val="days"/>
        <c:majorUnit val="6"/>
        <c:majorTimeUnit val="months"/>
        <c:minorUnit val="1"/>
        <c:minorTimeUnit val="months"/>
      </c:dateAx>
      <c:valAx>
        <c:axId val="266368360"/>
        <c:scaling>
          <c:orientation val="minMax"/>
          <c:max val="16000"/>
          <c:min val="9500"/>
        </c:scaling>
        <c:delete val="0"/>
        <c:axPos val="l"/>
        <c:majorGridlines>
          <c:spPr>
            <a:ln w="3175" cap="flat" cmpd="sng" algn="ctr">
              <a:solidFill>
                <a:srgbClr val="F2F2F2"/>
              </a:solidFill>
              <a:round/>
            </a:ln>
            <a:effectLst/>
          </c:spPr>
        </c:majorGridlines>
        <c:numFmt formatCode="&quot;$&quot;#,##0" sourceLinked="0"/>
        <c:majorTickMark val="out"/>
        <c:minorTickMark val="none"/>
        <c:tickLblPos val="nextTo"/>
        <c:spPr>
          <a:noFill/>
          <a:ln w="3175">
            <a:solidFill>
              <a:schemeClr val="tx1"/>
            </a:solidFill>
          </a:ln>
          <a:effectLst/>
        </c:spPr>
        <c:txPr>
          <a:bodyPr rot="-60000000" spcFirstLastPara="1" vertOverflow="ellipsis" vert="horz" wrap="square" anchor="ctr" anchorCtr="1"/>
          <a:lstStyle/>
          <a:p>
            <a:pPr>
              <a:defRPr sz="650" b="0" i="0" u="none" strike="noStrike" kern="1200" baseline="0">
                <a:solidFill>
                  <a:schemeClr val="tx1"/>
                </a:solidFill>
                <a:latin typeface="Trade Gothic LT Std" panose="00000500000000000000" pitchFamily="50" charset="0"/>
                <a:ea typeface="+mn-ea"/>
                <a:cs typeface="+mn-cs"/>
              </a:defRPr>
            </a:pPr>
            <a:endParaRPr lang="en-US"/>
          </a:p>
        </c:txPr>
        <c:crossAx val="266366792"/>
        <c:crosses val="autoZero"/>
        <c:crossBetween val="midCat"/>
        <c:majorUnit val="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600">
          <a:solidFill>
            <a:schemeClr val="tx1"/>
          </a:solidFill>
          <a:latin typeface="Trade Gothic LT Std" panose="00000500000000000000" pitchFamily="50"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AAC-4846-9D57-05EAC3027D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AC-4846-9D57-05EAC3027DD9}"/>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3AAC-4846-9D57-05EAC3027DD9}"/>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3AAC-4846-9D57-05EAC3027DD9}"/>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AC-4846-9D57-05EAC3027DD9}"/>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AC-4846-9D57-05EAC3027DD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'[1]PBX - FACT SHEET'!$N$5:$N$8</c:f>
              <c:strCache>
                <c:ptCount val="4"/>
                <c:pt idx="0">
                  <c:v>Convertible Bonds</c:v>
                </c:pt>
                <c:pt idx="1">
                  <c:v>Preferred Stock</c:v>
                </c:pt>
                <c:pt idx="2">
                  <c:v>Common Stock</c:v>
                </c:pt>
                <c:pt idx="3">
                  <c:v>Cash</c:v>
                </c:pt>
              </c:strCache>
            </c:strRef>
          </c:cat>
          <c:val>
            <c:numRef>
              <c:f>'[1]PBX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3AAC-4846-9D57-05EAC3027DD9}"/>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21172178415913E-2"/>
          <c:y val="2.0403405484330214E-2"/>
          <c:w val="0.83529386842414954"/>
          <c:h val="0.97959659451566983"/>
        </c:manualLayout>
      </c:layout>
      <c:doughnutChart>
        <c:varyColors val="1"/>
        <c:ser>
          <c:idx val="0"/>
          <c:order val="0"/>
          <c:tx>
            <c:v>Special Situations</c:v>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A4D5-4B19-8BC6-D542095F48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D5-4B19-8BC6-D542095F4828}"/>
              </c:ext>
            </c:extLst>
          </c:dPt>
          <c:dPt>
            <c:idx val="2"/>
            <c:bubble3D val="0"/>
            <c:spPr>
              <a:solidFill>
                <a:srgbClr val="DD2751"/>
              </a:solidFill>
              <a:ln w="19050">
                <a:solidFill>
                  <a:schemeClr val="lt1"/>
                </a:solidFill>
              </a:ln>
              <a:effectLst/>
            </c:spPr>
            <c:extLst>
              <c:ext xmlns:c16="http://schemas.microsoft.com/office/drawing/2014/chart" uri="{C3380CC4-5D6E-409C-BE32-E72D297353CC}">
                <c16:uniqueId val="{00000005-A4D5-4B19-8BC6-D542095F4828}"/>
              </c:ext>
            </c:extLst>
          </c:dPt>
          <c:dPt>
            <c:idx val="3"/>
            <c:bubble3D val="0"/>
            <c:spPr>
              <a:solidFill>
                <a:srgbClr val="08DA94"/>
              </a:solidFill>
              <a:ln w="19050">
                <a:solidFill>
                  <a:schemeClr val="lt1"/>
                </a:solidFill>
              </a:ln>
              <a:effectLst/>
            </c:spPr>
            <c:extLst>
              <c:ext xmlns:c16="http://schemas.microsoft.com/office/drawing/2014/chart" uri="{C3380CC4-5D6E-409C-BE32-E72D297353CC}">
                <c16:uniqueId val="{00000007-A4D5-4B19-8BC6-D542095F4828}"/>
              </c:ext>
            </c:extLst>
          </c:dPt>
          <c:dLbls>
            <c:dLbl>
              <c:idx val="2"/>
              <c:layout>
                <c:manualLayout>
                  <c:x val="0.14335742026597623"/>
                  <c:y val="-0.12418714805879551"/>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D5-4B19-8BC6-D542095F4828}"/>
                </c:ext>
              </c:extLst>
            </c:dLbl>
            <c:dLbl>
              <c:idx val="3"/>
              <c:layout>
                <c:manualLayout>
                  <c:x val="0.16143344709897611"/>
                  <c:y val="-8.195945173271226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D5-4B19-8BC6-D542095F4828}"/>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Trade Gothic LT Std" panose="00000500000000000000" pitchFamily="50"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'[2]PBX - FACT SHEET'!$N$5:$N$8</c:f>
              <c:strCache>
                <c:ptCount val="4"/>
                <c:pt idx="0">
                  <c:v>Convertible Bonds</c:v>
                </c:pt>
                <c:pt idx="1">
                  <c:v>Preferred Stock</c:v>
                </c:pt>
                <c:pt idx="2">
                  <c:v>Common Stock</c:v>
                </c:pt>
                <c:pt idx="3">
                  <c:v>Cash</c:v>
                </c:pt>
              </c:strCache>
            </c:strRef>
          </c:cat>
          <c:val>
            <c:numRef>
              <c:f>'[2]PBX - FACT SHEET'!$O$5:$O$8</c:f>
              <c:numCache>
                <c:formatCode>General</c:formatCode>
                <c:ptCount val="4"/>
                <c:pt idx="0">
                  <c:v>0.63958597540781037</c:v>
                </c:pt>
                <c:pt idx="1">
                  <c:v>0.33498159726146365</c:v>
                </c:pt>
                <c:pt idx="2">
                  <c:v>0</c:v>
                </c:pt>
                <c:pt idx="3">
                  <c:v>2.5432427330725944E-2</c:v>
                </c:pt>
              </c:numCache>
            </c:numRef>
          </c:val>
          <c:extLst>
            <c:ext xmlns:c16="http://schemas.microsoft.com/office/drawing/2014/chart" uri="{C3380CC4-5D6E-409C-BE32-E72D297353CC}">
              <c16:uniqueId val="{00000008-A4D5-4B19-8BC6-D542095F4828}"/>
            </c:ext>
          </c:extLst>
        </c:ser>
        <c:dLbls>
          <c:showLegendKey val="0"/>
          <c:showVal val="0"/>
          <c:showCatName val="0"/>
          <c:showSerName val="0"/>
          <c:showPercent val="0"/>
          <c:showBubbleSize val="0"/>
          <c:showLeaderLines val="0"/>
        </c:dLbls>
        <c:firstSliceAng val="65"/>
        <c:holeSize val="52"/>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197"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25</xdr:col>
      <xdr:colOff>603250</xdr:colOff>
      <xdr:row>3</xdr:row>
      <xdr:rowOff>38100</xdr:rowOff>
    </xdr:from>
    <xdr:to>
      <xdr:col>29</xdr:col>
      <xdr:colOff>632554</xdr:colOff>
      <xdr:row>14</xdr:row>
      <xdr:rowOff>130810</xdr:rowOff>
    </xdr:to>
    <xdr:graphicFrame macro="">
      <xdr:nvGraphicFramePr>
        <xdr:cNvPr id="5" name="Chart 4">
          <a:extLst>
            <a:ext uri="{FF2B5EF4-FFF2-40B4-BE49-F238E27FC236}">
              <a16:creationId xmlns:a16="http://schemas.microsoft.com/office/drawing/2014/main" id="{6D4E0376-31E5-4A2C-9C06-2CA5B3CA4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3" name="Chart 2">
          <a:extLst>
            <a:ext uri="{FF2B5EF4-FFF2-40B4-BE49-F238E27FC236}">
              <a16:creationId xmlns:a16="http://schemas.microsoft.com/office/drawing/2014/main" id="{AAB2C491-6EA5-4BBA-8A47-EE947A909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4" name="Chart 3">
          <a:extLst>
            <a:ext uri="{FF2B5EF4-FFF2-40B4-BE49-F238E27FC236}">
              <a16:creationId xmlns:a16="http://schemas.microsoft.com/office/drawing/2014/main" id="{5AF9BE58-80C7-4C30-8C09-8713F502F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6" name="Chart 5">
          <a:extLst>
            <a:ext uri="{FF2B5EF4-FFF2-40B4-BE49-F238E27FC236}">
              <a16:creationId xmlns:a16="http://schemas.microsoft.com/office/drawing/2014/main" id="{29ACD8D8-8BCE-4410-ADBD-3B17827D1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603250</xdr:colOff>
      <xdr:row>3</xdr:row>
      <xdr:rowOff>38100</xdr:rowOff>
    </xdr:from>
    <xdr:to>
      <xdr:col>29</xdr:col>
      <xdr:colOff>632554</xdr:colOff>
      <xdr:row>14</xdr:row>
      <xdr:rowOff>130810</xdr:rowOff>
    </xdr:to>
    <xdr:graphicFrame macro="">
      <xdr:nvGraphicFramePr>
        <xdr:cNvPr id="7" name="Chart 6">
          <a:extLst>
            <a:ext uri="{FF2B5EF4-FFF2-40B4-BE49-F238E27FC236}">
              <a16:creationId xmlns:a16="http://schemas.microsoft.com/office/drawing/2014/main" id="{8C0A0D10-0D4C-4FFB-97CA-807F479E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603250</xdr:colOff>
      <xdr:row>3</xdr:row>
      <xdr:rowOff>38100</xdr:rowOff>
    </xdr:from>
    <xdr:to>
      <xdr:col>30</xdr:col>
      <xdr:colOff>632554</xdr:colOff>
      <xdr:row>14</xdr:row>
      <xdr:rowOff>130810</xdr:rowOff>
    </xdr:to>
    <xdr:graphicFrame macro="">
      <xdr:nvGraphicFramePr>
        <xdr:cNvPr id="8" name="Chart 7">
          <a:extLst>
            <a:ext uri="{FF2B5EF4-FFF2-40B4-BE49-F238E27FC236}">
              <a16:creationId xmlns:a16="http://schemas.microsoft.com/office/drawing/2014/main" id="{9685D9B8-DBE4-46B3-B6FC-E8EAF7512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603250</xdr:colOff>
      <xdr:row>3</xdr:row>
      <xdr:rowOff>38100</xdr:rowOff>
    </xdr:from>
    <xdr:to>
      <xdr:col>30</xdr:col>
      <xdr:colOff>632554</xdr:colOff>
      <xdr:row>14</xdr:row>
      <xdr:rowOff>130810</xdr:rowOff>
    </xdr:to>
    <xdr:graphicFrame macro="">
      <xdr:nvGraphicFramePr>
        <xdr:cNvPr id="9" name="Chart 8">
          <a:extLst>
            <a:ext uri="{FF2B5EF4-FFF2-40B4-BE49-F238E27FC236}">
              <a16:creationId xmlns:a16="http://schemas.microsoft.com/office/drawing/2014/main" id="{99E3450F-014F-4AC5-A0A3-654C0D7D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191590</xdr:colOff>
      <xdr:row>9</xdr:row>
      <xdr:rowOff>48986</xdr:rowOff>
    </xdr:from>
    <xdr:to>
      <xdr:col>13</xdr:col>
      <xdr:colOff>2315840</xdr:colOff>
      <xdr:row>19</xdr:row>
      <xdr:rowOff>8554</xdr:rowOff>
    </xdr:to>
    <xdr:graphicFrame macro="">
      <xdr:nvGraphicFramePr>
        <xdr:cNvPr id="3" name="Chart 2">
          <a:extLst>
            <a:ext uri="{FF2B5EF4-FFF2-40B4-BE49-F238E27FC236}">
              <a16:creationId xmlns:a16="http://schemas.microsoft.com/office/drawing/2014/main" id="{C979F976-9B6A-469F-9DF4-EDDDA9EE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4" name="Chart 3">
          <a:extLst>
            <a:ext uri="{FF2B5EF4-FFF2-40B4-BE49-F238E27FC236}">
              <a16:creationId xmlns:a16="http://schemas.microsoft.com/office/drawing/2014/main" id="{6E7C298D-94AF-4FD1-9F19-CC644A875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5" name="Chart 4">
          <a:extLst>
            <a:ext uri="{FF2B5EF4-FFF2-40B4-BE49-F238E27FC236}">
              <a16:creationId xmlns:a16="http://schemas.microsoft.com/office/drawing/2014/main" id="{587D05C0-8EDE-487D-94B3-CA96DFF8E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6" name="Chart 5">
          <a:extLst>
            <a:ext uri="{FF2B5EF4-FFF2-40B4-BE49-F238E27FC236}">
              <a16:creationId xmlns:a16="http://schemas.microsoft.com/office/drawing/2014/main" id="{080DFD81-3FFA-4CB3-85F8-93573BE46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7" name="Chart 6">
          <a:extLst>
            <a:ext uri="{FF2B5EF4-FFF2-40B4-BE49-F238E27FC236}">
              <a16:creationId xmlns:a16="http://schemas.microsoft.com/office/drawing/2014/main" id="{0E7463CE-A962-4B55-BC22-297A3C25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8" name="Chart 7">
          <a:extLst>
            <a:ext uri="{FF2B5EF4-FFF2-40B4-BE49-F238E27FC236}">
              <a16:creationId xmlns:a16="http://schemas.microsoft.com/office/drawing/2014/main" id="{CF8AAAC5-621D-40C3-ACC8-BEAEA2939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314739</xdr:colOff>
      <xdr:row>36</xdr:row>
      <xdr:rowOff>57978</xdr:rowOff>
    </xdr:from>
    <xdr:to>
      <xdr:col>22</xdr:col>
      <xdr:colOff>89554</xdr:colOff>
      <xdr:row>49</xdr:row>
      <xdr:rowOff>146579</xdr:rowOff>
    </xdr:to>
    <xdr:pic>
      <xdr:nvPicPr>
        <xdr:cNvPr id="9" name="Picture 8">
          <a:extLst>
            <a:ext uri="{FF2B5EF4-FFF2-40B4-BE49-F238E27FC236}">
              <a16:creationId xmlns:a16="http://schemas.microsoft.com/office/drawing/2014/main" id="{EB7CCF78-3195-4CA4-A606-31DBCE1BFB3C}"/>
            </a:ext>
          </a:extLst>
        </xdr:cNvPr>
        <xdr:cNvPicPr>
          <a:picLocks noChangeAspect="1"/>
        </xdr:cNvPicPr>
      </xdr:nvPicPr>
      <xdr:blipFill>
        <a:blip xmlns:r="http://schemas.openxmlformats.org/officeDocument/2006/relationships" r:embed="rId7"/>
        <a:stretch>
          <a:fillRect/>
        </a:stretch>
      </xdr:blipFill>
      <xdr:spPr>
        <a:xfrm>
          <a:off x="8209059" y="6725478"/>
          <a:ext cx="8004415" cy="2474750"/>
        </a:xfrm>
        <a:prstGeom prst="rect">
          <a:avLst/>
        </a:prstGeom>
      </xdr:spPr>
    </xdr:pic>
    <xdr:clientData/>
  </xdr:twoCellAnchor>
  <xdr:twoCellAnchor>
    <xdr:from>
      <xdr:col>13</xdr:col>
      <xdr:colOff>65315</xdr:colOff>
      <xdr:row>8</xdr:row>
      <xdr:rowOff>179614</xdr:rowOff>
    </xdr:from>
    <xdr:to>
      <xdr:col>13</xdr:col>
      <xdr:colOff>2189565</xdr:colOff>
      <xdr:row>18</xdr:row>
      <xdr:rowOff>139182</xdr:rowOff>
    </xdr:to>
    <xdr:graphicFrame macro="">
      <xdr:nvGraphicFramePr>
        <xdr:cNvPr id="10" name="Chart 9">
          <a:extLst>
            <a:ext uri="{FF2B5EF4-FFF2-40B4-BE49-F238E27FC236}">
              <a16:creationId xmlns:a16="http://schemas.microsoft.com/office/drawing/2014/main" id="{FCDBD6DB-2518-4A70-BD97-EB9863DEB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314739</xdr:colOff>
      <xdr:row>36</xdr:row>
      <xdr:rowOff>57978</xdr:rowOff>
    </xdr:from>
    <xdr:to>
      <xdr:col>22</xdr:col>
      <xdr:colOff>89554</xdr:colOff>
      <xdr:row>49</xdr:row>
      <xdr:rowOff>147667</xdr:rowOff>
    </xdr:to>
    <xdr:pic>
      <xdr:nvPicPr>
        <xdr:cNvPr id="11" name="Picture 10">
          <a:extLst>
            <a:ext uri="{FF2B5EF4-FFF2-40B4-BE49-F238E27FC236}">
              <a16:creationId xmlns:a16="http://schemas.microsoft.com/office/drawing/2014/main" id="{2D158227-4943-4723-B817-92027B15A5AF}"/>
            </a:ext>
          </a:extLst>
        </xdr:cNvPr>
        <xdr:cNvPicPr>
          <a:picLocks noChangeAspect="1"/>
        </xdr:cNvPicPr>
      </xdr:nvPicPr>
      <xdr:blipFill>
        <a:blip xmlns:r="http://schemas.openxmlformats.org/officeDocument/2006/relationships" r:embed="rId7"/>
        <a:stretch>
          <a:fillRect/>
        </a:stretch>
      </xdr:blipFill>
      <xdr:spPr>
        <a:xfrm>
          <a:off x="8209059" y="6847398"/>
          <a:ext cx="8004415" cy="24747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1211580</xdr:colOff>
      <xdr:row>0</xdr:row>
      <xdr:rowOff>480060</xdr:rowOff>
    </xdr:to>
    <xdr:pic>
      <xdr:nvPicPr>
        <xdr:cNvPr id="2" name="Picture 0">
          <a:extLst>
            <a:ext uri="{FF2B5EF4-FFF2-40B4-BE49-F238E27FC236}">
              <a16:creationId xmlns:a16="http://schemas.microsoft.com/office/drawing/2014/main" id="{23FF758B-2A82-4EE5-98F1-6620F5234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8640" y="0"/>
          <a:ext cx="17297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1211580</xdr:colOff>
      <xdr:row>0</xdr:row>
      <xdr:rowOff>480060</xdr:rowOff>
    </xdr:to>
    <xdr:pic>
      <xdr:nvPicPr>
        <xdr:cNvPr id="3" name="Picture 0">
          <a:extLst>
            <a:ext uri="{FF2B5EF4-FFF2-40B4-BE49-F238E27FC236}">
              <a16:creationId xmlns:a16="http://schemas.microsoft.com/office/drawing/2014/main" id="{9F1D7A18-CEC4-46BF-824B-6899319EDF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7620" y="0"/>
          <a:ext cx="172974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8</xdr:col>
      <xdr:colOff>1211580</xdr:colOff>
      <xdr:row>0</xdr:row>
      <xdr:rowOff>480060</xdr:rowOff>
    </xdr:to>
    <xdr:pic>
      <xdr:nvPicPr>
        <xdr:cNvPr id="4" name="Picture 0">
          <a:extLst>
            <a:ext uri="{FF2B5EF4-FFF2-40B4-BE49-F238E27FC236}">
              <a16:creationId xmlns:a16="http://schemas.microsoft.com/office/drawing/2014/main" id="{D9209024-C467-417A-A10E-8616BAA7D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7620" y="0"/>
          <a:ext cx="51816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326572</xdr:colOff>
      <xdr:row>74</xdr:row>
      <xdr:rowOff>108857</xdr:rowOff>
    </xdr:from>
    <xdr:ext cx="6063930" cy="903405"/>
    <xdr:pic>
      <xdr:nvPicPr>
        <xdr:cNvPr id="3" name="Picture 2">
          <a:extLst>
            <a:ext uri="{FF2B5EF4-FFF2-40B4-BE49-F238E27FC236}">
              <a16:creationId xmlns:a16="http://schemas.microsoft.com/office/drawing/2014/main" id="{4DC7B9FC-A6DA-443F-8D76-8CC9AA7C0CAF}"/>
            </a:ext>
          </a:extLst>
        </xdr:cNvPr>
        <xdr:cNvPicPr>
          <a:picLocks noChangeAspect="1"/>
        </xdr:cNvPicPr>
      </xdr:nvPicPr>
      <xdr:blipFill>
        <a:blip xmlns:r="http://schemas.openxmlformats.org/officeDocument/2006/relationships" r:embed="rId1"/>
        <a:stretch>
          <a:fillRect/>
        </a:stretch>
      </xdr:blipFill>
      <xdr:spPr>
        <a:xfrm>
          <a:off x="2109652" y="13641977"/>
          <a:ext cx="6063930" cy="903405"/>
        </a:xfrm>
        <a:prstGeom prst="rect">
          <a:avLst/>
        </a:prstGeom>
      </xdr:spPr>
    </xdr:pic>
    <xdr:clientData/>
  </xdr:oneCellAnchor>
  <xdr:twoCellAnchor editAs="oneCell">
    <xdr:from>
      <xdr:col>10</xdr:col>
      <xdr:colOff>12700</xdr:colOff>
      <xdr:row>2</xdr:row>
      <xdr:rowOff>50800</xdr:rowOff>
    </xdr:from>
    <xdr:to>
      <xdr:col>21</xdr:col>
      <xdr:colOff>316624</xdr:colOff>
      <xdr:row>12</xdr:row>
      <xdr:rowOff>158514</xdr:rowOff>
    </xdr:to>
    <xdr:pic>
      <xdr:nvPicPr>
        <xdr:cNvPr id="5" name="Picture 4">
          <a:extLst>
            <a:ext uri="{FF2B5EF4-FFF2-40B4-BE49-F238E27FC236}">
              <a16:creationId xmlns:a16="http://schemas.microsoft.com/office/drawing/2014/main" id="{18025097-6C2A-4F82-88F3-4CAFB995CE35}"/>
            </a:ext>
          </a:extLst>
        </xdr:cNvPr>
        <xdr:cNvPicPr>
          <a:picLocks noChangeAspect="1"/>
        </xdr:cNvPicPr>
      </xdr:nvPicPr>
      <xdr:blipFill>
        <a:blip xmlns:r="http://schemas.openxmlformats.org/officeDocument/2006/relationships" r:embed="rId2"/>
        <a:stretch>
          <a:fillRect/>
        </a:stretch>
      </xdr:blipFill>
      <xdr:spPr>
        <a:xfrm>
          <a:off x="8524240" y="416560"/>
          <a:ext cx="7009524" cy="1936514"/>
        </a:xfrm>
        <a:prstGeom prst="rect">
          <a:avLst/>
        </a:prstGeom>
      </xdr:spPr>
    </xdr:pic>
    <xdr:clientData/>
  </xdr:twoCellAnchor>
  <xdr:twoCellAnchor>
    <xdr:from>
      <xdr:col>5</xdr:col>
      <xdr:colOff>0</xdr:colOff>
      <xdr:row>15</xdr:row>
      <xdr:rowOff>0</xdr:rowOff>
    </xdr:from>
    <xdr:to>
      <xdr:col>19</xdr:col>
      <xdr:colOff>289560</xdr:colOff>
      <xdr:row>23</xdr:row>
      <xdr:rowOff>99060</xdr:rowOff>
    </xdr:to>
    <xdr:pic>
      <xdr:nvPicPr>
        <xdr:cNvPr id="6" name="Picture 2">
          <a:extLst>
            <a:ext uri="{FF2B5EF4-FFF2-40B4-BE49-F238E27FC236}">
              <a16:creationId xmlns:a16="http://schemas.microsoft.com/office/drawing/2014/main" id="{74DBFCA2-ED3A-43FD-9450-BE23A19CF6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12920" y="2743200"/>
          <a:ext cx="99745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25</xdr:row>
      <xdr:rowOff>0</xdr:rowOff>
    </xdr:from>
    <xdr:to>
      <xdr:col>21</xdr:col>
      <xdr:colOff>531125</xdr:colOff>
      <xdr:row>54</xdr:row>
      <xdr:rowOff>173563</xdr:rowOff>
    </xdr:to>
    <xdr:pic>
      <xdr:nvPicPr>
        <xdr:cNvPr id="7" name="Picture 6">
          <a:extLst>
            <a:ext uri="{FF2B5EF4-FFF2-40B4-BE49-F238E27FC236}">
              <a16:creationId xmlns:a16="http://schemas.microsoft.com/office/drawing/2014/main" id="{1A889932-3E0E-412C-A3B1-0208D1A55B5F}"/>
            </a:ext>
          </a:extLst>
        </xdr:cNvPr>
        <xdr:cNvPicPr>
          <a:picLocks noChangeAspect="1"/>
        </xdr:cNvPicPr>
      </xdr:nvPicPr>
      <xdr:blipFill>
        <a:blip xmlns:r="http://schemas.openxmlformats.org/officeDocument/2006/relationships" r:embed="rId4"/>
        <a:stretch>
          <a:fillRect/>
        </a:stretch>
      </xdr:blipFill>
      <xdr:spPr>
        <a:xfrm>
          <a:off x="4312920" y="4572000"/>
          <a:ext cx="11435345" cy="5477083"/>
        </a:xfrm>
        <a:prstGeom prst="rect">
          <a:avLst/>
        </a:prstGeom>
      </xdr:spPr>
    </xdr:pic>
    <xdr:clientData/>
  </xdr:twoCellAnchor>
  <xdr:twoCellAnchor editAs="oneCell">
    <xdr:from>
      <xdr:col>0</xdr:col>
      <xdr:colOff>163286</xdr:colOff>
      <xdr:row>56</xdr:row>
      <xdr:rowOff>174171</xdr:rowOff>
    </xdr:from>
    <xdr:to>
      <xdr:col>15</xdr:col>
      <xdr:colOff>48889</xdr:colOff>
      <xdr:row>87</xdr:row>
      <xdr:rowOff>61447</xdr:rowOff>
    </xdr:to>
    <xdr:pic>
      <xdr:nvPicPr>
        <xdr:cNvPr id="8" name="Picture 7">
          <a:extLst>
            <a:ext uri="{FF2B5EF4-FFF2-40B4-BE49-F238E27FC236}">
              <a16:creationId xmlns:a16="http://schemas.microsoft.com/office/drawing/2014/main" id="{7C82F789-EB58-4EF3-8FAD-BD48F8257594}"/>
            </a:ext>
          </a:extLst>
        </xdr:cNvPr>
        <xdr:cNvPicPr>
          <a:picLocks noChangeAspect="1"/>
        </xdr:cNvPicPr>
      </xdr:nvPicPr>
      <xdr:blipFill>
        <a:blip xmlns:r="http://schemas.openxmlformats.org/officeDocument/2006/relationships" r:embed="rId5"/>
        <a:stretch>
          <a:fillRect/>
        </a:stretch>
      </xdr:blipFill>
      <xdr:spPr>
        <a:xfrm>
          <a:off x="163286" y="10415451"/>
          <a:ext cx="11445143" cy="55565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2\PBX\FACT%20SHEET%20BACKUP%20DATA%20-%20Rational-Pier%2088%20Convertible%20Securities%20Fund%20(03-31-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Marketing%20Team%20Files\Marketing%20Materials\Fact%20Sheets\Rational%202020-Q2\PBX\FACT%20SHEET%20BACKUP%20DATA%20-%20Rational-Pier%2088%20Convertible%20Securities%20Fund%20(06-30-2020)%20-%20UPD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acob\AppData\Local\Microsoft\Windows\INetCache\Content.Outlook\25UR9LQY\FACT%20SHEET%20BACKUP%20DATA%20-%20Rational-Pier%2088%20Convertible%20Securities%20Fund%20(09-30-20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0-Q4\PBX\FACT%20SHEET%20BACKUP%20DATA%20-%20Rational-Pier%2088%20Convertible%20Securities%20Fund%20(12-31-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acob\Dropbox%20(Catalyst%20Funds)\Marketing%20Team%20Files\Marketing%20Materials\Fact%20Sheets\Rational%202021-Q1\PBX\FACT%20SHEET%20BACKUP%20DATA%20-%20Rational-Pier%2088%20Convertible%20Securities%20Fund%20(03-3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N3">
            <v>10000</v>
          </cell>
          <cell r="O3">
            <v>10000</v>
          </cell>
        </row>
        <row r="4">
          <cell r="A4">
            <v>42825</v>
          </cell>
          <cell r="K4">
            <v>9959.6151011064649</v>
          </cell>
          <cell r="N4">
            <v>9874.8403409251641</v>
          </cell>
          <cell r="O4">
            <v>10050.897388040878</v>
          </cell>
        </row>
        <row r="5">
          <cell r="A5">
            <v>42855</v>
          </cell>
          <cell r="K5">
            <v>10070.147737228845</v>
          </cell>
          <cell r="N5">
            <v>9976.2605723138659</v>
          </cell>
          <cell r="O5">
            <v>10128.479333340058</v>
          </cell>
        </row>
        <row r="6">
          <cell r="A6">
            <v>42886</v>
          </cell>
          <cell r="K6">
            <v>10180.381876698508</v>
          </cell>
          <cell r="N6">
            <v>10116.651761526462</v>
          </cell>
          <cell r="O6">
            <v>10206.414382421483</v>
          </cell>
        </row>
        <row r="7">
          <cell r="A7">
            <v>42916</v>
          </cell>
          <cell r="K7">
            <v>10241.521615198355</v>
          </cell>
          <cell r="N7">
            <v>10179.797333611854</v>
          </cell>
          <cell r="O7">
            <v>10196.17437273635</v>
          </cell>
        </row>
        <row r="8">
          <cell r="A8">
            <v>42947</v>
          </cell>
          <cell r="K8">
            <v>10441.048768580116</v>
          </cell>
          <cell r="N8">
            <v>10389.122076362191</v>
          </cell>
          <cell r="O8">
            <v>10240.060128529774</v>
          </cell>
        </row>
        <row r="9">
          <cell r="A9">
            <v>42978</v>
          </cell>
          <cell r="K9">
            <v>10429.828918110359</v>
          </cell>
          <cell r="N9">
            <v>10420.93421502134</v>
          </cell>
          <cell r="O9">
            <v>10331.86711191372</v>
          </cell>
        </row>
        <row r="10">
          <cell r="A10">
            <v>43008</v>
          </cell>
          <cell r="K10">
            <v>10463.117967910277</v>
          </cell>
          <cell r="N10">
            <v>10635.894623922646</v>
          </cell>
          <cell r="O10">
            <v>10282.684799386607</v>
          </cell>
        </row>
        <row r="11">
          <cell r="A11">
            <v>43039</v>
          </cell>
          <cell r="K11">
            <v>10660.974925576076</v>
          </cell>
          <cell r="N11">
            <v>10884.081527853032</v>
          </cell>
          <cell r="O11">
            <v>10288.637120287323</v>
          </cell>
        </row>
        <row r="12">
          <cell r="A12">
            <v>43069</v>
          </cell>
          <cell r="K12">
            <v>10727.143878585481</v>
          </cell>
          <cell r="N12">
            <v>11217.891390486389</v>
          </cell>
          <cell r="O12">
            <v>10275.420950151831</v>
          </cell>
        </row>
        <row r="13">
          <cell r="A13">
            <v>43100</v>
          </cell>
          <cell r="K13">
            <v>10718.427011272177</v>
          </cell>
          <cell r="N13">
            <v>11342.615862985864</v>
          </cell>
          <cell r="O13">
            <v>10322.585526780396</v>
          </cell>
        </row>
        <row r="14">
          <cell r="A14">
            <v>43131</v>
          </cell>
          <cell r="K14">
            <v>10963.813089299401</v>
          </cell>
          <cell r="N14">
            <v>11992.023030073575</v>
          </cell>
          <cell r="O14">
            <v>10203.690438958442</v>
          </cell>
        </row>
        <row r="15">
          <cell r="A15">
            <v>43159</v>
          </cell>
          <cell r="K15">
            <v>10892.837630739419</v>
          </cell>
          <cell r="N15">
            <v>11550.047544133366</v>
          </cell>
          <cell r="O15">
            <v>10106.990446020518</v>
          </cell>
        </row>
        <row r="16">
          <cell r="A16">
            <v>43190</v>
          </cell>
          <cell r="K16">
            <v>10854.981925361213</v>
          </cell>
          <cell r="N16">
            <v>11256.514199049994</v>
          </cell>
          <cell r="O16">
            <v>10171.81021176138</v>
          </cell>
        </row>
        <row r="17">
          <cell r="A17">
            <v>43220</v>
          </cell>
          <cell r="K17">
            <v>10883.69460104326</v>
          </cell>
          <cell r="N17">
            <v>11299.706466654923</v>
          </cell>
          <cell r="O17">
            <v>10096.145115565821</v>
          </cell>
        </row>
        <row r="18">
          <cell r="A18">
            <v>43251</v>
          </cell>
          <cell r="K18">
            <v>11120.862270721798</v>
          </cell>
          <cell r="N18">
            <v>11571.828632230361</v>
          </cell>
          <cell r="O18">
            <v>10168.178287143994</v>
          </cell>
        </row>
        <row r="19">
          <cell r="A19">
            <v>43281</v>
          </cell>
          <cell r="K19">
            <v>11296.045269096507</v>
          </cell>
          <cell r="N19">
            <v>11643.046915288765</v>
          </cell>
          <cell r="O19">
            <v>10155.668324572995</v>
          </cell>
        </row>
        <row r="20">
          <cell r="A20">
            <v>43312</v>
          </cell>
          <cell r="K20">
            <v>11454.289873860696</v>
          </cell>
          <cell r="N20">
            <v>12076.340429050453</v>
          </cell>
          <cell r="O20">
            <v>10158.089607651253</v>
          </cell>
        </row>
        <row r="21">
          <cell r="A21">
            <v>43343</v>
          </cell>
          <cell r="K21">
            <v>11777.46318235264</v>
          </cell>
          <cell r="N21">
            <v>12469.836130495056</v>
          </cell>
          <cell r="O21">
            <v>10223.464250764217</v>
          </cell>
        </row>
        <row r="22">
          <cell r="A22">
            <v>43373</v>
          </cell>
          <cell r="K22">
            <v>11770.528951422675</v>
          </cell>
          <cell r="N22">
            <v>12540.81506093701</v>
          </cell>
          <cell r="O22">
            <v>10157.63561707408</v>
          </cell>
        </row>
        <row r="23">
          <cell r="A23">
            <v>43404</v>
          </cell>
          <cell r="K23">
            <v>11284.446935421794</v>
          </cell>
          <cell r="N23">
            <v>11683.649822770276</v>
          </cell>
          <cell r="O23">
            <v>10077.380171709323</v>
          </cell>
        </row>
        <row r="24">
          <cell r="A24">
            <v>43434</v>
          </cell>
          <cell r="K24">
            <v>11529.939136578709</v>
          </cell>
          <cell r="N24">
            <v>11921.740398152207</v>
          </cell>
          <cell r="O24">
            <v>10137.50870148606</v>
          </cell>
        </row>
        <row r="25">
          <cell r="A25">
            <v>43465</v>
          </cell>
          <cell r="K25">
            <v>10911.119257589457</v>
          </cell>
          <cell r="N25">
            <v>10845.328163316826</v>
          </cell>
          <cell r="O25">
            <v>10323.745724922061</v>
          </cell>
        </row>
        <row r="26">
          <cell r="A26">
            <v>43496</v>
          </cell>
          <cell r="K26">
            <v>11596.058698765837</v>
          </cell>
          <cell r="N26">
            <v>11714.417513648546</v>
          </cell>
          <cell r="O26">
            <v>10433.409671008159</v>
          </cell>
        </row>
        <row r="27">
          <cell r="A27">
            <v>43524</v>
          </cell>
          <cell r="K27">
            <v>11825.5470849622</v>
          </cell>
          <cell r="N27">
            <v>12090.549270736105</v>
          </cell>
          <cell r="O27">
            <v>10427.356463312513</v>
          </cell>
        </row>
        <row r="28">
          <cell r="A28">
            <v>43555</v>
          </cell>
          <cell r="K28">
            <v>11914.277835021911</v>
          </cell>
          <cell r="N28">
            <v>12325.484743446643</v>
          </cell>
          <cell r="O28">
            <v>10627.566307845964</v>
          </cell>
        </row>
        <row r="29">
          <cell r="A29">
            <v>43585</v>
          </cell>
          <cell r="K29">
            <v>12062.166794421459</v>
          </cell>
          <cell r="N29">
            <v>12824.53494874591</v>
          </cell>
          <cell r="O29">
            <v>10630.290251309005</v>
          </cell>
        </row>
        <row r="30">
          <cell r="A30">
            <v>43616</v>
          </cell>
          <cell r="K30">
            <v>11804.241229555231</v>
          </cell>
          <cell r="N30">
            <v>12009.561049060767</v>
          </cell>
          <cell r="O30">
            <v>10818.999001220731</v>
          </cell>
        </row>
        <row r="31">
          <cell r="A31">
            <v>43646</v>
          </cell>
          <cell r="K31">
            <v>12157.854901998569</v>
          </cell>
          <cell r="N31">
            <v>12855.955419487227</v>
          </cell>
          <cell r="O31">
            <v>10954.84307059049</v>
          </cell>
        </row>
        <row r="32">
          <cell r="A32">
            <v>43677</v>
          </cell>
          <cell r="K32">
            <v>12371</v>
          </cell>
          <cell r="N32">
            <v>13040.735639387003</v>
          </cell>
          <cell r="O32">
            <v>10978.95501457814</v>
          </cell>
        </row>
        <row r="33">
          <cell r="A33">
            <v>43708</v>
          </cell>
          <cell r="K33">
            <v>12357</v>
          </cell>
          <cell r="N33">
            <v>12834.152572061463</v>
          </cell>
          <cell r="O33">
            <v>11263.455776273442</v>
          </cell>
        </row>
        <row r="34">
          <cell r="A34">
            <v>43738</v>
          </cell>
          <cell r="K34">
            <v>12590</v>
          </cell>
          <cell r="N34">
            <v>13074.288524347608</v>
          </cell>
          <cell r="O34">
            <v>11203.478576689096</v>
          </cell>
        </row>
        <row r="35">
          <cell r="A35">
            <v>43769</v>
          </cell>
          <cell r="K35">
            <v>12752</v>
          </cell>
          <cell r="N35">
            <v>13357.464428937303</v>
          </cell>
          <cell r="O35">
            <v>11237.225209592316</v>
          </cell>
        </row>
        <row r="36">
          <cell r="A36">
            <v>43799</v>
          </cell>
          <cell r="K36">
            <v>12803</v>
          </cell>
          <cell r="N36">
            <v>13842.327551879689</v>
          </cell>
          <cell r="O36">
            <v>11231.474662281453</v>
          </cell>
        </row>
        <row r="37">
          <cell r="A37">
            <v>43830</v>
          </cell>
          <cell r="K37">
            <v>13048</v>
          </cell>
          <cell r="N37">
            <v>14260.128423558397</v>
          </cell>
          <cell r="O37">
            <v>11223.655935674577</v>
          </cell>
        </row>
        <row r="38">
          <cell r="A38">
            <v>43861</v>
          </cell>
          <cell r="K38">
            <v>13151</v>
          </cell>
          <cell r="N38">
            <v>14254.536276064964</v>
          </cell>
          <cell r="O38">
            <v>11439.654563614167</v>
          </cell>
        </row>
        <row r="39">
          <cell r="A39">
            <v>43890</v>
          </cell>
          <cell r="K39">
            <v>12625</v>
          </cell>
          <cell r="N39">
            <v>13081.120953580832</v>
          </cell>
          <cell r="O39">
            <v>11645.564512061013</v>
          </cell>
        </row>
        <row r="40">
          <cell r="A40">
            <v>43921</v>
          </cell>
          <cell r="K40">
            <v>11316</v>
          </cell>
          <cell r="N40">
            <v>11465.425514553734</v>
          </cell>
          <cell r="O40">
            <v>11577.011934907838</v>
          </cell>
        </row>
        <row r="41">
          <cell r="A41">
            <v>43951</v>
          </cell>
          <cell r="K41">
            <v>12266</v>
          </cell>
          <cell r="N41">
            <v>12935.224654189875</v>
          </cell>
          <cell r="O41">
            <v>11782.820996559756</v>
          </cell>
        </row>
        <row r="42">
          <cell r="A42">
            <v>43982</v>
          </cell>
          <cell r="K42">
            <v>12971</v>
          </cell>
          <cell r="N42">
            <v>13551.296529604662</v>
          </cell>
          <cell r="O42">
            <v>11837.652969602805</v>
          </cell>
        </row>
        <row r="43">
          <cell r="A43">
            <v>44012</v>
          </cell>
          <cell r="K43">
            <v>13266</v>
          </cell>
          <cell r="N43">
            <v>13820.807575727911</v>
          </cell>
          <cell r="O43">
            <v>11912.258754451628</v>
          </cell>
        </row>
      </sheetData>
      <sheetData sheetId="1">
        <row r="5">
          <cell r="N5" t="str">
            <v>Convertible Bonds</v>
          </cell>
          <cell r="O5">
            <v>0.63958597540781037</v>
          </cell>
        </row>
        <row r="6">
          <cell r="N6" t="str">
            <v>Preferred Stock</v>
          </cell>
          <cell r="O6">
            <v>0.33498159726146365</v>
          </cell>
        </row>
        <row r="7">
          <cell r="N7" t="str">
            <v>Common Stock</v>
          </cell>
          <cell r="O7">
            <v>0</v>
          </cell>
        </row>
        <row r="8">
          <cell r="N8" t="str">
            <v>Cash</v>
          </cell>
          <cell r="O8">
            <v>2.5432427330725944E-2</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U2" t="str">
            <v>CURRENT</v>
          </cell>
        </row>
        <row r="3">
          <cell r="A3">
            <v>42795</v>
          </cell>
          <cell r="K3">
            <v>10000</v>
          </cell>
          <cell r="O3">
            <v>10000</v>
          </cell>
        </row>
        <row r="4">
          <cell r="A4">
            <v>42825</v>
          </cell>
          <cell r="K4">
            <v>9959.6151011064649</v>
          </cell>
          <cell r="O4">
            <v>10050.897388040878</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row>
        <row r="8">
          <cell r="A8">
            <v>42947</v>
          </cell>
          <cell r="K8">
            <v>10441.048768580116</v>
          </cell>
          <cell r="O8">
            <v>10240.060128529774</v>
          </cell>
        </row>
        <row r="9">
          <cell r="A9">
            <v>42978</v>
          </cell>
          <cell r="K9">
            <v>10429.828918110359</v>
          </cell>
          <cell r="O9">
            <v>10331.86711191372</v>
          </cell>
        </row>
        <row r="10">
          <cell r="A10">
            <v>43008</v>
          </cell>
          <cell r="K10">
            <v>10463.117967910277</v>
          </cell>
          <cell r="O10">
            <v>10282.684799386607</v>
          </cell>
        </row>
        <row r="11">
          <cell r="A11">
            <v>43039</v>
          </cell>
          <cell r="K11">
            <v>10660.974925576076</v>
          </cell>
          <cell r="O11">
            <v>10288.637120287323</v>
          </cell>
        </row>
        <row r="12">
          <cell r="A12">
            <v>43069</v>
          </cell>
          <cell r="K12">
            <v>10727.143878585481</v>
          </cell>
          <cell r="O12">
            <v>10275.420950151831</v>
          </cell>
        </row>
        <row r="13">
          <cell r="A13">
            <v>43100</v>
          </cell>
          <cell r="K13">
            <v>10718.427011272177</v>
          </cell>
          <cell r="O13">
            <v>10322.585526780396</v>
          </cell>
        </row>
        <row r="14">
          <cell r="A14">
            <v>43131</v>
          </cell>
          <cell r="K14">
            <v>10963.813089299401</v>
          </cell>
          <cell r="O14">
            <v>10203.690438958442</v>
          </cell>
        </row>
        <row r="15">
          <cell r="A15">
            <v>43159</v>
          </cell>
          <cell r="K15">
            <v>10892.837630739419</v>
          </cell>
          <cell r="O15">
            <v>10106.990446020518</v>
          </cell>
        </row>
        <row r="16">
          <cell r="A16">
            <v>43190</v>
          </cell>
          <cell r="K16">
            <v>10854.981925361213</v>
          </cell>
          <cell r="O16">
            <v>10171.81021176138</v>
          </cell>
        </row>
        <row r="17">
          <cell r="A17">
            <v>43220</v>
          </cell>
          <cell r="K17">
            <v>10883.69460104326</v>
          </cell>
          <cell r="O17">
            <v>10096.145115565821</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row>
        <row r="21">
          <cell r="A21">
            <v>43343</v>
          </cell>
          <cell r="K21">
            <v>11777.46318235264</v>
          </cell>
          <cell r="O21">
            <v>10223.464250764217</v>
          </cell>
        </row>
        <row r="22">
          <cell r="A22">
            <v>43373</v>
          </cell>
          <cell r="K22">
            <v>11770.528951422675</v>
          </cell>
          <cell r="O22">
            <v>10157.63561707408</v>
          </cell>
        </row>
        <row r="23">
          <cell r="A23">
            <v>43404</v>
          </cell>
          <cell r="K23">
            <v>11284.446935421794</v>
          </cell>
          <cell r="O23">
            <v>10077.380171709323</v>
          </cell>
        </row>
        <row r="24">
          <cell r="A24">
            <v>43434</v>
          </cell>
          <cell r="K24">
            <v>11529.939136578709</v>
          </cell>
          <cell r="O24">
            <v>10137.50870148606</v>
          </cell>
        </row>
        <row r="25">
          <cell r="A25">
            <v>43465</v>
          </cell>
          <cell r="K25">
            <v>10911.119257589457</v>
          </cell>
          <cell r="O25">
            <v>10323.745724922061</v>
          </cell>
        </row>
        <row r="26">
          <cell r="A26">
            <v>43496</v>
          </cell>
          <cell r="K26">
            <v>11596.058698765837</v>
          </cell>
          <cell r="O26">
            <v>10433.409671008159</v>
          </cell>
        </row>
        <row r="27">
          <cell r="A27">
            <v>43524</v>
          </cell>
          <cell r="K27">
            <v>11825.5470849622</v>
          </cell>
          <cell r="O27">
            <v>10427.356463312513</v>
          </cell>
        </row>
        <row r="28">
          <cell r="A28">
            <v>43555</v>
          </cell>
          <cell r="K28">
            <v>11914.277835021911</v>
          </cell>
          <cell r="O28">
            <v>10627.566307845964</v>
          </cell>
        </row>
        <row r="29">
          <cell r="A29">
            <v>43585</v>
          </cell>
          <cell r="K29">
            <v>12062.166794421459</v>
          </cell>
          <cell r="O29">
            <v>10630.290251309005</v>
          </cell>
        </row>
        <row r="30">
          <cell r="A30">
            <v>43616</v>
          </cell>
          <cell r="K30">
            <v>11804.241229555231</v>
          </cell>
          <cell r="O30">
            <v>10818.999001220731</v>
          </cell>
        </row>
        <row r="31">
          <cell r="A31">
            <v>43646</v>
          </cell>
          <cell r="K31">
            <v>12157.854901998569</v>
          </cell>
          <cell r="O31">
            <v>10954.84307059049</v>
          </cell>
        </row>
        <row r="32">
          <cell r="A32">
            <v>43677</v>
          </cell>
          <cell r="K32">
            <v>12371</v>
          </cell>
          <cell r="O32">
            <v>10978.95501457814</v>
          </cell>
        </row>
        <row r="33">
          <cell r="A33">
            <v>43708</v>
          </cell>
          <cell r="K33">
            <v>12357</v>
          </cell>
          <cell r="O33">
            <v>11263.455776273442</v>
          </cell>
        </row>
        <row r="34">
          <cell r="A34">
            <v>43738</v>
          </cell>
          <cell r="K34">
            <v>12590</v>
          </cell>
          <cell r="O34">
            <v>11203.478576689096</v>
          </cell>
        </row>
        <row r="35">
          <cell r="A35">
            <v>43769</v>
          </cell>
          <cell r="K35">
            <v>12752</v>
          </cell>
          <cell r="O35">
            <v>11237.225209592316</v>
          </cell>
        </row>
        <row r="36">
          <cell r="A36">
            <v>43799</v>
          </cell>
          <cell r="K36">
            <v>12803</v>
          </cell>
          <cell r="O36">
            <v>11231.474662281453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sheetData>
      <sheetData sheetId="1">
        <row r="5">
          <cell r="N5" t="str">
            <v>Conv</v>
          </cell>
          <cell r="O5">
            <v>0.5504765608757819</v>
          </cell>
        </row>
        <row r="6">
          <cell r="N6" t="str">
            <v>Pfd</v>
          </cell>
          <cell r="O6">
            <v>0.37479219284604204</v>
          </cell>
        </row>
        <row r="7">
          <cell r="N7" t="str">
            <v>Cash</v>
          </cell>
          <cell r="O7">
            <v>5.6921644959724828E-2</v>
          </cell>
        </row>
        <row r="8">
          <cell r="N8" t="str">
            <v>Common</v>
          </cell>
          <cell r="O8">
            <v>1.7809601318451114E-2</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s>
    <sheetDataSet>
      <sheetData sheetId="0">
        <row r="2">
          <cell r="V2" t="str">
            <v>CURRENT</v>
          </cell>
        </row>
        <row r="3">
          <cell r="A3">
            <v>42795</v>
          </cell>
          <cell r="K3">
            <v>10000</v>
          </cell>
          <cell r="O3">
            <v>10000</v>
          </cell>
        </row>
        <row r="4">
          <cell r="A4">
            <v>42825</v>
          </cell>
          <cell r="K4">
            <v>9959.6151011064649</v>
          </cell>
          <cell r="O4">
            <v>10050.897388040878</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row>
        <row r="8">
          <cell r="A8">
            <v>42947</v>
          </cell>
          <cell r="K8">
            <v>10441.048768580116</v>
          </cell>
          <cell r="O8">
            <v>10240.060128529774</v>
          </cell>
        </row>
        <row r="9">
          <cell r="A9">
            <v>42978</v>
          </cell>
          <cell r="K9">
            <v>10429.828918110359</v>
          </cell>
          <cell r="O9">
            <v>10331.86711191372</v>
          </cell>
        </row>
        <row r="10">
          <cell r="A10">
            <v>43008</v>
          </cell>
          <cell r="K10">
            <v>10463.117967910277</v>
          </cell>
          <cell r="O10">
            <v>10282.684799386607</v>
          </cell>
        </row>
        <row r="11">
          <cell r="A11">
            <v>43039</v>
          </cell>
          <cell r="K11">
            <v>10660.974925576076</v>
          </cell>
          <cell r="O11">
            <v>10288.637120287323</v>
          </cell>
        </row>
        <row r="12">
          <cell r="A12">
            <v>43069</v>
          </cell>
          <cell r="K12">
            <v>10727.143878585481</v>
          </cell>
          <cell r="O12">
            <v>10275.420950151831</v>
          </cell>
        </row>
        <row r="13">
          <cell r="A13">
            <v>43100</v>
          </cell>
          <cell r="K13">
            <v>10718.427011272177</v>
          </cell>
          <cell r="O13">
            <v>10322.585526780396</v>
          </cell>
        </row>
        <row r="14">
          <cell r="A14">
            <v>43131</v>
          </cell>
          <cell r="K14">
            <v>10963.813089299401</v>
          </cell>
          <cell r="O14">
            <v>10203.690438958442</v>
          </cell>
        </row>
        <row r="15">
          <cell r="A15">
            <v>43159</v>
          </cell>
          <cell r="K15">
            <v>10892.837630739419</v>
          </cell>
          <cell r="O15">
            <v>10106.990446020518</v>
          </cell>
        </row>
        <row r="16">
          <cell r="A16">
            <v>43190</v>
          </cell>
          <cell r="K16">
            <v>10854.981925361213</v>
          </cell>
          <cell r="O16">
            <v>10171.81021176138</v>
          </cell>
        </row>
        <row r="17">
          <cell r="A17">
            <v>43220</v>
          </cell>
          <cell r="K17">
            <v>10883.69460104326</v>
          </cell>
          <cell r="O17">
            <v>10096.145115565821</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row>
        <row r="21">
          <cell r="A21">
            <v>43343</v>
          </cell>
          <cell r="K21">
            <v>11777.46318235264</v>
          </cell>
          <cell r="O21">
            <v>10223.464250764217</v>
          </cell>
        </row>
        <row r="22">
          <cell r="A22">
            <v>43373</v>
          </cell>
          <cell r="K22">
            <v>11770.528951422675</v>
          </cell>
          <cell r="O22">
            <v>10157.63561707408</v>
          </cell>
        </row>
        <row r="23">
          <cell r="A23">
            <v>43404</v>
          </cell>
          <cell r="K23">
            <v>11284.446935421794</v>
          </cell>
          <cell r="O23">
            <v>10077.380171709323</v>
          </cell>
        </row>
        <row r="24">
          <cell r="A24">
            <v>43434</v>
          </cell>
          <cell r="K24">
            <v>11529.939136578709</v>
          </cell>
          <cell r="O24">
            <v>10137.50870148606</v>
          </cell>
        </row>
        <row r="25">
          <cell r="A25">
            <v>43465</v>
          </cell>
          <cell r="K25">
            <v>10911.119257589457</v>
          </cell>
          <cell r="O25">
            <v>10323.745724922061</v>
          </cell>
        </row>
        <row r="26">
          <cell r="A26">
            <v>43496</v>
          </cell>
          <cell r="K26">
            <v>11596.058698765837</v>
          </cell>
          <cell r="O26">
            <v>10433.409671008159</v>
          </cell>
        </row>
        <row r="27">
          <cell r="A27">
            <v>43524</v>
          </cell>
          <cell r="K27">
            <v>11825.5470849622</v>
          </cell>
          <cell r="O27">
            <v>10427.356463312513</v>
          </cell>
        </row>
        <row r="28">
          <cell r="A28">
            <v>43555</v>
          </cell>
          <cell r="K28">
            <v>11914.277835021911</v>
          </cell>
          <cell r="O28">
            <v>10627.566307845964</v>
          </cell>
        </row>
        <row r="29">
          <cell r="A29">
            <v>43585</v>
          </cell>
          <cell r="K29">
            <v>12062.166794421459</v>
          </cell>
          <cell r="O29">
            <v>10630.290251309005</v>
          </cell>
        </row>
        <row r="30">
          <cell r="A30">
            <v>43616</v>
          </cell>
          <cell r="K30">
            <v>11804.241229555231</v>
          </cell>
          <cell r="O30">
            <v>10818.999001220731</v>
          </cell>
        </row>
        <row r="31">
          <cell r="A31">
            <v>43646</v>
          </cell>
          <cell r="K31">
            <v>12157.854901998569</v>
          </cell>
          <cell r="O31">
            <v>10954.84307059049</v>
          </cell>
        </row>
        <row r="32">
          <cell r="A32">
            <v>43677</v>
          </cell>
          <cell r="K32">
            <v>12371</v>
          </cell>
          <cell r="O32">
            <v>10978.95501457814</v>
          </cell>
        </row>
        <row r="33">
          <cell r="A33">
            <v>43708</v>
          </cell>
          <cell r="K33">
            <v>12357</v>
          </cell>
          <cell r="O33">
            <v>11263.455776273442</v>
          </cell>
        </row>
        <row r="34">
          <cell r="A34">
            <v>43738</v>
          </cell>
          <cell r="K34">
            <v>12590</v>
          </cell>
          <cell r="O34">
            <v>11203.478576689096</v>
          </cell>
        </row>
        <row r="35">
          <cell r="A35">
            <v>43769</v>
          </cell>
          <cell r="K35">
            <v>12752</v>
          </cell>
          <cell r="O35">
            <v>11237.225209592316</v>
          </cell>
        </row>
        <row r="36">
          <cell r="A36">
            <v>43799</v>
          </cell>
          <cell r="K36">
            <v>12803</v>
          </cell>
          <cell r="O36">
            <v>11231.474662281453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row r="44">
          <cell r="A44">
            <v>44043</v>
          </cell>
          <cell r="K44">
            <v>14062</v>
          </cell>
          <cell r="O44">
            <v>12090.17261730612</v>
          </cell>
        </row>
        <row r="45">
          <cell r="A45">
            <v>44074</v>
          </cell>
          <cell r="K45">
            <v>14152</v>
          </cell>
          <cell r="O45">
            <v>11992.564643213847</v>
          </cell>
        </row>
        <row r="46">
          <cell r="A46">
            <v>44104</v>
          </cell>
          <cell r="K46">
            <v>13837</v>
          </cell>
          <cell r="O46">
            <v>11986.007001543567</v>
          </cell>
        </row>
        <row r="47">
          <cell r="A47">
            <v>44135</v>
          </cell>
          <cell r="K47">
            <v>13889</v>
          </cell>
          <cell r="O47">
            <v>11932.486556834574</v>
          </cell>
        </row>
        <row r="48">
          <cell r="A48">
            <v>44165</v>
          </cell>
          <cell r="K48">
            <v>14704</v>
          </cell>
          <cell r="O48">
            <v>12049.565682347835</v>
          </cell>
        </row>
        <row r="49">
          <cell r="A49">
            <v>44196</v>
          </cell>
          <cell r="K49">
            <v>15277</v>
          </cell>
          <cell r="O49">
            <v>12066.161560113394</v>
          </cell>
        </row>
      </sheetData>
      <sheetData sheetId="1">
        <row r="5">
          <cell r="N5" t="str">
            <v>Conv</v>
          </cell>
          <cell r="O5">
            <v>0.59512921927336693</v>
          </cell>
        </row>
        <row r="6">
          <cell r="N6" t="str">
            <v>Pfd</v>
          </cell>
          <cell r="O6">
            <v>0.36319719006622347</v>
          </cell>
        </row>
        <row r="7">
          <cell r="N7" t="str">
            <v>Cash</v>
          </cell>
          <cell r="O7">
            <v>2.7628479585945019E-2</v>
          </cell>
        </row>
        <row r="8">
          <cell r="N8" t="str">
            <v>Common</v>
          </cell>
          <cell r="O8">
            <v>1.4045111074464637E-2</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X Return Data"/>
      <sheetName val="PBX - FACT SHEET"/>
      <sheetName val="PBX"/>
      <sheetName val="Price Return"/>
    </sheetNames>
    <sheetDataSet>
      <sheetData sheetId="0">
        <row r="2">
          <cell r="V2" t="str">
            <v>CURRENT</v>
          </cell>
          <cell r="W2">
            <v>44286</v>
          </cell>
        </row>
        <row r="3">
          <cell r="A3">
            <v>42795</v>
          </cell>
          <cell r="K3">
            <v>10000</v>
          </cell>
          <cell r="O3">
            <v>10000</v>
          </cell>
          <cell r="V3" t="str">
            <v>Risk Free Rate:</v>
          </cell>
        </row>
        <row r="4">
          <cell r="A4">
            <v>42825</v>
          </cell>
          <cell r="K4">
            <v>9959.6151011064649</v>
          </cell>
          <cell r="O4">
            <v>10050.897388040878</v>
          </cell>
          <cell r="V4" t="str">
            <v>Months:</v>
          </cell>
        </row>
        <row r="5">
          <cell r="A5">
            <v>42855</v>
          </cell>
          <cell r="K5">
            <v>10070.147737228845</v>
          </cell>
          <cell r="O5">
            <v>10128.479333340058</v>
          </cell>
        </row>
        <row r="6">
          <cell r="A6">
            <v>42886</v>
          </cell>
          <cell r="K6">
            <v>10180.381876698508</v>
          </cell>
          <cell r="O6">
            <v>10206.414382421483</v>
          </cell>
        </row>
        <row r="7">
          <cell r="A7">
            <v>42916</v>
          </cell>
          <cell r="K7">
            <v>10241.521615198355</v>
          </cell>
          <cell r="O7">
            <v>10196.17437273635</v>
          </cell>
          <cell r="V7" t="str">
            <v>Standard Deviation:</v>
          </cell>
        </row>
        <row r="8">
          <cell r="A8">
            <v>42947</v>
          </cell>
          <cell r="K8">
            <v>10441.048768580116</v>
          </cell>
          <cell r="O8">
            <v>10240.060128529774</v>
          </cell>
          <cell r="V8" t="str">
            <v>Beta:</v>
          </cell>
          <cell r="X8">
            <v>0.47682193529274375</v>
          </cell>
        </row>
        <row r="9">
          <cell r="A9">
            <v>42978</v>
          </cell>
          <cell r="K9">
            <v>10429.828918110359</v>
          </cell>
          <cell r="O9">
            <v>10331.86711191372</v>
          </cell>
          <cell r="V9" t="str">
            <v>Cumulative Return</v>
          </cell>
        </row>
        <row r="10">
          <cell r="A10">
            <v>43008</v>
          </cell>
          <cell r="K10">
            <v>10463.117967910277</v>
          </cell>
          <cell r="O10">
            <v>10282.684799386607</v>
          </cell>
          <cell r="V10" t="str">
            <v>Ann. Inception</v>
          </cell>
        </row>
        <row r="11">
          <cell r="A11">
            <v>43039</v>
          </cell>
          <cell r="K11">
            <v>10660.974925576076</v>
          </cell>
          <cell r="O11">
            <v>10288.637120287323</v>
          </cell>
          <cell r="V11" t="str">
            <v>Alpha:</v>
          </cell>
          <cell r="X11">
            <v>9.6658766770999188E-2</v>
          </cell>
        </row>
        <row r="12">
          <cell r="A12">
            <v>43069</v>
          </cell>
          <cell r="K12">
            <v>10727.143878585481</v>
          </cell>
          <cell r="O12">
            <v>10275.420950151831</v>
          </cell>
          <cell r="V12" t="str">
            <v>R-squared:</v>
          </cell>
        </row>
        <row r="13">
          <cell r="A13">
            <v>43100</v>
          </cell>
          <cell r="K13">
            <v>10718.427011272177</v>
          </cell>
          <cell r="O13">
            <v>10322.585526780396</v>
          </cell>
          <cell r="V13" t="str">
            <v>Correlation</v>
          </cell>
          <cell r="X13">
            <v>0.1512219069125359</v>
          </cell>
        </row>
        <row r="14">
          <cell r="A14">
            <v>43131</v>
          </cell>
          <cell r="K14">
            <v>10963.813089299401</v>
          </cell>
          <cell r="O14">
            <v>10203.690438958442</v>
          </cell>
          <cell r="V14" t="str">
            <v>Sharpe Ratio:</v>
          </cell>
          <cell r="X14">
            <v>1.0904190244065968</v>
          </cell>
          <cell r="Z14">
            <v>1.5418736931049146</v>
          </cell>
        </row>
        <row r="15">
          <cell r="A15">
            <v>43159</v>
          </cell>
          <cell r="K15">
            <v>10892.837630739419</v>
          </cell>
          <cell r="O15">
            <v>10106.990446020518</v>
          </cell>
          <cell r="V15" t="str">
            <v># positive months</v>
          </cell>
        </row>
        <row r="16">
          <cell r="A16">
            <v>43190</v>
          </cell>
          <cell r="K16">
            <v>10854.981925361213</v>
          </cell>
          <cell r="O16">
            <v>10171.81021176138</v>
          </cell>
          <cell r="V16" t="str">
            <v>% positive months</v>
          </cell>
          <cell r="X16">
            <v>0.69387755102040816</v>
          </cell>
          <cell r="Z16">
            <v>0.77551020408163263</v>
          </cell>
        </row>
        <row r="17">
          <cell r="A17">
            <v>43220</v>
          </cell>
          <cell r="K17">
            <v>10883.69460104326</v>
          </cell>
          <cell r="O17">
            <v>10096.145115565821</v>
          </cell>
          <cell r="V17" t="str">
            <v>max DD</v>
          </cell>
          <cell r="X17">
            <v>-0.13953311535244467</v>
          </cell>
          <cell r="Z17">
            <v>-0.16010930946931626</v>
          </cell>
        </row>
        <row r="18">
          <cell r="A18">
            <v>43251</v>
          </cell>
          <cell r="K18">
            <v>11120.862270721798</v>
          </cell>
          <cell r="O18">
            <v>10168.178287143994</v>
          </cell>
        </row>
        <row r="19">
          <cell r="A19">
            <v>43281</v>
          </cell>
          <cell r="K19">
            <v>11296.045269096507</v>
          </cell>
          <cell r="O19">
            <v>10155.668324572995</v>
          </cell>
        </row>
        <row r="20">
          <cell r="A20">
            <v>43312</v>
          </cell>
          <cell r="K20">
            <v>11454.289873860696</v>
          </cell>
          <cell r="O20">
            <v>10158.089607651253</v>
          </cell>
          <cell r="AB20" t="str">
            <v>PBXIX</v>
          </cell>
          <cell r="AC20" t="str">
            <v>ICE US Converts</v>
          </cell>
          <cell r="AD20" t="str">
            <v>Barclays Agg</v>
          </cell>
          <cell r="AE20" t="str">
            <v>S&amp;P 500 TR</v>
          </cell>
        </row>
        <row r="21">
          <cell r="A21">
            <v>43343</v>
          </cell>
          <cell r="K21">
            <v>11777.46318235264</v>
          </cell>
          <cell r="O21">
            <v>10223.464250764217</v>
          </cell>
          <cell r="V21" t="str">
            <v>YTD</v>
          </cell>
          <cell r="AB21">
            <v>2.1011978791647574E-2</v>
          </cell>
          <cell r="AC21">
            <v>5.6818389437252148E-2</v>
          </cell>
          <cell r="AD21">
            <v>-3.3724634409411279E-2</v>
          </cell>
          <cell r="AE21">
            <v>6.1748728952811874E-2</v>
          </cell>
        </row>
        <row r="22">
          <cell r="A22">
            <v>43373</v>
          </cell>
          <cell r="K22">
            <v>11770.528951422675</v>
          </cell>
          <cell r="O22">
            <v>10157.63561707408</v>
          </cell>
          <cell r="V22" t="str">
            <v>QTD</v>
          </cell>
          <cell r="AB22">
            <v>2.1011978791647574E-2</v>
          </cell>
          <cell r="AC22">
            <v>5.6818389437252148E-2</v>
          </cell>
          <cell r="AD22">
            <v>-3.3724634409411279E-2</v>
          </cell>
          <cell r="AE22">
            <v>6.1748728952811874E-2</v>
          </cell>
        </row>
        <row r="23">
          <cell r="A23">
            <v>43404</v>
          </cell>
          <cell r="K23">
            <v>11284.446935421794</v>
          </cell>
          <cell r="O23">
            <v>10077.380171709323</v>
          </cell>
          <cell r="V23" t="str">
            <v>1 Year</v>
          </cell>
          <cell r="AB23">
            <v>0.37840226228349239</v>
          </cell>
          <cell r="AC23">
            <v>0.3374534627923047</v>
          </cell>
          <cell r="AD23">
            <v>7.1022417812247607E-3</v>
          </cell>
          <cell r="AE23">
            <v>0.56351628330676418</v>
          </cell>
        </row>
        <row r="24">
          <cell r="A24">
            <v>43434</v>
          </cell>
          <cell r="K24">
            <v>11529.939136578709</v>
          </cell>
          <cell r="O24">
            <v>10137.50870148606</v>
          </cell>
          <cell r="V24" t="str">
            <v>2 Years</v>
          </cell>
          <cell r="AB24">
            <v>0.14419645082505506</v>
          </cell>
          <cell r="AC24">
            <v>0.1291900548314151</v>
          </cell>
          <cell r="AD24">
            <v>4.741336258219353E-2</v>
          </cell>
          <cell r="AE24">
            <v>0.20599161621446638</v>
          </cell>
        </row>
        <row r="25">
          <cell r="A25">
            <v>43465</v>
          </cell>
          <cell r="K25">
            <v>10911.119257589457</v>
          </cell>
          <cell r="O25">
            <v>10323.745724922061</v>
          </cell>
          <cell r="V25" t="str">
            <v>3 Years</v>
          </cell>
          <cell r="AB25">
            <v>0.12844380618094964</v>
          </cell>
          <cell r="AC25">
            <v>0.11116395711553118</v>
          </cell>
          <cell r="AD25">
            <v>4.6543452836169896E-2</v>
          </cell>
          <cell r="AE25">
            <v>0.1677849863795664</v>
          </cell>
        </row>
        <row r="26">
          <cell r="A26">
            <v>43496</v>
          </cell>
          <cell r="K26">
            <v>11596.058698765837</v>
          </cell>
          <cell r="O26">
            <v>10433.409671008159</v>
          </cell>
          <cell r="V26" t="str">
            <v>5 Years</v>
          </cell>
          <cell r="AB26" t="e">
            <v>#DIV/0!</v>
          </cell>
          <cell r="AC26" t="e">
            <v>#DIV/0!</v>
          </cell>
          <cell r="AD26" t="e">
            <v>#DIV/0!</v>
          </cell>
          <cell r="AE26" t="e">
            <v>#DIV/0!</v>
          </cell>
        </row>
        <row r="27">
          <cell r="A27">
            <v>43524</v>
          </cell>
          <cell r="K27">
            <v>11825.5470849622</v>
          </cell>
          <cell r="O27">
            <v>10427.356463312513</v>
          </cell>
          <cell r="V27" t="str">
            <v>10 Years</v>
          </cell>
          <cell r="AB27" t="e">
            <v>#DIV/0!</v>
          </cell>
          <cell r="AC27" t="e">
            <v>#DIV/0!</v>
          </cell>
          <cell r="AD27" t="e">
            <v>#DIV/0!</v>
          </cell>
          <cell r="AE27" t="e">
            <v>#DIV/0!</v>
          </cell>
        </row>
        <row r="28">
          <cell r="A28">
            <v>43555</v>
          </cell>
          <cell r="K28">
            <v>11914.277835021911</v>
          </cell>
          <cell r="O28">
            <v>10627.566307845964</v>
          </cell>
          <cell r="V28" t="str">
            <v>Inception*</v>
          </cell>
          <cell r="AB28">
            <v>0.11501878345456373</v>
          </cell>
          <cell r="AC28">
            <v>0.12300728640384162</v>
          </cell>
          <cell r="AD28">
            <v>3.8310767215220753E-2</v>
          </cell>
          <cell r="AE28">
            <v>0.15366526505828859</v>
          </cell>
        </row>
        <row r="29">
          <cell r="A29">
            <v>43585</v>
          </cell>
          <cell r="K29">
            <v>12062.166794421459</v>
          </cell>
          <cell r="O29">
            <v>10630.290251309005</v>
          </cell>
          <cell r="V29" t="str">
            <v>Since A &amp; C Inception</v>
          </cell>
        </row>
        <row r="30">
          <cell r="A30">
            <v>43616</v>
          </cell>
          <cell r="K30">
            <v>11804.241229555231</v>
          </cell>
          <cell r="O30">
            <v>10818.999001220731</v>
          </cell>
          <cell r="V30" t="str">
            <v>Current</v>
          </cell>
          <cell r="X30">
            <v>15598</v>
          </cell>
          <cell r="Y30">
            <v>16059.38257621045</v>
          </cell>
          <cell r="AA30">
            <v>17926.379487045597</v>
          </cell>
        </row>
        <row r="31">
          <cell r="A31">
            <v>43646</v>
          </cell>
          <cell r="K31">
            <v>12157.854901998569</v>
          </cell>
          <cell r="O31">
            <v>10954.84307059049</v>
          </cell>
        </row>
        <row r="32">
          <cell r="A32">
            <v>43677</v>
          </cell>
          <cell r="K32">
            <v>12371</v>
          </cell>
          <cell r="O32">
            <v>10978.95501457814</v>
          </cell>
          <cell r="AB32" t="str">
            <v>PBXIX</v>
          </cell>
          <cell r="AC32" t="str">
            <v>ICE US Converts</v>
          </cell>
        </row>
        <row r="33">
          <cell r="A33">
            <v>43708</v>
          </cell>
          <cell r="K33">
            <v>12357</v>
          </cell>
          <cell r="O33">
            <v>11263.455776273442</v>
          </cell>
        </row>
        <row r="34">
          <cell r="A34">
            <v>43738</v>
          </cell>
          <cell r="K34">
            <v>12590</v>
          </cell>
          <cell r="O34">
            <v>11203.478576689096</v>
          </cell>
          <cell r="V34" t="str">
            <v>2017 YTD</v>
          </cell>
          <cell r="AB34">
            <v>7.1842701127217801E-2</v>
          </cell>
          <cell r="AC34">
            <v>0.10922370193027153</v>
          </cell>
        </row>
        <row r="35">
          <cell r="A35">
            <v>43769</v>
          </cell>
          <cell r="K35">
            <v>12752</v>
          </cell>
          <cell r="O35">
            <v>11237.225209592316</v>
          </cell>
          <cell r="V35">
            <v>2018</v>
          </cell>
          <cell r="AB35">
            <v>1.797766091187003E-2</v>
          </cell>
          <cell r="AC35">
            <v>-2.0309075667933052E-2</v>
          </cell>
        </row>
        <row r="36">
          <cell r="A36">
            <v>43799</v>
          </cell>
          <cell r="K36">
            <v>12803</v>
          </cell>
          <cell r="O36">
            <v>11231.474662281453</v>
          </cell>
          <cell r="V36">
            <v>2019</v>
          </cell>
          <cell r="AB36">
            <v>0.42955086749239646</v>
          </cell>
          <cell r="AC36">
            <v>0.88584449861698333</v>
          </cell>
        </row>
        <row r="37">
          <cell r="A37">
            <v>43830</v>
          </cell>
          <cell r="K37">
            <v>13048</v>
          </cell>
          <cell r="O37">
            <v>11223.655935674577</v>
          </cell>
        </row>
        <row r="38">
          <cell r="A38">
            <v>43861</v>
          </cell>
          <cell r="K38">
            <v>13151</v>
          </cell>
          <cell r="O38">
            <v>11439.654563614167</v>
          </cell>
        </row>
        <row r="39">
          <cell r="A39">
            <v>43890</v>
          </cell>
          <cell r="K39">
            <v>12625</v>
          </cell>
          <cell r="O39">
            <v>11645.564512061013</v>
          </cell>
        </row>
        <row r="40">
          <cell r="A40">
            <v>43921</v>
          </cell>
          <cell r="K40">
            <v>11316</v>
          </cell>
          <cell r="O40">
            <v>11577.011934907838</v>
          </cell>
        </row>
        <row r="41">
          <cell r="A41">
            <v>43951</v>
          </cell>
          <cell r="K41">
            <v>12266</v>
          </cell>
          <cell r="O41">
            <v>11782.820996559756</v>
          </cell>
        </row>
        <row r="42">
          <cell r="A42">
            <v>43982</v>
          </cell>
          <cell r="K42">
            <v>12971</v>
          </cell>
          <cell r="O42">
            <v>11837.652969602805</v>
          </cell>
        </row>
        <row r="43">
          <cell r="A43">
            <v>44012</v>
          </cell>
          <cell r="K43">
            <v>13266</v>
          </cell>
          <cell r="O43">
            <v>11912.258754451628</v>
          </cell>
        </row>
        <row r="44">
          <cell r="A44">
            <v>44043</v>
          </cell>
          <cell r="K44">
            <v>14062</v>
          </cell>
          <cell r="O44">
            <v>12090.17261730612</v>
          </cell>
        </row>
        <row r="45">
          <cell r="A45">
            <v>44074</v>
          </cell>
          <cell r="K45">
            <v>14152</v>
          </cell>
          <cell r="O45">
            <v>11992.564643213847</v>
          </cell>
        </row>
        <row r="46">
          <cell r="A46">
            <v>44104</v>
          </cell>
          <cell r="K46">
            <v>13837</v>
          </cell>
          <cell r="O46">
            <v>11986.007001543567</v>
          </cell>
        </row>
        <row r="47">
          <cell r="A47">
            <v>44135</v>
          </cell>
          <cell r="K47">
            <v>13889</v>
          </cell>
          <cell r="O47">
            <v>11932.486556834574</v>
          </cell>
        </row>
        <row r="48">
          <cell r="A48">
            <v>44165</v>
          </cell>
          <cell r="K48">
            <v>14704</v>
          </cell>
          <cell r="O48">
            <v>12049.565682347835</v>
          </cell>
        </row>
        <row r="49">
          <cell r="A49">
            <v>44196</v>
          </cell>
          <cell r="K49">
            <v>15277</v>
          </cell>
          <cell r="O49">
            <v>12066.161560113394</v>
          </cell>
        </row>
        <row r="50">
          <cell r="A50">
            <v>44227</v>
          </cell>
          <cell r="K50">
            <v>15277</v>
          </cell>
          <cell r="O50">
            <v>11979.651133463138</v>
          </cell>
        </row>
        <row r="51">
          <cell r="A51">
            <v>44255</v>
          </cell>
          <cell r="K51">
            <v>15722</v>
          </cell>
          <cell r="O51">
            <v>11806.68072356009</v>
          </cell>
        </row>
        <row r="52">
          <cell r="A52">
            <v>44286</v>
          </cell>
          <cell r="K52">
            <v>15598</v>
          </cell>
          <cell r="O52">
            <v>11659.234672773679</v>
          </cell>
        </row>
      </sheetData>
      <sheetData sheetId="1">
        <row r="5">
          <cell r="N5" t="str">
            <v>Conv</v>
          </cell>
          <cell r="O5">
            <v>0.60271947082721977</v>
          </cell>
        </row>
        <row r="6">
          <cell r="N6" t="str">
            <v>Pfd</v>
          </cell>
          <cell r="O6">
            <v>0.36156680850201106</v>
          </cell>
        </row>
        <row r="7">
          <cell r="N7" t="str">
            <v>Cash</v>
          </cell>
          <cell r="O7">
            <v>2.761759638710528E-2</v>
          </cell>
        </row>
        <row r="8">
          <cell r="N8" t="str">
            <v>Common</v>
          </cell>
          <cell r="O8">
            <v>8.0961242836639167E-3</v>
          </cell>
        </row>
        <row r="12">
          <cell r="D12" t="str">
            <v>QTD</v>
          </cell>
          <cell r="E12" t="str">
            <v>YTD</v>
          </cell>
          <cell r="F12" t="str">
            <v>1 Year</v>
          </cell>
          <cell r="G12" t="str">
            <v>3 Years</v>
          </cell>
          <cell r="H12" t="str">
            <v>Inception*</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4580E-67B2-46CE-8983-49B5B5271DAA}">
  <sheetPr codeName="Sheet1"/>
  <dimension ref="A1:AI61"/>
  <sheetViews>
    <sheetView tabSelected="1" zoomScaleNormal="100" workbookViewId="0">
      <pane ySplit="2" topLeftCell="A3" activePane="bottomLeft" state="frozen"/>
      <selection pane="bottomLeft"/>
    </sheetView>
  </sheetViews>
  <sheetFormatPr defaultColWidth="8.7109375" defaultRowHeight="15"/>
  <cols>
    <col min="1" max="1" width="11.28515625" style="33" bestFit="1" customWidth="1"/>
    <col min="2" max="2" width="13.140625" style="33" bestFit="1" customWidth="1"/>
    <col min="3" max="5" width="13.140625" style="33" customWidth="1"/>
    <col min="6" max="9" width="10.5703125" style="60" customWidth="1"/>
    <col min="10" max="10" width="11.85546875" style="60" bestFit="1" customWidth="1"/>
    <col min="11" max="15" width="10.5703125" style="60" customWidth="1"/>
    <col min="16" max="18" width="8.7109375" style="35"/>
    <col min="19" max="19" width="15.85546875" style="35" bestFit="1" customWidth="1"/>
    <col min="20" max="20" width="15.85546875" style="35" customWidth="1"/>
    <col min="21" max="21" width="8" style="35" customWidth="1"/>
    <col min="22" max="22" width="22.140625" style="35" bestFit="1" customWidth="1"/>
    <col min="23" max="23" width="11.28515625" style="35" bestFit="1" customWidth="1"/>
    <col min="24" max="24" width="20" style="31" bestFit="1" customWidth="1"/>
    <col min="25" max="25" width="16.5703125" style="31" bestFit="1" customWidth="1"/>
    <col min="26" max="26" width="20.42578125" style="31" bestFit="1" customWidth="1"/>
    <col min="27" max="28" width="14.7109375" style="32" customWidth="1"/>
    <col min="29" max="29" width="17.28515625" style="35" customWidth="1"/>
    <col min="30" max="30" width="16.42578125" style="35" bestFit="1" customWidth="1"/>
    <col min="31" max="31" width="10.28515625" style="35" bestFit="1" customWidth="1"/>
    <col min="32" max="32" width="9.140625" style="35" bestFit="1" customWidth="1"/>
    <col min="33" max="33" width="9.140625" style="35" customWidth="1"/>
    <col min="34" max="34" width="16" style="35" customWidth="1"/>
    <col min="35" max="35" width="9.140625" style="35" customWidth="1"/>
    <col min="36" max="36" width="11.42578125" style="35" bestFit="1" customWidth="1"/>
    <col min="37" max="16384" width="8.7109375" style="35"/>
  </cols>
  <sheetData>
    <row r="1" spans="1:28">
      <c r="B1" s="35" t="s">
        <v>49</v>
      </c>
      <c r="C1" s="35" t="s">
        <v>47</v>
      </c>
      <c r="D1" s="75" t="s">
        <v>51</v>
      </c>
      <c r="E1" s="75"/>
      <c r="F1" s="61"/>
      <c r="G1" s="61"/>
      <c r="H1" s="100"/>
      <c r="I1" s="100"/>
      <c r="J1" s="61"/>
      <c r="K1" s="61" t="s">
        <v>28</v>
      </c>
      <c r="L1" s="61"/>
      <c r="M1" s="61"/>
      <c r="N1" s="61"/>
      <c r="O1" s="61"/>
      <c r="P1" t="s">
        <v>29</v>
      </c>
    </row>
    <row r="2" spans="1:28" s="31" customFormat="1">
      <c r="A2" s="29" t="s">
        <v>13</v>
      </c>
      <c r="B2" s="101" t="s">
        <v>48</v>
      </c>
      <c r="C2" s="101" t="s">
        <v>50</v>
      </c>
      <c r="D2" s="29" t="s">
        <v>46</v>
      </c>
      <c r="E2" s="29" t="s">
        <v>143</v>
      </c>
      <c r="F2" s="101" t="s">
        <v>48</v>
      </c>
      <c r="G2" s="101" t="s">
        <v>50</v>
      </c>
      <c r="H2" s="29" t="s">
        <v>46</v>
      </c>
      <c r="I2" s="29" t="s">
        <v>143</v>
      </c>
      <c r="J2" s="29" t="s">
        <v>45</v>
      </c>
      <c r="K2" s="29" t="s">
        <v>45</v>
      </c>
      <c r="L2" s="101" t="s">
        <v>48</v>
      </c>
      <c r="M2" s="101" t="s">
        <v>50</v>
      </c>
      <c r="N2" s="29" t="s">
        <v>46</v>
      </c>
      <c r="O2" s="29" t="s">
        <v>143</v>
      </c>
      <c r="P2" s="29" t="s">
        <v>34</v>
      </c>
      <c r="Q2" s="101" t="s">
        <v>48</v>
      </c>
      <c r="R2" s="101" t="s">
        <v>50</v>
      </c>
      <c r="S2" s="29" t="s">
        <v>46</v>
      </c>
      <c r="T2" s="29" t="s">
        <v>143</v>
      </c>
      <c r="U2" s="30"/>
      <c r="V2" s="64" t="s">
        <v>14</v>
      </c>
      <c r="W2" s="47">
        <v>44286</v>
      </c>
      <c r="AA2" s="32"/>
      <c r="AB2" s="32"/>
    </row>
    <row r="3" spans="1:28" s="31" customFormat="1">
      <c r="A3" s="33">
        <v>42795</v>
      </c>
      <c r="B3" s="62">
        <v>334.15</v>
      </c>
      <c r="C3" s="102">
        <v>173.286</v>
      </c>
      <c r="D3" s="62">
        <v>4595.7299999999996</v>
      </c>
      <c r="E3" s="62">
        <v>1982.42</v>
      </c>
      <c r="F3" s="34"/>
      <c r="G3" s="34"/>
      <c r="H3" s="34"/>
      <c r="I3" s="34"/>
      <c r="J3" s="34"/>
      <c r="K3" s="34">
        <v>10000</v>
      </c>
      <c r="L3" s="34">
        <v>10000</v>
      </c>
      <c r="M3" s="34">
        <v>10000</v>
      </c>
      <c r="N3" s="34">
        <v>10000</v>
      </c>
      <c r="O3" s="34">
        <v>10000</v>
      </c>
      <c r="P3" s="35"/>
      <c r="Q3" s="35"/>
      <c r="R3" s="35"/>
      <c r="S3" s="35"/>
      <c r="T3" s="35"/>
      <c r="U3" s="35"/>
      <c r="V3" s="35" t="s">
        <v>15</v>
      </c>
      <c r="W3" s="35"/>
      <c r="X3" s="188">
        <v>1.7699999999999999E-4</v>
      </c>
      <c r="Y3" s="213"/>
      <c r="Z3" s="213"/>
      <c r="AA3" s="213"/>
      <c r="AB3" s="191"/>
    </row>
    <row r="4" spans="1:28" s="31" customFormat="1">
      <c r="A4" s="33">
        <v>42825</v>
      </c>
      <c r="B4" s="62">
        <v>335.68</v>
      </c>
      <c r="C4" s="102">
        <v>174.94300000000001</v>
      </c>
      <c r="D4" s="62">
        <v>4538.21</v>
      </c>
      <c r="E4" s="62">
        <v>1992.51</v>
      </c>
      <c r="F4" s="36">
        <f t="shared" ref="F4:I33" si="0">B4/B3-1</f>
        <v>4.5787819841389688E-3</v>
      </c>
      <c r="G4" s="36">
        <f t="shared" si="0"/>
        <v>9.5622266080352958E-3</v>
      </c>
      <c r="H4" s="36">
        <f t="shared" si="0"/>
        <v>-1.2515965907483606E-2</v>
      </c>
      <c r="I4" s="36">
        <f t="shared" si="0"/>
        <v>5.0897388040878067E-3</v>
      </c>
      <c r="J4" s="106">
        <v>-4.0384898893535102E-3</v>
      </c>
      <c r="K4" s="80">
        <f>K3*(1+J4)</f>
        <v>9959.6151011064649</v>
      </c>
      <c r="L4" s="34">
        <f t="shared" ref="L4:M19" si="1">L3*(1+F4)</f>
        <v>10045.787819841389</v>
      </c>
      <c r="M4" s="34">
        <f t="shared" si="1"/>
        <v>10095.622266080352</v>
      </c>
      <c r="N4" s="34">
        <f>N3*(1+H4)</f>
        <v>9874.8403409251641</v>
      </c>
      <c r="O4" s="34">
        <f>O3*(1+I4)</f>
        <v>10050.897388040878</v>
      </c>
      <c r="P4" s="36">
        <f>(K4-(MAX($K$3:K4)))/(MAX($K$3:K4))</f>
        <v>-4.0384898893535137E-3</v>
      </c>
      <c r="Q4" s="36">
        <f>(L4-(MAX($L$3:L4)))/(MAX($L$3:L4))</f>
        <v>0</v>
      </c>
      <c r="R4" s="36">
        <f>(M4-(MAX($M$3:M4)))/(MAX($M$3:M4))</f>
        <v>0</v>
      </c>
      <c r="S4" s="36">
        <f>(N4-(MAX($N$3:N4)))/(MAX($N$3:N4))</f>
        <v>-1.2515965907483587E-2</v>
      </c>
      <c r="T4" s="36">
        <f>(O4-(MAX($O$3:O4)))/(MAX($O$3:O4))</f>
        <v>0</v>
      </c>
      <c r="U4" s="37"/>
      <c r="V4" s="35" t="s">
        <v>16</v>
      </c>
      <c r="W4" s="35"/>
      <c r="X4" s="38">
        <f>COUNTA(A:A)-2</f>
        <v>49</v>
      </c>
      <c r="AA4" s="32"/>
      <c r="AB4" s="32"/>
    </row>
    <row r="5" spans="1:28" s="31" customFormat="1">
      <c r="A5" s="33">
        <f t="shared" ref="A5:A52" si="2">EOMONTH(A4,1)</f>
        <v>42855</v>
      </c>
      <c r="B5" s="62">
        <v>340.45</v>
      </c>
      <c r="C5" s="102">
        <v>178.429</v>
      </c>
      <c r="D5" s="62">
        <v>4584.82</v>
      </c>
      <c r="E5" s="62">
        <v>2007.89</v>
      </c>
      <c r="F5" s="36">
        <f t="shared" si="0"/>
        <v>1.4209961868446142E-2</v>
      </c>
      <c r="G5" s="36">
        <f t="shared" si="0"/>
        <v>1.9926490342568659E-2</v>
      </c>
      <c r="H5" s="36">
        <f t="shared" si="0"/>
        <v>1.0270569233243876E-2</v>
      </c>
      <c r="I5" s="36">
        <f t="shared" si="0"/>
        <v>7.7189073078680615E-3</v>
      </c>
      <c r="J5" s="106">
        <v>1.1098083108663601E-2</v>
      </c>
      <c r="K5" s="80">
        <f t="shared" ref="K5:K31" si="3">K4*(1+J5)</f>
        <v>10070.147737228845</v>
      </c>
      <c r="L5" s="34">
        <f t="shared" si="1"/>
        <v>10188.538081699837</v>
      </c>
      <c r="M5" s="34">
        <f t="shared" si="1"/>
        <v>10296.792585667623</v>
      </c>
      <c r="N5" s="34">
        <f>N4*(1+H5)</f>
        <v>9976.2605723138659</v>
      </c>
      <c r="O5" s="34">
        <f t="shared" ref="N5:O20" si="4">O4*(1+I5)</f>
        <v>10128.479333340058</v>
      </c>
      <c r="P5" s="36">
        <f>(K5-(MAX($K$3:K5)))/(MAX($K$3:K5))</f>
        <v>0</v>
      </c>
      <c r="Q5" s="36">
        <f>(L5-(MAX($L$3:L5)))/(MAX($L$3:L5))</f>
        <v>0</v>
      </c>
      <c r="R5" s="36">
        <f>(M5-(MAX($M$3:M5)))/(MAX($M$3:M5))</f>
        <v>0</v>
      </c>
      <c r="S5" s="36">
        <f>(N5-(MAX($N$3:N5)))/(MAX($N$3:N5))</f>
        <v>-2.3739427686134151E-3</v>
      </c>
      <c r="T5" s="36">
        <f>(O5-(MAX($O$3:O5)))/(MAX($O$3:O5))</f>
        <v>0</v>
      </c>
      <c r="U5" s="37"/>
      <c r="V5" s="35"/>
      <c r="W5" s="35"/>
      <c r="AA5" s="32"/>
      <c r="AB5" s="32"/>
    </row>
    <row r="6" spans="1:28" s="31" customFormat="1">
      <c r="A6" s="33">
        <f t="shared" si="2"/>
        <v>42886</v>
      </c>
      <c r="B6" s="62">
        <v>343.56</v>
      </c>
      <c r="C6" s="102">
        <v>181.89</v>
      </c>
      <c r="D6" s="62">
        <v>4649.34</v>
      </c>
      <c r="E6" s="62">
        <v>2023.34</v>
      </c>
      <c r="F6" s="36">
        <f t="shared" si="0"/>
        <v>9.1349684241446294E-3</v>
      </c>
      <c r="G6" s="36">
        <f t="shared" si="0"/>
        <v>1.9397071103912422E-2</v>
      </c>
      <c r="H6" s="36">
        <f t="shared" si="0"/>
        <v>1.40725262932897E-2</v>
      </c>
      <c r="I6" s="36">
        <f t="shared" si="0"/>
        <v>7.6946446269465785E-3</v>
      </c>
      <c r="J6" s="106">
        <v>1.0946625843644101E-2</v>
      </c>
      <c r="K6" s="80">
        <f t="shared" si="3"/>
        <v>10180.381876698508</v>
      </c>
      <c r="L6" s="34">
        <f t="shared" si="1"/>
        <v>10281.610055364359</v>
      </c>
      <c r="M6" s="34">
        <f t="shared" si="1"/>
        <v>10496.520203594057</v>
      </c>
      <c r="N6" s="34">
        <f t="shared" si="4"/>
        <v>10116.651761526462</v>
      </c>
      <c r="O6" s="34">
        <f t="shared" si="4"/>
        <v>10206.414382421483</v>
      </c>
      <c r="P6" s="36">
        <f>(K6-(MAX($K$3:K6)))/(MAX($K$3:K6))</f>
        <v>0</v>
      </c>
      <c r="Q6" s="36">
        <f>(L6-(MAX($L$3:L6)))/(MAX($L$3:L6))</f>
        <v>0</v>
      </c>
      <c r="R6" s="36">
        <f>(M6-(MAX($M$3:M6)))/(MAX($M$3:M6))</f>
        <v>0</v>
      </c>
      <c r="S6" s="36">
        <f>(N6-(MAX($N$3:N6)))/(MAX($N$3:N6))</f>
        <v>0</v>
      </c>
      <c r="T6" s="36">
        <f>(O6-(MAX($O$3:O6)))/(MAX($O$3:O6))</f>
        <v>0</v>
      </c>
      <c r="U6" s="37"/>
      <c r="V6" s="35"/>
      <c r="W6" s="35"/>
      <c r="X6" s="39" t="s">
        <v>45</v>
      </c>
      <c r="Y6" s="103" t="s">
        <v>143</v>
      </c>
      <c r="Z6" s="103" t="s">
        <v>53</v>
      </c>
    </row>
    <row r="7" spans="1:28" s="31" customFormat="1">
      <c r="A7" s="33">
        <f t="shared" si="2"/>
        <v>42916</v>
      </c>
      <c r="B7" s="62">
        <v>348.26</v>
      </c>
      <c r="C7" s="102">
        <v>182.72200000000001</v>
      </c>
      <c r="D7" s="62">
        <v>4678.3599999999997</v>
      </c>
      <c r="E7" s="62">
        <v>2021.31</v>
      </c>
      <c r="F7" s="36">
        <f t="shared" si="0"/>
        <v>1.368028874141336E-2</v>
      </c>
      <c r="G7" s="36">
        <f t="shared" si="0"/>
        <v>4.5741931936886804E-3</v>
      </c>
      <c r="H7" s="36">
        <f t="shared" si="0"/>
        <v>6.2417461403123653E-3</v>
      </c>
      <c r="I7" s="36">
        <f t="shared" si="0"/>
        <v>-1.0032915871776016E-3</v>
      </c>
      <c r="J7" s="106">
        <v>6.0056429356336602E-3</v>
      </c>
      <c r="K7" s="80">
        <f t="shared" si="3"/>
        <v>10241.521615198355</v>
      </c>
      <c r="L7" s="34">
        <f t="shared" si="1"/>
        <v>10422.265449648363</v>
      </c>
      <c r="M7" s="34">
        <f t="shared" si="1"/>
        <v>10544.533314866752</v>
      </c>
      <c r="N7" s="34">
        <f t="shared" si="4"/>
        <v>10179.797333611854</v>
      </c>
      <c r="O7" s="34">
        <f t="shared" si="4"/>
        <v>10196.17437273635</v>
      </c>
      <c r="P7" s="36">
        <f>(K7-(MAX($K$3:K7)))/(MAX($K$3:K7))</f>
        <v>0</v>
      </c>
      <c r="Q7" s="36">
        <f>(L7-(MAX($L$3:L7)))/(MAX($L$3:L7))</f>
        <v>0</v>
      </c>
      <c r="R7" s="36">
        <f>(M7-(MAX($M$3:M7)))/(MAX($M$3:M7))</f>
        <v>0</v>
      </c>
      <c r="S7" s="36">
        <f>(N7-(MAX($N$3:N7)))/(MAX($N$3:N7))</f>
        <v>0</v>
      </c>
      <c r="T7" s="36">
        <f>(O7-(MAX($O$3:O7)))/(MAX($O$3:O7))</f>
        <v>-1.0032915871776519E-3</v>
      </c>
      <c r="U7" s="37"/>
      <c r="V7" s="35" t="s">
        <v>17</v>
      </c>
      <c r="W7" s="35"/>
      <c r="X7" s="40">
        <f>STDEV(J4:J1049)*SQRT(12)</f>
        <v>0.10531894701402549</v>
      </c>
      <c r="Y7" s="40">
        <f>STDEV(I4:I935)*SQRT(12)</f>
        <v>3.2719763042290427E-2</v>
      </c>
      <c r="Z7" s="40">
        <f>STDEV(G4:G935)*SQRT(12)</f>
        <v>9.9546587859090402E-2</v>
      </c>
    </row>
    <row r="8" spans="1:28" s="31" customFormat="1">
      <c r="A8" s="33">
        <f t="shared" si="2"/>
        <v>42947</v>
      </c>
      <c r="B8" s="62">
        <v>357.27</v>
      </c>
      <c r="C8" s="102">
        <v>187.386</v>
      </c>
      <c r="D8" s="62">
        <v>4774.5600000000004</v>
      </c>
      <c r="E8" s="62">
        <v>2030.01</v>
      </c>
      <c r="F8" s="36">
        <f t="shared" si="0"/>
        <v>2.5871475334520166E-2</v>
      </c>
      <c r="G8" s="36">
        <f t="shared" si="0"/>
        <v>2.5525114655049697E-2</v>
      </c>
      <c r="H8" s="36">
        <f t="shared" si="0"/>
        <v>2.0562761309518951E-2</v>
      </c>
      <c r="I8" s="36">
        <f t="shared" si="0"/>
        <v>4.3041393947489404E-3</v>
      </c>
      <c r="J8" s="106">
        <v>1.94821786135435E-2</v>
      </c>
      <c r="K8" s="80">
        <f t="shared" si="3"/>
        <v>10441.048768580116</v>
      </c>
      <c r="L8" s="34">
        <f t="shared" si="1"/>
        <v>10691.904833158762</v>
      </c>
      <c r="M8" s="34">
        <f t="shared" si="1"/>
        <v>10813.683736712717</v>
      </c>
      <c r="N8" s="34">
        <f t="shared" si="4"/>
        <v>10389.122076362191</v>
      </c>
      <c r="O8" s="34">
        <f t="shared" si="4"/>
        <v>10240.060128529774</v>
      </c>
      <c r="P8" s="36">
        <f>(K8-(MAX($K$3:K8)))/(MAX($K$3:K8))</f>
        <v>0</v>
      </c>
      <c r="Q8" s="36">
        <f>(L8-(MAX($L$3:L8)))/(MAX($L$3:L8))</f>
        <v>0</v>
      </c>
      <c r="R8" s="36">
        <f>(M8-(MAX($M$3:M8)))/(MAX($M$3:M8))</f>
        <v>0</v>
      </c>
      <c r="S8" s="36">
        <f>(N8-(MAX($N$3:N8)))/(MAX($N$3:N8))</f>
        <v>0</v>
      </c>
      <c r="T8" s="36">
        <f>(O8-(MAX($O$3:O8)))/(MAX($O$3:O8))</f>
        <v>0</v>
      </c>
      <c r="U8" s="37"/>
      <c r="V8" s="35" t="s">
        <v>19</v>
      </c>
      <c r="W8" s="35"/>
      <c r="X8" s="63">
        <f>COVAR(J4:J52,I4:I52)/VAR(I4:I52)</f>
        <v>0.47682193529274375</v>
      </c>
      <c r="Y8" s="38"/>
      <c r="Z8" s="183">
        <f>COVAR(G4:G52,F4:F52)/VAR(F4:F52)</f>
        <v>0.51680370441826451</v>
      </c>
    </row>
    <row r="9" spans="1:28" s="31" customFormat="1">
      <c r="A9" s="33">
        <f t="shared" si="2"/>
        <v>42978</v>
      </c>
      <c r="B9" s="62">
        <v>358.59</v>
      </c>
      <c r="C9" s="102">
        <v>189.05699999999999</v>
      </c>
      <c r="D9" s="62">
        <v>4789.18</v>
      </c>
      <c r="E9" s="62">
        <v>2048.21</v>
      </c>
      <c r="F9" s="36">
        <f t="shared" si="0"/>
        <v>3.6946846922496501E-3</v>
      </c>
      <c r="G9" s="36">
        <f t="shared" si="0"/>
        <v>8.9174217924496979E-3</v>
      </c>
      <c r="H9" s="36">
        <f t="shared" si="0"/>
        <v>3.0620622633290573E-3</v>
      </c>
      <c r="I9" s="36">
        <f t="shared" si="0"/>
        <v>8.9654730764874291E-3</v>
      </c>
      <c r="J9" s="106">
        <v>-1.0745903709903401E-3</v>
      </c>
      <c r="K9" s="80">
        <f t="shared" si="3"/>
        <v>10429.828918110359</v>
      </c>
      <c r="L9" s="34">
        <f t="shared" si="1"/>
        <v>10731.408050276823</v>
      </c>
      <c r="M9" s="34">
        <f t="shared" si="1"/>
        <v>10910.113915723137</v>
      </c>
      <c r="N9" s="34">
        <f t="shared" si="4"/>
        <v>10420.93421502134</v>
      </c>
      <c r="O9" s="34">
        <f t="shared" si="4"/>
        <v>10331.86711191372</v>
      </c>
      <c r="P9" s="36">
        <f>(K9-(MAX($K$3:K9)))/(MAX($K$3:K9))</f>
        <v>-1.0745903709903791E-3</v>
      </c>
      <c r="Q9" s="36">
        <f>(L9-(MAX($L$3:L9)))/(MAX($L$3:L9))</f>
        <v>0</v>
      </c>
      <c r="R9" s="36">
        <f>(M9-(MAX($M$3:M9)))/(MAX($M$3:M9))</f>
        <v>0</v>
      </c>
      <c r="S9" s="36">
        <f>(N9-(MAX($N$3:N9)))/(MAX($N$3:N9))</f>
        <v>0</v>
      </c>
      <c r="T9" s="36">
        <f>(O9-(MAX($O$3:O9)))/(MAX($O$3:O9))</f>
        <v>0</v>
      </c>
      <c r="U9" s="37"/>
      <c r="V9" s="35" t="s">
        <v>20</v>
      </c>
      <c r="W9" s="35"/>
      <c r="X9" s="40">
        <f>(X30-X28)/X28</f>
        <v>0.55979999999999996</v>
      </c>
      <c r="Y9" s="40">
        <f>(Z30-Z28)/Z28</f>
        <v>0.16592346727736784</v>
      </c>
      <c r="Z9" s="40">
        <f>(AA30-AA28)/AA28</f>
        <v>0.79263794870455972</v>
      </c>
    </row>
    <row r="10" spans="1:28" s="31" customFormat="1">
      <c r="A10" s="33">
        <f t="shared" si="2"/>
        <v>43008</v>
      </c>
      <c r="B10" s="62">
        <v>363.68709999999999</v>
      </c>
      <c r="C10" s="102">
        <v>190.70699999999999</v>
      </c>
      <c r="D10" s="62">
        <v>4887.97</v>
      </c>
      <c r="E10" s="62">
        <v>2038.46</v>
      </c>
      <c r="F10" s="36">
        <f t="shared" si="0"/>
        <v>1.4214283722357113E-2</v>
      </c>
      <c r="G10" s="36">
        <f t="shared" si="0"/>
        <v>8.7275266189561496E-3</v>
      </c>
      <c r="H10" s="36">
        <f t="shared" si="0"/>
        <v>2.0627748382813005E-2</v>
      </c>
      <c r="I10" s="36">
        <f t="shared" si="0"/>
        <v>-4.7602540755098399E-3</v>
      </c>
      <c r="J10" s="106">
        <v>3.1917158048600002E-3</v>
      </c>
      <c r="K10" s="80">
        <f t="shared" si="3"/>
        <v>10463.117967910277</v>
      </c>
      <c r="L10" s="34">
        <f t="shared" si="1"/>
        <v>10883.947329043845</v>
      </c>
      <c r="M10" s="34">
        <f t="shared" si="1"/>
        <v>11005.332225338454</v>
      </c>
      <c r="N10" s="34">
        <f t="shared" si="4"/>
        <v>10635.894623922646</v>
      </c>
      <c r="O10" s="34">
        <f t="shared" si="4"/>
        <v>10282.684799386607</v>
      </c>
      <c r="P10" s="36">
        <f>(K10-(MAX($K$3:K10)))/(MAX($K$3:K10))</f>
        <v>0</v>
      </c>
      <c r="Q10" s="36">
        <f>(L10-(MAX($L$3:L10)))/(MAX($L$3:L10))</f>
        <v>0</v>
      </c>
      <c r="R10" s="36">
        <f>(M10-(MAX($M$3:M10)))/(MAX($M$3:M10))</f>
        <v>0</v>
      </c>
      <c r="S10" s="36">
        <f>(N10-(MAX($N$3:N10)))/(MAX($N$3:N10))</f>
        <v>0</v>
      </c>
      <c r="T10" s="36">
        <f>(O10-(MAX($O$3:O10)))/(MAX($O$3:O10))</f>
        <v>-4.760254075509807E-3</v>
      </c>
      <c r="U10" s="37"/>
      <c r="V10" s="35" t="s">
        <v>21</v>
      </c>
      <c r="W10" s="35"/>
      <c r="X10" s="40">
        <f>AB28</f>
        <v>0.11501878345456373</v>
      </c>
      <c r="Y10" s="40">
        <f>AD28</f>
        <v>3.8310767215220753E-2</v>
      </c>
      <c r="Z10" s="40">
        <f>AE28</f>
        <v>0.15366526505828859</v>
      </c>
    </row>
    <row r="11" spans="1:28" s="31" customFormat="1">
      <c r="A11" s="33">
        <f t="shared" si="2"/>
        <v>43039</v>
      </c>
      <c r="B11" s="62">
        <v>369.80070000000001</v>
      </c>
      <c r="C11" s="102">
        <v>196.56899999999999</v>
      </c>
      <c r="D11" s="62">
        <v>5002.03</v>
      </c>
      <c r="E11" s="62">
        <v>2039.64</v>
      </c>
      <c r="F11" s="36">
        <f t="shared" si="0"/>
        <v>1.6810054577135247E-2</v>
      </c>
      <c r="G11" s="36">
        <f t="shared" si="0"/>
        <v>3.0738252922021703E-2</v>
      </c>
      <c r="H11" s="36">
        <f t="shared" si="0"/>
        <v>2.3334840434781512E-2</v>
      </c>
      <c r="I11" s="36">
        <f t="shared" si="0"/>
        <v>5.7886836141007869E-4</v>
      </c>
      <c r="J11" s="106">
        <v>1.8909942358732199E-2</v>
      </c>
      <c r="K11" s="80">
        <f t="shared" si="3"/>
        <v>10660.974925576076</v>
      </c>
      <c r="L11" s="34">
        <f t="shared" si="1"/>
        <v>11066.907077659738</v>
      </c>
      <c r="M11" s="34">
        <f t="shared" si="1"/>
        <v>11343.616910771783</v>
      </c>
      <c r="N11" s="34">
        <f t="shared" si="4"/>
        <v>10884.081527853032</v>
      </c>
      <c r="O11" s="34">
        <f t="shared" si="4"/>
        <v>10288.637120287323</v>
      </c>
      <c r="P11" s="36">
        <f>(K11-(MAX($K$3:K11)))/(MAX($K$3:K11))</f>
        <v>0</v>
      </c>
      <c r="Q11" s="36">
        <f>(L11-(MAX($L$3:L11)))/(MAX($L$3:L11))</f>
        <v>0</v>
      </c>
      <c r="R11" s="36">
        <f>(M11-(MAX($M$3:M11)))/(MAX($M$3:M11))</f>
        <v>0</v>
      </c>
      <c r="S11" s="36">
        <f>(N11-(MAX($N$3:N11)))/(MAX($N$3:N11))</f>
        <v>0</v>
      </c>
      <c r="T11" s="36">
        <f>(O11-(MAX($O$3:O11)))/(MAX($O$3:O11))</f>
        <v>-4.1841412745763787E-3</v>
      </c>
      <c r="U11" s="37"/>
      <c r="V11" s="35" t="s">
        <v>22</v>
      </c>
      <c r="W11" s="35"/>
      <c r="X11" s="65">
        <f>((X10-X3)-X8*(Y10-X3))</f>
        <v>9.6658766770999188E-2</v>
      </c>
      <c r="Z11" s="40">
        <f>((Z10-X3)-Z8*(Y10-X3))</f>
        <v>0.13378059289803873</v>
      </c>
    </row>
    <row r="12" spans="1:28" s="31" customFormat="1">
      <c r="A12" s="33">
        <f t="shared" si="2"/>
        <v>43069</v>
      </c>
      <c r="B12" s="62">
        <v>369.65649999999999</v>
      </c>
      <c r="C12" s="102">
        <v>199.07599999999999</v>
      </c>
      <c r="D12" s="62">
        <v>5155.4399999999996</v>
      </c>
      <c r="E12" s="62">
        <v>2037.02</v>
      </c>
      <c r="F12" s="36">
        <f t="shared" si="0"/>
        <v>-3.8993977026002824E-4</v>
      </c>
      <c r="G12" s="36">
        <f t="shared" si="0"/>
        <v>1.2753791289572547E-2</v>
      </c>
      <c r="H12" s="36">
        <f t="shared" si="0"/>
        <v>3.0669548163445581E-2</v>
      </c>
      <c r="I12" s="36">
        <f t="shared" si="0"/>
        <v>-1.2845404090918722E-3</v>
      </c>
      <c r="J12" s="106">
        <v>6.2066512182354901E-3</v>
      </c>
      <c r="K12" s="80">
        <f t="shared" si="3"/>
        <v>10727.143878585481</v>
      </c>
      <c r="L12" s="34">
        <f t="shared" si="1"/>
        <v>11062.591650456387</v>
      </c>
      <c r="M12" s="34">
        <f t="shared" si="1"/>
        <v>11488.291033320633</v>
      </c>
      <c r="N12" s="34">
        <f t="shared" si="4"/>
        <v>11217.891390486389</v>
      </c>
      <c r="O12" s="34">
        <f t="shared" si="4"/>
        <v>10275.420950151831</v>
      </c>
      <c r="P12" s="36">
        <f>(K12-(MAX($K$3:K12)))/(MAX($K$3:K12))</f>
        <v>0</v>
      </c>
      <c r="Q12" s="36">
        <f>(L12-(MAX($L$3:L12)))/(MAX($L$3:L12))</f>
        <v>-3.8993977026002168E-4</v>
      </c>
      <c r="R12" s="36">
        <f>(M12-(MAX($M$3:M12)))/(MAX($M$3:M12))</f>
        <v>0</v>
      </c>
      <c r="S12" s="36">
        <f>(N12-(MAX($N$3:N12)))/(MAX($N$3:N12))</f>
        <v>0</v>
      </c>
      <c r="T12" s="36">
        <f>(O12-(MAX($O$3:O12)))/(MAX($O$3:O12))</f>
        <v>-5.4633069851237927E-3</v>
      </c>
      <c r="U12" s="37"/>
      <c r="V12" s="35" t="s">
        <v>23</v>
      </c>
      <c r="W12" s="35"/>
      <c r="X12" s="65">
        <f>RSQ(J4:J52,I4:I52)</f>
        <v>2.2868065130263682E-2</v>
      </c>
      <c r="Z12" s="40">
        <f>RSQ(G4:G52,F4:F52)</f>
        <v>0.65657538744912225</v>
      </c>
    </row>
    <row r="13" spans="1:28" s="31" customFormat="1">
      <c r="A13" s="33">
        <f t="shared" si="2"/>
        <v>43100</v>
      </c>
      <c r="B13" s="62">
        <v>370.64710000000002</v>
      </c>
      <c r="C13" s="102">
        <v>197.50299999999999</v>
      </c>
      <c r="D13" s="62">
        <v>5212.76</v>
      </c>
      <c r="E13" s="62">
        <v>2046.37</v>
      </c>
      <c r="F13" s="36">
        <f t="shared" si="0"/>
        <v>2.6797851518911564E-3</v>
      </c>
      <c r="G13" s="36">
        <f t="shared" si="0"/>
        <v>-7.9015049528823322E-3</v>
      </c>
      <c r="H13" s="36">
        <f t="shared" si="0"/>
        <v>1.1118352652732089E-2</v>
      </c>
      <c r="I13" s="36">
        <f t="shared" si="0"/>
        <v>4.5900383894119656E-3</v>
      </c>
      <c r="J13" s="106">
        <v>-8.1259908620268096E-4</v>
      </c>
      <c r="K13" s="80">
        <f t="shared" si="3"/>
        <v>10718.427011272177</v>
      </c>
      <c r="L13" s="34">
        <f t="shared" si="1"/>
        <v>11092.237019302715</v>
      </c>
      <c r="M13" s="34">
        <f t="shared" si="1"/>
        <v>11397.516244820696</v>
      </c>
      <c r="N13" s="34">
        <f t="shared" si="4"/>
        <v>11342.615862985864</v>
      </c>
      <c r="O13" s="34">
        <f t="shared" si="4"/>
        <v>10322.585526780396</v>
      </c>
      <c r="P13" s="36">
        <f>(K13-(MAX($K$3:K13)))/(MAX($K$3:K13))</f>
        <v>-8.1259908620272693E-4</v>
      </c>
      <c r="Q13" s="36">
        <f>(L13-(MAX($L$3:L13)))/(MAX($L$3:L13))</f>
        <v>0</v>
      </c>
      <c r="R13" s="36">
        <f>(M13-(MAX($M$3:M13)))/(MAX($M$3:M13))</f>
        <v>-7.9015049528823721E-3</v>
      </c>
      <c r="S13" s="36">
        <f>(N13-(MAX($N$3:N13)))/(MAX($N$3:N13))</f>
        <v>0</v>
      </c>
      <c r="T13" s="36">
        <f>(O13-(MAX($O$3:O13)))/(MAX($O$3:O13))</f>
        <v>-8.9834538450662277E-4</v>
      </c>
      <c r="U13" s="37"/>
      <c r="V13" t="s">
        <v>36</v>
      </c>
      <c r="W13" s="35"/>
      <c r="X13" s="88">
        <f>CORREL(J4:J52,I4:I52)</f>
        <v>0.1512219069125359</v>
      </c>
      <c r="Z13" s="88">
        <f>CORREL(G4:G52,F4:F52)</f>
        <v>0.81029339590615079</v>
      </c>
    </row>
    <row r="14" spans="1:28" s="31" customFormat="1">
      <c r="A14" s="33">
        <f t="shared" si="2"/>
        <v>43131</v>
      </c>
      <c r="B14" s="62">
        <v>385.23950000000002</v>
      </c>
      <c r="C14" s="102">
        <v>202.31</v>
      </c>
      <c r="D14" s="62">
        <v>5511.21</v>
      </c>
      <c r="E14" s="62">
        <v>2022.8</v>
      </c>
      <c r="F14" s="36">
        <f t="shared" si="0"/>
        <v>3.9370063869378802E-2</v>
      </c>
      <c r="G14" s="36">
        <f t="shared" si="0"/>
        <v>2.4338870801962509E-2</v>
      </c>
      <c r="H14" s="36">
        <f t="shared" si="0"/>
        <v>5.7253738902232287E-2</v>
      </c>
      <c r="I14" s="36">
        <f t="shared" si="0"/>
        <v>-1.1517956185831513E-2</v>
      </c>
      <c r="J14" s="106">
        <v>2.2893851660244598E-2</v>
      </c>
      <c r="K14" s="80">
        <f t="shared" si="3"/>
        <v>10963.813089299401</v>
      </c>
      <c r="L14" s="34">
        <f t="shared" si="1"/>
        <v>11528.939099206951</v>
      </c>
      <c r="M14" s="34">
        <f t="shared" si="1"/>
        <v>11674.918920166656</v>
      </c>
      <c r="N14" s="34">
        <f t="shared" si="4"/>
        <v>11992.023030073575</v>
      </c>
      <c r="O14" s="34">
        <f t="shared" si="4"/>
        <v>10203.690438958442</v>
      </c>
      <c r="P14" s="36">
        <f>(K14-(MAX($K$3:K14)))/(MAX($K$3:K14))</f>
        <v>0</v>
      </c>
      <c r="Q14" s="36">
        <f>(L14-(MAX($L$3:L14)))/(MAX($L$3:L14))</f>
        <v>0</v>
      </c>
      <c r="R14" s="36">
        <f>(M14-(MAX($M$3:M14)))/(MAX($M$3:M14))</f>
        <v>0</v>
      </c>
      <c r="S14" s="36">
        <f>(N14-(MAX($N$3:N14)))/(MAX($N$3:N14))</f>
        <v>0</v>
      </c>
      <c r="T14" s="36">
        <f>(O14-(MAX($O$3:O14)))/(MAX($O$3:O14))</f>
        <v>-1.2405954467559615E-2</v>
      </c>
      <c r="U14" s="37"/>
      <c r="V14" s="35" t="s">
        <v>24</v>
      </c>
      <c r="W14" s="35"/>
      <c r="X14" s="38">
        <f>(X10-X3)/X7</f>
        <v>1.0904190244065968</v>
      </c>
      <c r="Y14" s="38">
        <f>(Y10-X3)/Y7</f>
        <v>1.1654658735129808</v>
      </c>
      <c r="Z14" s="38">
        <f>(Z10-X3)/Z7</f>
        <v>1.5418736931049146</v>
      </c>
    </row>
    <row r="15" spans="1:28" s="31" customFormat="1">
      <c r="A15" s="33">
        <f t="shared" si="2"/>
        <v>43159</v>
      </c>
      <c r="B15" s="62">
        <v>379.10270000000003</v>
      </c>
      <c r="C15" s="102">
        <v>201.107</v>
      </c>
      <c r="D15" s="62">
        <v>5308.09</v>
      </c>
      <c r="E15" s="62">
        <v>2003.63</v>
      </c>
      <c r="F15" s="36">
        <f t="shared" si="0"/>
        <v>-1.5929830663781841E-2</v>
      </c>
      <c r="G15" s="36">
        <f t="shared" si="0"/>
        <v>-5.9463200039543418E-3</v>
      </c>
      <c r="H15" s="36">
        <f t="shared" si="0"/>
        <v>-3.6855790289246793E-2</v>
      </c>
      <c r="I15" s="36">
        <f t="shared" si="0"/>
        <v>-9.4769626260627904E-3</v>
      </c>
      <c r="J15" s="106">
        <v>-6.4736107759128299E-3</v>
      </c>
      <c r="K15" s="80">
        <f t="shared" si="3"/>
        <v>10892.837630739419</v>
      </c>
      <c r="L15" s="34">
        <f t="shared" si="1"/>
        <v>11345.28505162353</v>
      </c>
      <c r="M15" s="34">
        <f t="shared" si="1"/>
        <v>11605.496116247125</v>
      </c>
      <c r="N15" s="34">
        <f t="shared" si="4"/>
        <v>11550.047544133366</v>
      </c>
      <c r="O15" s="34">
        <f t="shared" si="4"/>
        <v>10106.990446020518</v>
      </c>
      <c r="P15" s="36">
        <f>(K15-(MAX($K$3:K15)))/(MAX($K$3:K15))</f>
        <v>-6.4736107759127753E-3</v>
      </c>
      <c r="Q15" s="36">
        <f>(L15-(MAX($L$3:L15)))/(MAX($L$3:L15))</f>
        <v>-1.592983066378189E-2</v>
      </c>
      <c r="R15" s="36">
        <f>(M15-(MAX($M$3:M15)))/(MAX($M$3:M15))</f>
        <v>-5.9463200039542863E-3</v>
      </c>
      <c r="S15" s="36">
        <f>(N15-(MAX($N$3:N15)))/(MAX($N$3:N15))</f>
        <v>-3.6855790289246765E-2</v>
      </c>
      <c r="T15" s="36">
        <f>(O15-(MAX($O$3:O15)))/(MAX($O$3:O15))</f>
        <v>-2.1765346326792719E-2</v>
      </c>
      <c r="U15" s="37"/>
      <c r="V15" s="35" t="s">
        <v>25</v>
      </c>
      <c r="W15" s="35"/>
      <c r="X15" s="31">
        <f>COUNTIF(J:J,"&gt;0")</f>
        <v>34</v>
      </c>
      <c r="Y15" s="31">
        <f>COUNTIF(I:I,"&gt;0")</f>
        <v>29</v>
      </c>
      <c r="Z15" s="31">
        <f>COUNTIF(G:G,"&gt;0")</f>
        <v>38</v>
      </c>
    </row>
    <row r="16" spans="1:28" s="31" customFormat="1">
      <c r="A16" s="33">
        <f t="shared" si="2"/>
        <v>43190</v>
      </c>
      <c r="B16" s="62">
        <v>379.59930000000003</v>
      </c>
      <c r="C16" s="102">
        <v>202.84200000000001</v>
      </c>
      <c r="D16" s="62">
        <v>5173.1899999999996</v>
      </c>
      <c r="E16" s="62">
        <v>2016.48</v>
      </c>
      <c r="F16" s="36">
        <f t="shared" si="0"/>
        <v>1.3099352761138938E-3</v>
      </c>
      <c r="G16" s="36">
        <f t="shared" si="0"/>
        <v>8.6272481813165491E-3</v>
      </c>
      <c r="H16" s="36">
        <f t="shared" si="0"/>
        <v>-2.5414037817746205E-2</v>
      </c>
      <c r="I16" s="36">
        <f t="shared" si="0"/>
        <v>6.4133597520499297E-3</v>
      </c>
      <c r="J16" s="106">
        <v>-3.4752840959805598E-3</v>
      </c>
      <c r="K16" s="80">
        <f t="shared" si="3"/>
        <v>10854.981925361213</v>
      </c>
      <c r="L16" s="34">
        <f t="shared" si="1"/>
        <v>11360.14664073022</v>
      </c>
      <c r="M16" s="34">
        <f t="shared" si="1"/>
        <v>11705.619611509293</v>
      </c>
      <c r="N16" s="34">
        <f t="shared" si="4"/>
        <v>11256.514199049994</v>
      </c>
      <c r="O16" s="34">
        <f t="shared" si="4"/>
        <v>10171.81021176138</v>
      </c>
      <c r="P16" s="36">
        <f>(K16-(MAX($K$3:K16)))/(MAX($K$3:K16))</f>
        <v>-9.9263972353201262E-3</v>
      </c>
      <c r="Q16" s="36">
        <f>(L16-(MAX($L$3:L16)))/(MAX($L$3:L16))</f>
        <v>-1.4640762434797006E-2</v>
      </c>
      <c r="R16" s="36">
        <f>(M16-(MAX($M$3:M16)))/(MAX($M$3:M16))</f>
        <v>0</v>
      </c>
      <c r="S16" s="36">
        <f>(N16-(MAX($N$3:N16)))/(MAX($N$3:N16))</f>
        <v>-6.1333173658779071E-2</v>
      </c>
      <c r="T16" s="36">
        <f>(O16-(MAX($O$3:O16)))/(MAX($O$3:O16))</f>
        <v>-1.5491575570864405E-2</v>
      </c>
      <c r="U16" s="37"/>
      <c r="V16" s="35" t="s">
        <v>26</v>
      </c>
      <c r="W16" s="35"/>
      <c r="X16" s="41">
        <f>X15/$X$4</f>
        <v>0.69387755102040816</v>
      </c>
      <c r="Y16" s="41">
        <f>Y15/$X$4</f>
        <v>0.59183673469387754</v>
      </c>
      <c r="Z16" s="41">
        <f>Z15/$X$4</f>
        <v>0.77551020408163263</v>
      </c>
    </row>
    <row r="17" spans="1:35" s="31" customFormat="1">
      <c r="A17" s="33">
        <f t="shared" si="2"/>
        <v>43220</v>
      </c>
      <c r="B17" s="62">
        <v>378.96530000000001</v>
      </c>
      <c r="C17" s="102">
        <v>203.71899999999999</v>
      </c>
      <c r="D17" s="62">
        <v>5193.04</v>
      </c>
      <c r="E17" s="62">
        <v>2001.48</v>
      </c>
      <c r="F17" s="36">
        <f t="shared" si="0"/>
        <v>-1.6701822158260438E-3</v>
      </c>
      <c r="G17" s="36">
        <f t="shared" si="0"/>
        <v>4.3235621814021741E-3</v>
      </c>
      <c r="H17" s="36">
        <f t="shared" si="0"/>
        <v>3.8370908472336041E-3</v>
      </c>
      <c r="I17" s="36">
        <f t="shared" si="0"/>
        <v>-7.4387050702213742E-3</v>
      </c>
      <c r="J17" s="106">
        <v>2.6451150153427201E-3</v>
      </c>
      <c r="K17" s="80">
        <f t="shared" si="3"/>
        <v>10883.69460104326</v>
      </c>
      <c r="L17" s="34">
        <f t="shared" si="1"/>
        <v>11341.173125841697</v>
      </c>
      <c r="M17" s="34">
        <f t="shared" si="1"/>
        <v>11756.229585771494</v>
      </c>
      <c r="N17" s="34">
        <f t="shared" si="4"/>
        <v>11299.706466654923</v>
      </c>
      <c r="O17" s="34">
        <f t="shared" si="4"/>
        <v>10096.145115565821</v>
      </c>
      <c r="P17" s="36">
        <f>(K17-(MAX($K$3:K17)))/(MAX($K$3:K17))</f>
        <v>-7.3075386823527756E-3</v>
      </c>
      <c r="Q17" s="36">
        <f>(L17-(MAX($L$3:L17)))/(MAX($L$3:L17))</f>
        <v>-1.628649190957826E-2</v>
      </c>
      <c r="R17" s="36">
        <f>(M17-(MAX($M$3:M17)))/(MAX($M$3:M17))</f>
        <v>0</v>
      </c>
      <c r="S17" s="36">
        <f>(N17-(MAX($N$3:N17)))/(MAX($N$3:N17))</f>
        <v>-5.7731423770823437E-2</v>
      </c>
      <c r="T17" s="36">
        <f>(O17-(MAX($O$3:O17)))/(MAX($O$3:O17))</f>
        <v>-2.2815043379341017E-2</v>
      </c>
      <c r="U17" s="37"/>
      <c r="V17" s="35" t="s">
        <v>27</v>
      </c>
      <c r="W17" s="35"/>
      <c r="X17" s="42">
        <f>MIN(P4:P52)</f>
        <v>-0.13953311535244467</v>
      </c>
      <c r="Y17" s="42">
        <f>MIN(T4:T52)</f>
        <v>-3.5643655237443658E-2</v>
      </c>
      <c r="Z17" s="42">
        <f>MIN(R4:R52)</f>
        <v>-0.16010930946931626</v>
      </c>
      <c r="AF17" s="43"/>
      <c r="AG17" s="43"/>
    </row>
    <row r="18" spans="1:35">
      <c r="A18" s="33">
        <f t="shared" si="2"/>
        <v>43251</v>
      </c>
      <c r="B18" s="62">
        <v>393.28269999999998</v>
      </c>
      <c r="C18" s="102">
        <v>204.51499999999999</v>
      </c>
      <c r="D18" s="62">
        <v>5318.1</v>
      </c>
      <c r="E18" s="62">
        <v>2015.76</v>
      </c>
      <c r="F18" s="36">
        <f t="shared" si="0"/>
        <v>3.7780240037808221E-2</v>
      </c>
      <c r="G18" s="36">
        <f t="shared" si="0"/>
        <v>3.907342957701454E-3</v>
      </c>
      <c r="H18" s="36">
        <f t="shared" si="0"/>
        <v>2.4082233142822096E-2</v>
      </c>
      <c r="I18" s="36">
        <f t="shared" si="0"/>
        <v>7.1347203069729304E-3</v>
      </c>
      <c r="J18" s="106">
        <v>2.1791099288637102E-2</v>
      </c>
      <c r="K18" s="80">
        <f t="shared" si="3"/>
        <v>11120.862270721798</v>
      </c>
      <c r="L18" s="34">
        <f t="shared" si="1"/>
        <v>11769.645368846335</v>
      </c>
      <c r="M18" s="34">
        <f t="shared" si="1"/>
        <v>11802.16520665258</v>
      </c>
      <c r="N18" s="34">
        <f t="shared" si="4"/>
        <v>11571.828632230361</v>
      </c>
      <c r="O18" s="34">
        <f t="shared" si="4"/>
        <v>10168.178287143994</v>
      </c>
      <c r="P18" s="36">
        <f>(K18-(MAX($K$3:K18)))/(MAX($K$3:K18))</f>
        <v>0</v>
      </c>
      <c r="Q18" s="36">
        <f>(L18-(MAX($L$3:L18)))/(MAX($L$3:L18))</f>
        <v>0</v>
      </c>
      <c r="R18" s="36">
        <f>(M18-(MAX($M$3:M18)))/(MAX($M$3:M18))</f>
        <v>0</v>
      </c>
      <c r="S18" s="36">
        <f>(N18-(MAX($N$3:N18)))/(MAX($N$3:N18))</f>
        <v>-3.5039492234917403E-2</v>
      </c>
      <c r="T18" s="36">
        <f>(O18-(MAX($O$3:O18)))/(MAX($O$3:O18))</f>
        <v>-1.584310202567122E-2</v>
      </c>
      <c r="U18" s="37"/>
      <c r="AA18" s="31"/>
      <c r="AB18" s="31"/>
      <c r="AC18" s="31"/>
      <c r="AD18" s="31"/>
      <c r="AE18" s="31"/>
      <c r="AF18" s="31"/>
      <c r="AG18" s="31"/>
      <c r="AH18" s="31"/>
      <c r="AI18" s="31"/>
    </row>
    <row r="19" spans="1:35" ht="15.75" thickBot="1">
      <c r="A19" s="33">
        <f t="shared" si="2"/>
        <v>43281</v>
      </c>
      <c r="B19" s="62">
        <v>392.7439</v>
      </c>
      <c r="C19" s="102">
        <v>202.899</v>
      </c>
      <c r="D19" s="62">
        <v>5350.83</v>
      </c>
      <c r="E19" s="62">
        <v>2013.28</v>
      </c>
      <c r="F19" s="36">
        <f t="shared" si="0"/>
        <v>-1.3700068678331734E-3</v>
      </c>
      <c r="G19" s="36">
        <f t="shared" si="0"/>
        <v>-7.9016209080018385E-3</v>
      </c>
      <c r="H19" s="36">
        <f t="shared" si="0"/>
        <v>6.154453658261394E-3</v>
      </c>
      <c r="I19" s="36">
        <f t="shared" si="0"/>
        <v>-1.2303051950629529E-3</v>
      </c>
      <c r="J19" s="106">
        <v>1.5752645263480799E-2</v>
      </c>
      <c r="K19" s="80">
        <f t="shared" si="3"/>
        <v>11296.045269096507</v>
      </c>
      <c r="L19" s="34">
        <f t="shared" si="1"/>
        <v>11753.520873859055</v>
      </c>
      <c r="M19" s="34">
        <f t="shared" si="1"/>
        <v>11708.908971296003</v>
      </c>
      <c r="N19" s="34">
        <f t="shared" si="4"/>
        <v>11643.046915288765</v>
      </c>
      <c r="O19" s="34">
        <f t="shared" si="4"/>
        <v>10155.668324572995</v>
      </c>
      <c r="P19" s="36">
        <f>(K19-(MAX($K$3:K19)))/(MAX($K$3:K19))</f>
        <v>0</v>
      </c>
      <c r="Q19" s="36">
        <f>(L19-(MAX($L$3:L19)))/(MAX($L$3:L19))</f>
        <v>-1.3700068678331265E-3</v>
      </c>
      <c r="R19" s="36">
        <f>(M19-(MAX($M$3:M19)))/(MAX($M$3:M19))</f>
        <v>-7.9016209080017847E-3</v>
      </c>
      <c r="S19" s="36">
        <f>(N19-(MAX($N$3:N19)))/(MAX($N$3:N19))</f>
        <v>-2.91006875078248E-2</v>
      </c>
      <c r="T19" s="36">
        <f>(O19-(MAX($O$3:O19)))/(MAX($O$3:O19))</f>
        <v>-1.7053915370006029E-2</v>
      </c>
      <c r="U19" s="37"/>
    </row>
    <row r="20" spans="1:35" ht="15.75" thickBot="1">
      <c r="A20" s="33">
        <f t="shared" si="2"/>
        <v>43312</v>
      </c>
      <c r="B20" s="62">
        <v>394.34629999999999</v>
      </c>
      <c r="C20" s="102">
        <v>207.77600000000001</v>
      </c>
      <c r="D20" s="62">
        <v>5549.96</v>
      </c>
      <c r="E20" s="62">
        <v>2013.76</v>
      </c>
      <c r="F20" s="36">
        <f t="shared" si="0"/>
        <v>4.0800124457693876E-3</v>
      </c>
      <c r="G20" s="36">
        <f t="shared" si="0"/>
        <v>2.4036589633265937E-2</v>
      </c>
      <c r="H20" s="36">
        <f t="shared" si="0"/>
        <v>3.7214787238615266E-2</v>
      </c>
      <c r="I20" s="36">
        <f t="shared" si="0"/>
        <v>2.3841691170622958E-4</v>
      </c>
      <c r="J20" s="106">
        <v>1.40088500881908E-2</v>
      </c>
      <c r="K20" s="80">
        <f t="shared" si="3"/>
        <v>11454.289873860696</v>
      </c>
      <c r="L20" s="34">
        <f t="shared" ref="L20:O35" si="5">L19*(1+F20)</f>
        <v>11801.47538530601</v>
      </c>
      <c r="M20" s="34">
        <f t="shared" si="5"/>
        <v>11990.351211292311</v>
      </c>
      <c r="N20" s="34">
        <f t="shared" si="4"/>
        <v>12076.340429050453</v>
      </c>
      <c r="O20" s="34">
        <f t="shared" si="4"/>
        <v>10158.089607651253</v>
      </c>
      <c r="P20" s="36">
        <f>(K20-(MAX($K$3:K20)))/(MAX($K$3:K20))</f>
        <v>0</v>
      </c>
      <c r="Q20" s="36">
        <f>(L20-(MAX($L$3:L20)))/(MAX($L$3:L20))</f>
        <v>0</v>
      </c>
      <c r="R20" s="36">
        <f>(M20-(MAX($M$3:M20)))/(MAX($M$3:M20))</f>
        <v>0</v>
      </c>
      <c r="S20" s="36">
        <f>(N20-(MAX($N$3:N20)))/(MAX($N$3:N20))</f>
        <v>0</v>
      </c>
      <c r="T20" s="36">
        <f>(O20-(MAX($O$3:O20)))/(MAX($O$3:O20))</f>
        <v>-1.6819564400134757E-2</v>
      </c>
      <c r="U20" s="37"/>
      <c r="V20" s="44"/>
      <c r="W20" s="45"/>
      <c r="X20" s="70" t="str">
        <f>K2</f>
        <v>PBXIX</v>
      </c>
      <c r="Y20" s="104" t="s">
        <v>186</v>
      </c>
      <c r="Z20" s="104" t="s">
        <v>144</v>
      </c>
      <c r="AA20" s="165" t="s">
        <v>145</v>
      </c>
      <c r="AB20" s="70" t="s">
        <v>45</v>
      </c>
      <c r="AC20" s="104" t="s">
        <v>187</v>
      </c>
      <c r="AD20" s="104" t="s">
        <v>144</v>
      </c>
      <c r="AE20" s="104" t="s">
        <v>145</v>
      </c>
    </row>
    <row r="21" spans="1:35">
      <c r="A21" s="33">
        <f t="shared" si="2"/>
        <v>43343</v>
      </c>
      <c r="B21" s="62">
        <v>404.3587</v>
      </c>
      <c r="C21" s="102">
        <v>209.65899999999999</v>
      </c>
      <c r="D21" s="62">
        <v>5730.8</v>
      </c>
      <c r="E21" s="62">
        <v>2026.72</v>
      </c>
      <c r="F21" s="36">
        <f t="shared" si="0"/>
        <v>2.5389866723739996E-2</v>
      </c>
      <c r="G21" s="36">
        <f t="shared" si="0"/>
        <v>9.0626443862620309E-3</v>
      </c>
      <c r="H21" s="36">
        <f t="shared" si="0"/>
        <v>3.2584018623557753E-2</v>
      </c>
      <c r="I21" s="36">
        <f t="shared" si="0"/>
        <v>6.4357222310504891E-3</v>
      </c>
      <c r="J21" s="106">
        <v>2.8214172336378601E-2</v>
      </c>
      <c r="K21" s="80">
        <f t="shared" si="3"/>
        <v>11777.46318235264</v>
      </c>
      <c r="L21" s="34">
        <f t="shared" si="5"/>
        <v>12101.113272482427</v>
      </c>
      <c r="M21" s="34">
        <f t="shared" si="5"/>
        <v>12099.015500386638</v>
      </c>
      <c r="N21" s="34">
        <f t="shared" si="5"/>
        <v>12469.836130495056</v>
      </c>
      <c r="O21" s="34">
        <f t="shared" si="5"/>
        <v>10223.464250764217</v>
      </c>
      <c r="P21" s="36">
        <f>(K21-(MAX($K$3:K21)))/(MAX($K$3:K21))</f>
        <v>0</v>
      </c>
      <c r="Q21" s="36">
        <f>(L21-(MAX($L$3:L21)))/(MAX($L$3:L21))</f>
        <v>0</v>
      </c>
      <c r="R21" s="36">
        <f>(M21-(MAX($M$3:M21)))/(MAX($M$3:M21))</f>
        <v>0</v>
      </c>
      <c r="S21" s="36">
        <f>(N21-(MAX($N$3:N21)))/(MAX($N$3:N21))</f>
        <v>0</v>
      </c>
      <c r="T21" s="36">
        <f>(O21-(MAX($O$3:O21)))/(MAX($O$3:O21))</f>
        <v>-1.0492088213610822E-2</v>
      </c>
      <c r="U21" s="37"/>
      <c r="V21" s="46" t="s">
        <v>5</v>
      </c>
      <c r="W21" s="47">
        <v>44196</v>
      </c>
      <c r="X21" s="82">
        <f t="shared" ref="X21:X30" si="6">SUMIF(A:A,$W21,K:K)</f>
        <v>15277</v>
      </c>
      <c r="Y21" s="82">
        <f t="shared" ref="Y21:Y30" si="7">SUMIF(A:A,$W21,M:M)</f>
        <v>15195.971925471462</v>
      </c>
      <c r="Z21" s="82">
        <f t="shared" ref="Z21:Z30" si="8">SUMIF(A:A,$W21,O:O)</f>
        <v>12066.161560113394</v>
      </c>
      <c r="AA21" s="166">
        <f t="shared" ref="AA21:AA30" si="9">SUMIF(A:A,$W21,N:N)</f>
        <v>16883.824767773574</v>
      </c>
      <c r="AB21" s="151">
        <f t="shared" ref="AB21:AE22" si="10">(X$30-X21)/X21</f>
        <v>2.1011978791647574E-2</v>
      </c>
      <c r="AC21" s="152">
        <f t="shared" si="10"/>
        <v>5.6818389437252148E-2</v>
      </c>
      <c r="AD21" s="152">
        <f t="shared" si="10"/>
        <v>-3.3724634409411279E-2</v>
      </c>
      <c r="AE21" s="153">
        <f t="shared" si="10"/>
        <v>6.1748728952811874E-2</v>
      </c>
    </row>
    <row r="22" spans="1:35">
      <c r="A22" s="33">
        <f t="shared" si="2"/>
        <v>43373</v>
      </c>
      <c r="B22" s="62">
        <v>401.59690000000001</v>
      </c>
      <c r="C22" s="102">
        <v>207.822</v>
      </c>
      <c r="D22" s="62">
        <v>5763.42</v>
      </c>
      <c r="E22" s="62">
        <v>2013.67</v>
      </c>
      <c r="F22" s="36">
        <f t="shared" si="0"/>
        <v>-6.8300743869242897E-3</v>
      </c>
      <c r="G22" s="36">
        <f t="shared" si="0"/>
        <v>-8.7618466176028198E-3</v>
      </c>
      <c r="H22" s="36">
        <f t="shared" si="0"/>
        <v>5.6920499755706011E-3</v>
      </c>
      <c r="I22" s="36">
        <f t="shared" si="0"/>
        <v>-6.4389752901239383E-3</v>
      </c>
      <c r="J22" s="106">
        <v>-5.8877118294500201E-4</v>
      </c>
      <c r="K22" s="80">
        <f t="shared" si="3"/>
        <v>11770.528951422675</v>
      </c>
      <c r="L22" s="34">
        <f t="shared" si="5"/>
        <v>12018.461768666775</v>
      </c>
      <c r="M22" s="34">
        <f t="shared" si="5"/>
        <v>11993.005782348251</v>
      </c>
      <c r="N22" s="34">
        <f t="shared" si="5"/>
        <v>12540.81506093701</v>
      </c>
      <c r="O22" s="34">
        <f t="shared" si="5"/>
        <v>10157.63561707408</v>
      </c>
      <c r="P22" s="36">
        <f>(K22-(MAX($K$3:K22)))/(MAX($K$3:K22))</f>
        <v>-5.8877118294496558E-4</v>
      </c>
      <c r="Q22" s="36">
        <f>(L22-(MAX($L$3:L22)))/(MAX($L$3:L22))</f>
        <v>-6.8300743869243209E-3</v>
      </c>
      <c r="R22" s="36">
        <f>(M22-(MAX($M$3:M22)))/(MAX($M$3:M22))</f>
        <v>-8.7618466176028632E-3</v>
      </c>
      <c r="S22" s="36">
        <f>(N22-(MAX($N$3:N22)))/(MAX($N$3:N22))</f>
        <v>0</v>
      </c>
      <c r="T22" s="36">
        <f>(O22-(MAX($O$3:O22)))/(MAX($O$3:O22))</f>
        <v>-1.6863505206985544E-2</v>
      </c>
      <c r="U22" s="37"/>
      <c r="V22" s="46" t="s">
        <v>30</v>
      </c>
      <c r="W22" s="33">
        <f>EOMONTH(W2,-3)</f>
        <v>44196</v>
      </c>
      <c r="X22" s="82">
        <f t="shared" si="6"/>
        <v>15277</v>
      </c>
      <c r="Y22" s="82">
        <f t="shared" si="7"/>
        <v>15195.971925471462</v>
      </c>
      <c r="Z22" s="82">
        <f t="shared" si="8"/>
        <v>12066.161560113394</v>
      </c>
      <c r="AA22" s="166">
        <f t="shared" si="9"/>
        <v>16883.824767773574</v>
      </c>
      <c r="AB22" s="49">
        <f t="shared" si="10"/>
        <v>2.1011978791647574E-2</v>
      </c>
      <c r="AC22" s="85">
        <f>(Y$30-Y22)/Y22</f>
        <v>5.6818389437252148E-2</v>
      </c>
      <c r="AD22" s="85">
        <f t="shared" si="10"/>
        <v>-3.3724634409411279E-2</v>
      </c>
      <c r="AE22" s="71">
        <f t="shared" si="10"/>
        <v>6.1748728952811874E-2</v>
      </c>
    </row>
    <row r="23" spans="1:35">
      <c r="A23" s="33">
        <f t="shared" si="2"/>
        <v>43404</v>
      </c>
      <c r="B23" s="62">
        <v>376.97500000000002</v>
      </c>
      <c r="C23" s="102">
        <v>204.18899999999999</v>
      </c>
      <c r="D23" s="62">
        <v>5369.49</v>
      </c>
      <c r="E23" s="62">
        <v>1997.76</v>
      </c>
      <c r="F23" s="36">
        <f t="shared" si="0"/>
        <v>-6.1309985211539186E-2</v>
      </c>
      <c r="G23" s="36">
        <f t="shared" si="0"/>
        <v>-1.7481306117735462E-2</v>
      </c>
      <c r="H23" s="36">
        <f t="shared" si="0"/>
        <v>-6.8350042162466096E-2</v>
      </c>
      <c r="I23" s="36">
        <f t="shared" si="0"/>
        <v>-7.900996687639994E-3</v>
      </c>
      <c r="J23" s="106">
        <v>-4.1296531193029298E-2</v>
      </c>
      <c r="K23" s="80">
        <f t="shared" si="3"/>
        <v>11284.446935421794</v>
      </c>
      <c r="L23" s="34">
        <f t="shared" si="5"/>
        <v>11281.610055364366</v>
      </c>
      <c r="M23" s="34">
        <f t="shared" si="5"/>
        <v>11783.35237699525</v>
      </c>
      <c r="N23" s="34">
        <f t="shared" si="5"/>
        <v>11683.649822770276</v>
      </c>
      <c r="O23" s="34">
        <f t="shared" si="5"/>
        <v>10077.380171709323</v>
      </c>
      <c r="P23" s="36">
        <f>(K23-(MAX($K$3:K23)))/(MAX($K$3:K23))</f>
        <v>-4.1860988168452198E-2</v>
      </c>
      <c r="Q23" s="36">
        <f>(L23-(MAX($L$3:L23)))/(MAX($L$3:L23))</f>
        <v>-6.7721307838807449E-2</v>
      </c>
      <c r="R23" s="36">
        <f>(M23-(MAX($M$3:M23)))/(MAX($M$3:M23))</f>
        <v>-2.608998421245937E-2</v>
      </c>
      <c r="S23" s="36">
        <f>(N23-(MAX($N$3:N23)))/(MAX($N$3:N23))</f>
        <v>-6.8350042162466026E-2</v>
      </c>
      <c r="T23" s="36">
        <f>(O23-(MAX($O$3:O23)))/(MAX($O$3:O23))</f>
        <v>-2.4631263395843227E-2</v>
      </c>
      <c r="U23" s="37"/>
      <c r="V23" s="46" t="s">
        <v>2</v>
      </c>
      <c r="W23" s="33">
        <f>EOMONTH(W2,-12)</f>
        <v>43921</v>
      </c>
      <c r="X23" s="82">
        <f t="shared" si="6"/>
        <v>11316</v>
      </c>
      <c r="Y23" s="82">
        <f t="shared" si="7"/>
        <v>12007.432798956637</v>
      </c>
      <c r="Z23" s="82">
        <f t="shared" si="8"/>
        <v>11577.011934907838</v>
      </c>
      <c r="AA23" s="166">
        <f t="shared" si="9"/>
        <v>11465.425514553734</v>
      </c>
      <c r="AB23" s="49">
        <f>X30/X23-1</f>
        <v>0.37840226228349239</v>
      </c>
      <c r="AC23" s="85">
        <f t="shared" ref="AC23:AE23" si="11">Y30/Y23-1</f>
        <v>0.3374534627923047</v>
      </c>
      <c r="AD23" s="85">
        <f t="shared" si="11"/>
        <v>7.1022417812247607E-3</v>
      </c>
      <c r="AE23" s="71">
        <f t="shared" si="11"/>
        <v>0.56351628330676418</v>
      </c>
    </row>
    <row r="24" spans="1:35">
      <c r="A24" s="33">
        <f t="shared" si="2"/>
        <v>43434</v>
      </c>
      <c r="B24" s="62">
        <v>383.30439999999999</v>
      </c>
      <c r="C24" s="102">
        <v>210.399</v>
      </c>
      <c r="D24" s="62">
        <v>5478.91</v>
      </c>
      <c r="E24" s="62">
        <v>2009.68</v>
      </c>
      <c r="F24" s="36">
        <f t="shared" si="0"/>
        <v>1.6789972809867937E-2</v>
      </c>
      <c r="G24" s="36">
        <f t="shared" si="0"/>
        <v>3.0412999720846878E-2</v>
      </c>
      <c r="H24" s="36">
        <f t="shared" si="0"/>
        <v>2.0378099223576251E-2</v>
      </c>
      <c r="I24" s="36">
        <f t="shared" si="0"/>
        <v>5.9666826846067611E-3</v>
      </c>
      <c r="J24" s="106">
        <v>2.1754916529078301E-2</v>
      </c>
      <c r="K24" s="80">
        <f t="shared" si="3"/>
        <v>11529.939136578709</v>
      </c>
      <c r="L24" s="34">
        <f t="shared" si="5"/>
        <v>11471.027981445466</v>
      </c>
      <c r="M24" s="34">
        <f t="shared" si="5"/>
        <v>12141.719469547446</v>
      </c>
      <c r="N24" s="34">
        <f t="shared" si="5"/>
        <v>11921.740398152207</v>
      </c>
      <c r="O24" s="34">
        <f t="shared" si="5"/>
        <v>10137.50870148606</v>
      </c>
      <c r="P24" s="36">
        <f>(K24-(MAX($K$3:K24)))/(MAX($K$3:K24))</f>
        <v>-2.1016753942803338E-2</v>
      </c>
      <c r="Q24" s="36">
        <f>(L24-(MAX($L$3:L24)))/(MAX($L$3:L24))</f>
        <v>-5.206837394620184E-2</v>
      </c>
      <c r="R24" s="36">
        <f>(M24-(MAX($M$3:M24)))/(MAX($M$3:M24))</f>
        <v>0</v>
      </c>
      <c r="S24" s="36">
        <f>(N24-(MAX($N$3:N24)))/(MAX($N$3:N24))</f>
        <v>-4.9364786880012147E-2</v>
      </c>
      <c r="T24" s="36">
        <f>(O24-(MAX($O$3:O24)))/(MAX($O$3:O24))</f>
        <v>-1.8811547644040465E-2</v>
      </c>
      <c r="U24" s="37"/>
      <c r="V24" s="46" t="s">
        <v>52</v>
      </c>
      <c r="W24" s="33">
        <f>EOMONTH(W2,-24)</f>
        <v>43555</v>
      </c>
      <c r="X24" s="82">
        <f t="shared" si="6"/>
        <v>11914.277835021911</v>
      </c>
      <c r="Y24" s="82">
        <f t="shared" si="7"/>
        <v>12594.900915249931</v>
      </c>
      <c r="Z24" s="82">
        <f t="shared" si="8"/>
        <v>10627.566307845964</v>
      </c>
      <c r="AA24" s="166">
        <f t="shared" si="9"/>
        <v>12325.484743446643</v>
      </c>
      <c r="AB24" s="49">
        <f>(X30/X24)^(1/2)-1</f>
        <v>0.14419645082505506</v>
      </c>
      <c r="AC24" s="85">
        <f t="shared" ref="AC24:AE24" si="12">(Y30/Y24)^(1/2)-1</f>
        <v>0.1291900548314151</v>
      </c>
      <c r="AD24" s="85">
        <f t="shared" si="12"/>
        <v>4.741336258219353E-2</v>
      </c>
      <c r="AE24" s="71">
        <f t="shared" si="12"/>
        <v>0.20599161621446638</v>
      </c>
    </row>
    <row r="25" spans="1:35">
      <c r="A25" s="33">
        <f t="shared" si="2"/>
        <v>43465</v>
      </c>
      <c r="B25" s="62">
        <v>363.11959999999999</v>
      </c>
      <c r="C25" s="102">
        <v>201.64500000000001</v>
      </c>
      <c r="D25" s="62">
        <v>4984.22</v>
      </c>
      <c r="E25" s="62">
        <v>2046.6</v>
      </c>
      <c r="F25" s="36">
        <f t="shared" si="0"/>
        <v>-5.2659974683306521E-2</v>
      </c>
      <c r="G25" s="36">
        <f t="shared" si="0"/>
        <v>-4.1606661628619812E-2</v>
      </c>
      <c r="H25" s="36">
        <f t="shared" si="0"/>
        <v>-9.028985692409619E-2</v>
      </c>
      <c r="I25" s="36">
        <f t="shared" si="0"/>
        <v>1.8371083953664158E-2</v>
      </c>
      <c r="J25" s="106">
        <v>-5.3670697794583097E-2</v>
      </c>
      <c r="K25" s="80">
        <f t="shared" si="3"/>
        <v>10911.119257589457</v>
      </c>
      <c r="L25" s="34">
        <f t="shared" si="5"/>
        <v>10866.963938351048</v>
      </c>
      <c r="M25" s="34">
        <f t="shared" si="5"/>
        <v>11636.543055988361</v>
      </c>
      <c r="N25" s="34">
        <f t="shared" si="5"/>
        <v>10845.328163316826</v>
      </c>
      <c r="O25" s="34">
        <f t="shared" si="5"/>
        <v>10323.745724922061</v>
      </c>
      <c r="P25" s="36">
        <f>(K25-(MAX($K$3:K25)))/(MAX($K$3:K25))</f>
        <v>-7.3559467887899119E-2</v>
      </c>
      <c r="Q25" s="36">
        <f>(L25-(MAX($L$3:L25)))/(MAX($L$3:L25))</f>
        <v>-0.1019864293757004</v>
      </c>
      <c r="R25" s="36">
        <f>(M25-(MAX($M$3:M25)))/(MAX($M$3:M25))</f>
        <v>-4.1606661628619798E-2</v>
      </c>
      <c r="S25" s="36">
        <f>(N25-(MAX($N$3:N25)))/(MAX($N$3:N25))</f>
        <v>-0.13519750425962362</v>
      </c>
      <c r="T25" s="36">
        <f>(O25-(MAX($O$3:O25)))/(MAX($O$3:O25))</f>
        <v>-7.8605221144340497E-4</v>
      </c>
      <c r="U25" s="37"/>
      <c r="V25" s="46" t="s">
        <v>1</v>
      </c>
      <c r="W25" s="33">
        <f>EOMONTH(W2,-36)</f>
        <v>43190</v>
      </c>
      <c r="X25" s="82">
        <f t="shared" si="6"/>
        <v>10854.981925361213</v>
      </c>
      <c r="Y25" s="82">
        <f t="shared" si="7"/>
        <v>11705.619611509293</v>
      </c>
      <c r="Z25" s="82">
        <f t="shared" si="8"/>
        <v>10171.81021176138</v>
      </c>
      <c r="AA25" s="166">
        <f t="shared" si="9"/>
        <v>11256.514199049994</v>
      </c>
      <c r="AB25" s="49">
        <f>(X30/X25)^(1/3)-1</f>
        <v>0.12844380618094964</v>
      </c>
      <c r="AC25" s="85">
        <f t="shared" ref="AC25:AE25" si="13">(Y30/Y25)^(1/3)-1</f>
        <v>0.11116395711553118</v>
      </c>
      <c r="AD25" s="85">
        <f t="shared" si="13"/>
        <v>4.6543452836169896E-2</v>
      </c>
      <c r="AE25" s="71">
        <f t="shared" si="13"/>
        <v>0.1677849863795664</v>
      </c>
    </row>
    <row r="26" spans="1:35">
      <c r="A26" s="33">
        <f t="shared" si="2"/>
        <v>43496</v>
      </c>
      <c r="B26" s="62">
        <v>391.79520000000002</v>
      </c>
      <c r="C26" s="102">
        <v>210.87100000000001</v>
      </c>
      <c r="D26" s="62">
        <v>5383.63</v>
      </c>
      <c r="E26" s="62">
        <v>2068.34</v>
      </c>
      <c r="F26" s="36">
        <f t="shared" si="0"/>
        <v>7.8970124443847212E-2</v>
      </c>
      <c r="G26" s="36">
        <f t="shared" si="0"/>
        <v>4.5753676014778533E-2</v>
      </c>
      <c r="H26" s="36">
        <f t="shared" si="0"/>
        <v>8.0134905762586639E-2</v>
      </c>
      <c r="I26" s="36">
        <f t="shared" si="0"/>
        <v>1.0622495846770441E-2</v>
      </c>
      <c r="J26" s="106">
        <v>6.2774443666717097E-2</v>
      </c>
      <c r="K26" s="80">
        <f t="shared" si="3"/>
        <v>11596.058698765837</v>
      </c>
      <c r="L26" s="34">
        <f t="shared" si="5"/>
        <v>11725.129432889429</v>
      </c>
      <c r="M26" s="34">
        <f t="shared" si="5"/>
        <v>12168.957676904072</v>
      </c>
      <c r="N26" s="34">
        <f t="shared" si="5"/>
        <v>11714.417513648546</v>
      </c>
      <c r="O26" s="34">
        <f t="shared" si="5"/>
        <v>10433.409671008159</v>
      </c>
      <c r="P26" s="36">
        <f>(K26-(MAX($K$3:K26)))/(MAX($K$3:K26))</f>
        <v>-1.5402678894264702E-2</v>
      </c>
      <c r="Q26" s="36">
        <f>(L26-(MAX($L$3:L26)))/(MAX($L$3:L26))</f>
        <v>-3.1070185951235937E-2</v>
      </c>
      <c r="R26" s="36">
        <f>(M26-(MAX($M$3:M26)))/(MAX($M$3:M26))</f>
        <v>0</v>
      </c>
      <c r="S26" s="36">
        <f>(N26-(MAX($N$3:N26)))/(MAX($N$3:N26))</f>
        <v>-6.5896637760218854E-2</v>
      </c>
      <c r="T26" s="36">
        <f>(O26-(MAX($O$3:O26)))/(MAX($O$3:O26))</f>
        <v>0</v>
      </c>
      <c r="U26" s="37"/>
      <c r="V26" s="46" t="s">
        <v>32</v>
      </c>
      <c r="W26" s="33">
        <f>EOMONTH(W2,-60)</f>
        <v>42460</v>
      </c>
      <c r="X26" s="82">
        <f t="shared" si="6"/>
        <v>0</v>
      </c>
      <c r="Y26" s="82">
        <f t="shared" si="7"/>
        <v>0</v>
      </c>
      <c r="Z26" s="82">
        <f t="shared" si="8"/>
        <v>0</v>
      </c>
      <c r="AA26" s="166">
        <f t="shared" si="9"/>
        <v>0</v>
      </c>
      <c r="AB26" s="49" t="e">
        <f t="shared" ref="AB26:AE27" si="14">POWER(X$30/X26,365/($W$30-$W26))-1</f>
        <v>#DIV/0!</v>
      </c>
      <c r="AC26" s="85" t="e">
        <f t="shared" si="14"/>
        <v>#DIV/0!</v>
      </c>
      <c r="AD26" s="85" t="e">
        <f t="shared" si="14"/>
        <v>#DIV/0!</v>
      </c>
      <c r="AE26" s="71" t="e">
        <f t="shared" si="14"/>
        <v>#DIV/0!</v>
      </c>
    </row>
    <row r="27" spans="1:35">
      <c r="A27" s="33">
        <f t="shared" si="2"/>
        <v>43524</v>
      </c>
      <c r="B27" s="62">
        <v>406.2328</v>
      </c>
      <c r="C27" s="102">
        <v>216.71199999999999</v>
      </c>
      <c r="D27" s="62">
        <v>5556.49</v>
      </c>
      <c r="E27" s="62">
        <v>2067.14</v>
      </c>
      <c r="F27" s="36">
        <f t="shared" si="0"/>
        <v>3.6849864418961653E-2</v>
      </c>
      <c r="G27" s="36">
        <f t="shared" si="0"/>
        <v>2.7699399158727323E-2</v>
      </c>
      <c r="H27" s="36">
        <f t="shared" si="0"/>
        <v>3.2108447274422636E-2</v>
      </c>
      <c r="I27" s="36">
        <f t="shared" si="0"/>
        <v>-5.8017540636468024E-4</v>
      </c>
      <c r="J27" s="106">
        <v>1.97902056343323E-2</v>
      </c>
      <c r="K27" s="80">
        <f t="shared" si="3"/>
        <v>11825.5470849622</v>
      </c>
      <c r="L27" s="34">
        <f t="shared" si="5"/>
        <v>12157.198862786181</v>
      </c>
      <c r="M27" s="34">
        <f t="shared" si="5"/>
        <v>12506.030492942298</v>
      </c>
      <c r="N27" s="34">
        <f t="shared" si="5"/>
        <v>12090.549270736105</v>
      </c>
      <c r="O27" s="34">
        <f t="shared" si="5"/>
        <v>10427.356463312513</v>
      </c>
      <c r="P27" s="36">
        <f>(K27-(MAX($K$3:K27)))/(MAX($K$3:K27))</f>
        <v>0</v>
      </c>
      <c r="Q27" s="36">
        <f>(L27-(MAX($L$3:L27)))/(MAX($L$3:L27))</f>
        <v>0</v>
      </c>
      <c r="R27" s="36">
        <f>(M27-(MAX($M$3:M27)))/(MAX($M$3:M27))</f>
        <v>0</v>
      </c>
      <c r="S27" s="36">
        <f>(N27-(MAX($N$3:N27)))/(MAX($N$3:N27))</f>
        <v>-3.5904029204881886E-2</v>
      </c>
      <c r="T27" s="36">
        <f>(O27-(MAX($O$3:O27)))/(MAX($O$3:O27))</f>
        <v>-5.8017540636465226E-4</v>
      </c>
      <c r="U27" s="37"/>
      <c r="V27" s="46" t="s">
        <v>35</v>
      </c>
      <c r="W27" s="33">
        <f>EOMONTH(W2,-120)</f>
        <v>40633</v>
      </c>
      <c r="X27" s="82">
        <f t="shared" si="6"/>
        <v>0</v>
      </c>
      <c r="Y27" s="82">
        <f t="shared" si="7"/>
        <v>0</v>
      </c>
      <c r="Z27" s="82">
        <f t="shared" si="8"/>
        <v>0</v>
      </c>
      <c r="AA27" s="166">
        <f t="shared" si="9"/>
        <v>0</v>
      </c>
      <c r="AB27" s="49" t="e">
        <f t="shared" si="14"/>
        <v>#DIV/0!</v>
      </c>
      <c r="AC27" s="85" t="e">
        <f t="shared" si="14"/>
        <v>#DIV/0!</v>
      </c>
      <c r="AD27" s="85" t="e">
        <f t="shared" si="14"/>
        <v>#DIV/0!</v>
      </c>
      <c r="AE27" s="71" t="e">
        <f t="shared" si="14"/>
        <v>#DIV/0!</v>
      </c>
    </row>
    <row r="28" spans="1:35">
      <c r="A28" s="33">
        <f t="shared" si="2"/>
        <v>43555</v>
      </c>
      <c r="B28" s="62">
        <v>406.42380000000003</v>
      </c>
      <c r="C28" s="102">
        <v>218.25200000000001</v>
      </c>
      <c r="D28" s="62">
        <v>5664.46</v>
      </c>
      <c r="E28" s="62">
        <v>2106.83</v>
      </c>
      <c r="F28" s="36">
        <f t="shared" si="0"/>
        <v>4.7017375258717742E-4</v>
      </c>
      <c r="G28" s="36">
        <f t="shared" si="0"/>
        <v>7.1062054708554978E-3</v>
      </c>
      <c r="H28" s="36">
        <f t="shared" si="0"/>
        <v>1.9431331650016537E-2</v>
      </c>
      <c r="I28" s="36">
        <f t="shared" si="0"/>
        <v>1.9200441189276107E-2</v>
      </c>
      <c r="J28" s="106">
        <v>7.5033103688323301E-3</v>
      </c>
      <c r="K28" s="80">
        <f t="shared" si="3"/>
        <v>11914.277835021911</v>
      </c>
      <c r="L28" s="34">
        <f t="shared" si="5"/>
        <v>12162.914858596445</v>
      </c>
      <c r="M28" s="34">
        <f t="shared" si="5"/>
        <v>12594.900915249931</v>
      </c>
      <c r="N28" s="34">
        <f t="shared" si="5"/>
        <v>12325.484743446643</v>
      </c>
      <c r="O28" s="34">
        <f t="shared" si="5"/>
        <v>10627.566307845964</v>
      </c>
      <c r="P28" s="36">
        <f>(K28-(MAX($K$3:K28)))/(MAX($K$3:K28))</f>
        <v>0</v>
      </c>
      <c r="Q28" s="36">
        <f>(L28-(MAX($L$3:L28)))/(MAX($L$3:L28))</f>
        <v>0</v>
      </c>
      <c r="R28" s="36">
        <f>(M28-(MAX($M$3:M28)))/(MAX($M$3:M28))</f>
        <v>0</v>
      </c>
      <c r="S28" s="36">
        <f>(N28-(MAX($N$3:N28)))/(MAX($N$3:N28))</f>
        <v>-1.7170360653917333E-2</v>
      </c>
      <c r="T28" s="36">
        <f>(O28-(MAX($O$3:O28)))/(MAX($O$3:O28))</f>
        <v>0</v>
      </c>
      <c r="U28" s="37"/>
      <c r="V28" s="46" t="s">
        <v>0</v>
      </c>
      <c r="W28" s="50">
        <f>A3</f>
        <v>42795</v>
      </c>
      <c r="X28" s="82">
        <f t="shared" si="6"/>
        <v>10000</v>
      </c>
      <c r="Y28" s="82">
        <f t="shared" si="7"/>
        <v>10000</v>
      </c>
      <c r="Z28" s="82">
        <f t="shared" si="8"/>
        <v>10000</v>
      </c>
      <c r="AA28" s="166">
        <f t="shared" si="9"/>
        <v>10000</v>
      </c>
      <c r="AB28" s="84">
        <f>(X30/X28)^(12/$X$4)-1</f>
        <v>0.11501878345456373</v>
      </c>
      <c r="AC28" s="86">
        <f>(Y30/Y28)^(12/$X$4)-1</f>
        <v>0.12300728640384162</v>
      </c>
      <c r="AD28" s="86">
        <f>(Z30/Z28)^(12/$X$4)-1</f>
        <v>3.8310767215220753E-2</v>
      </c>
      <c r="AE28" s="87">
        <f>(AA30/AA28)^(12/$X$4)-1</f>
        <v>0.15366526505828859</v>
      </c>
    </row>
    <row r="29" spans="1:35">
      <c r="A29" s="33">
        <f t="shared" si="2"/>
        <v>43585</v>
      </c>
      <c r="B29" s="62">
        <v>416.66969999999998</v>
      </c>
      <c r="C29" s="102">
        <v>221.24600000000001</v>
      </c>
      <c r="D29" s="62">
        <v>5893.81</v>
      </c>
      <c r="E29" s="62">
        <v>2107.37</v>
      </c>
      <c r="F29" s="36">
        <f t="shared" si="0"/>
        <v>2.5209891743544377E-2</v>
      </c>
      <c r="G29" s="36">
        <f t="shared" si="0"/>
        <v>1.3718087348569608E-2</v>
      </c>
      <c r="H29" s="36">
        <f t="shared" si="0"/>
        <v>4.0489296420135323E-2</v>
      </c>
      <c r="I29" s="36">
        <f t="shared" si="0"/>
        <v>2.5630924184683046E-4</v>
      </c>
      <c r="J29" s="106">
        <v>1.24127506045587E-2</v>
      </c>
      <c r="K29" s="80">
        <f t="shared" si="3"/>
        <v>12062.166794421459</v>
      </c>
      <c r="L29" s="34">
        <f t="shared" si="5"/>
        <v>12469.540625467609</v>
      </c>
      <c r="M29" s="34">
        <f t="shared" si="5"/>
        <v>12767.678866151909</v>
      </c>
      <c r="N29" s="34">
        <f t="shared" si="5"/>
        <v>12824.53494874591</v>
      </c>
      <c r="O29" s="34">
        <f t="shared" si="5"/>
        <v>10630.290251309005</v>
      </c>
      <c r="P29" s="36">
        <f>(K29-(MAX($K$3:K29)))/(MAX($K$3:K29))</f>
        <v>0</v>
      </c>
      <c r="Q29" s="36">
        <f>(L29-(MAX($L$3:L29)))/(MAX($L$3:L29))</f>
        <v>0</v>
      </c>
      <c r="R29" s="36">
        <f>(M29-(MAX($M$3:M29)))/(MAX($M$3:M29))</f>
        <v>0</v>
      </c>
      <c r="S29" s="36">
        <f>(N29-(MAX($N$3:N29)))/(MAX($N$3:N29))</f>
        <v>0</v>
      </c>
      <c r="T29" s="36">
        <f>(O29-(MAX($O$3:O29)))/(MAX($O$3:O29))</f>
        <v>0</v>
      </c>
      <c r="U29" s="37"/>
      <c r="V29" s="46" t="s">
        <v>33</v>
      </c>
      <c r="W29" s="50">
        <v>43805</v>
      </c>
      <c r="X29" s="82">
        <f t="shared" si="6"/>
        <v>0</v>
      </c>
      <c r="Y29" s="82">
        <f t="shared" si="7"/>
        <v>0</v>
      </c>
      <c r="Z29" s="82">
        <f t="shared" si="8"/>
        <v>0</v>
      </c>
      <c r="AA29" s="166">
        <f t="shared" si="9"/>
        <v>0</v>
      </c>
      <c r="AB29" s="49"/>
      <c r="AC29" s="85"/>
      <c r="AD29" s="85"/>
      <c r="AE29" s="76"/>
    </row>
    <row r="30" spans="1:35" ht="15.75" thickBot="1">
      <c r="A30" s="33">
        <f t="shared" si="2"/>
        <v>43616</v>
      </c>
      <c r="B30" s="62">
        <v>398.62790000000001</v>
      </c>
      <c r="C30" s="102">
        <v>217.44900000000001</v>
      </c>
      <c r="D30" s="62">
        <v>5519.27</v>
      </c>
      <c r="E30" s="62">
        <v>2144.7800000000002</v>
      </c>
      <c r="F30" s="36">
        <f t="shared" si="0"/>
        <v>-4.3300004775965184E-2</v>
      </c>
      <c r="G30" s="36">
        <f t="shared" si="0"/>
        <v>-1.7161892192401162E-2</v>
      </c>
      <c r="H30" s="36">
        <f t="shared" si="0"/>
        <v>-6.3548027506824978E-2</v>
      </c>
      <c r="I30" s="36">
        <f t="shared" si="0"/>
        <v>1.7751984701310342E-2</v>
      </c>
      <c r="J30" s="106">
        <v>-2.1383020916732252E-2</v>
      </c>
      <c r="K30" s="80">
        <f t="shared" si="3"/>
        <v>11804.241229555231</v>
      </c>
      <c r="L30" s="34">
        <f t="shared" si="5"/>
        <v>11929.609456830769</v>
      </c>
      <c r="M30" s="34">
        <f t="shared" si="5"/>
        <v>12548.561337903811</v>
      </c>
      <c r="N30" s="34">
        <f t="shared" si="5"/>
        <v>12009.561049060767</v>
      </c>
      <c r="O30" s="34">
        <f t="shared" si="5"/>
        <v>10818.999001220731</v>
      </c>
      <c r="P30" s="36">
        <f>(K30-(MAX($K$3:K30)))/(MAX($K$3:K30))</f>
        <v>-2.1383020916732266E-2</v>
      </c>
      <c r="Q30" s="36">
        <f>(L30-(MAX($L$3:L30)))/(MAX($L$3:L30))</f>
        <v>-4.330000477596524E-2</v>
      </c>
      <c r="R30" s="36">
        <f>(M30-(MAX($M$3:M30)))/(MAX($M$3:M30))</f>
        <v>-1.7161892192401187E-2</v>
      </c>
      <c r="S30" s="36">
        <f>(N30-(MAX($N$3:N30)))/(MAX($N$3:N30))</f>
        <v>-6.354802750682495E-2</v>
      </c>
      <c r="T30" s="36">
        <f>(O30-(MAX($O$3:O30)))/(MAX($O$3:O30))</f>
        <v>0</v>
      </c>
      <c r="V30" s="51" t="s">
        <v>3</v>
      </c>
      <c r="W30" s="52">
        <f>W2</f>
        <v>44286</v>
      </c>
      <c r="X30" s="53">
        <f t="shared" si="6"/>
        <v>15598</v>
      </c>
      <c r="Y30" s="53">
        <f t="shared" si="7"/>
        <v>16059.38257621045</v>
      </c>
      <c r="Z30" s="53">
        <f t="shared" si="8"/>
        <v>11659.234672773679</v>
      </c>
      <c r="AA30" s="167">
        <f t="shared" si="9"/>
        <v>17926.379487045597</v>
      </c>
      <c r="AB30" s="54"/>
      <c r="AC30" s="66"/>
      <c r="AD30" s="66"/>
      <c r="AE30" s="72"/>
    </row>
    <row r="31" spans="1:35" ht="15.75" thickBot="1">
      <c r="A31" s="33">
        <f t="shared" si="2"/>
        <v>43646</v>
      </c>
      <c r="B31" s="62">
        <v>416.71769999999998</v>
      </c>
      <c r="C31" s="102">
        <v>226.226</v>
      </c>
      <c r="D31" s="62">
        <v>5908.25</v>
      </c>
      <c r="E31" s="62">
        <v>2171.71</v>
      </c>
      <c r="F31" s="36">
        <f t="shared" si="0"/>
        <v>4.5380165312061571E-2</v>
      </c>
      <c r="G31" s="36">
        <f t="shared" si="0"/>
        <v>4.0363487530409303E-2</v>
      </c>
      <c r="H31" s="36">
        <f t="shared" si="0"/>
        <v>7.0476711594105623E-2</v>
      </c>
      <c r="I31" s="36">
        <f t="shared" si="0"/>
        <v>1.2556066356456119E-2</v>
      </c>
      <c r="J31" s="106">
        <v>2.9956493227024941E-2</v>
      </c>
      <c r="K31" s="80">
        <f t="shared" si="3"/>
        <v>12157.854901998569</v>
      </c>
      <c r="L31" s="34">
        <f t="shared" si="5"/>
        <v>12470.977106090082</v>
      </c>
      <c r="M31" s="34">
        <f t="shared" si="5"/>
        <v>13055.065036990869</v>
      </c>
      <c r="N31" s="34">
        <f t="shared" si="5"/>
        <v>12855.955419487227</v>
      </c>
      <c r="O31" s="34">
        <f t="shared" si="5"/>
        <v>10954.84307059049</v>
      </c>
      <c r="P31" s="36">
        <f>(K31-(MAX($K$3:K31)))/(MAX($K$3:K31))</f>
        <v>0</v>
      </c>
      <c r="Q31" s="36">
        <f>(L31-(MAX($L$3:L31)))/(MAX($L$3:L31))</f>
        <v>0</v>
      </c>
      <c r="R31" s="36">
        <f>(M31-(MAX($M$3:M31)))/(MAX($M$3:M31))</f>
        <v>0</v>
      </c>
      <c r="S31" s="36">
        <f>(N31-(MAX($N$3:N31)))/(MAX($N$3:N31))</f>
        <v>0</v>
      </c>
      <c r="T31" s="36">
        <f>(O31-(MAX($O$3:O31)))/(MAX($O$3:O31))</f>
        <v>0</v>
      </c>
      <c r="V31" s="32"/>
      <c r="W31" s="31"/>
      <c r="AA31" s="31"/>
      <c r="AB31" s="31"/>
      <c r="AC31" s="31"/>
      <c r="AD31" s="31"/>
    </row>
    <row r="32" spans="1:35" ht="15.75" thickBot="1">
      <c r="A32" s="33">
        <f t="shared" si="2"/>
        <v>43677</v>
      </c>
      <c r="B32" s="62">
        <v>423.50599999999997</v>
      </c>
      <c r="C32" s="102">
        <v>229.309</v>
      </c>
      <c r="D32" s="62">
        <v>5993.17</v>
      </c>
      <c r="E32" s="62">
        <v>2176.4899999999998</v>
      </c>
      <c r="F32" s="36">
        <f t="shared" si="0"/>
        <v>1.6289924810009238E-2</v>
      </c>
      <c r="G32" s="36">
        <f t="shared" si="0"/>
        <v>1.362796495539853E-2</v>
      </c>
      <c r="H32" s="36">
        <f t="shared" si="0"/>
        <v>1.4373122328946719E-2</v>
      </c>
      <c r="I32" s="36">
        <f t="shared" si="0"/>
        <v>2.2010305243331807E-3</v>
      </c>
      <c r="J32" s="108">
        <f>K32/K31-1</f>
        <v>1.7531472428281125E-2</v>
      </c>
      <c r="K32" s="109">
        <v>12371</v>
      </c>
      <c r="L32" s="34">
        <f t="shared" si="5"/>
        <v>12674.128385455637</v>
      </c>
      <c r="M32" s="34">
        <f t="shared" si="5"/>
        <v>13232.97900580543</v>
      </c>
      <c r="N32" s="34">
        <f t="shared" si="5"/>
        <v>13040.735639387003</v>
      </c>
      <c r="O32" s="34">
        <f t="shared" si="5"/>
        <v>10978.95501457814</v>
      </c>
      <c r="P32" s="36">
        <f>(K32-(MAX($K$3:K32)))/(MAX($K$3:K32))</f>
        <v>0</v>
      </c>
      <c r="Q32" s="36">
        <f>(L32-(MAX($L$3:L32)))/(MAX($L$3:L32))</f>
        <v>0</v>
      </c>
      <c r="R32" s="36">
        <f>(M32-(MAX($M$3:M32)))/(MAX($M$3:M32))</f>
        <v>0</v>
      </c>
      <c r="S32" s="36">
        <f>(N32-(MAX($N$3:N32)))/(MAX($N$3:N32))</f>
        <v>0</v>
      </c>
      <c r="T32" s="36">
        <f>(O32-(MAX($O$3:O32)))/(MAX($O$3:O32))</f>
        <v>0</v>
      </c>
      <c r="V32" s="32"/>
      <c r="W32" s="31"/>
      <c r="X32" s="70" t="str">
        <f t="shared" ref="X32:AC32" si="15">X20</f>
        <v>PBXIX</v>
      </c>
      <c r="Y32" s="68" t="str">
        <f t="shared" si="15"/>
        <v>ICE US Convert</v>
      </c>
      <c r="Z32" s="68"/>
      <c r="AA32" s="68"/>
      <c r="AB32" s="70" t="str">
        <f t="shared" si="15"/>
        <v>PBXIX</v>
      </c>
      <c r="AC32" s="68" t="str">
        <f t="shared" si="15"/>
        <v>ICE US Converts</v>
      </c>
      <c r="AD32" s="68"/>
      <c r="AE32" s="69"/>
    </row>
    <row r="33" spans="1:31">
      <c r="A33" s="33">
        <f t="shared" si="2"/>
        <v>43708</v>
      </c>
      <c r="B33" s="62">
        <v>418.00040000000001</v>
      </c>
      <c r="C33" s="102">
        <v>229.67599999999999</v>
      </c>
      <c r="D33" s="62">
        <v>5898.23</v>
      </c>
      <c r="E33" s="62">
        <v>2232.89</v>
      </c>
      <c r="F33" s="36">
        <f t="shared" si="0"/>
        <v>-1.3000051947315905E-2</v>
      </c>
      <c r="G33" s="36">
        <f t="shared" si="0"/>
        <v>1.6004605139789962E-3</v>
      </c>
      <c r="H33" s="36">
        <f t="shared" si="0"/>
        <v>-1.5841366088397368E-2</v>
      </c>
      <c r="I33" s="36">
        <f t="shared" si="0"/>
        <v>2.5913282395048975E-2</v>
      </c>
      <c r="J33" s="108">
        <f t="shared" ref="J33:J52" si="16">K33/K32-1</f>
        <v>-1.131678926521662E-3</v>
      </c>
      <c r="K33" s="109">
        <v>12357</v>
      </c>
      <c r="L33" s="34">
        <f t="shared" si="5"/>
        <v>12509.364058057763</v>
      </c>
      <c r="M33" s="34">
        <f t="shared" si="5"/>
        <v>13254.157866186533</v>
      </c>
      <c r="N33" s="34">
        <f t="shared" si="5"/>
        <v>12834.152572061463</v>
      </c>
      <c r="O33" s="34">
        <f t="shared" si="5"/>
        <v>11263.455776273442</v>
      </c>
      <c r="P33" s="36">
        <f>(K33-(MAX($K$3:K33)))/(MAX($K$3:K33))</f>
        <v>-1.1316789265217041E-3</v>
      </c>
      <c r="Q33" s="36">
        <f>(L33-(MAX($L$3:L33)))/(MAX($L$3:L33))</f>
        <v>-1.3000051947315861E-2</v>
      </c>
      <c r="R33" s="36">
        <f>(M33-(MAX($M$3:M33)))/(MAX($M$3:M33))</f>
        <v>0</v>
      </c>
      <c r="S33" s="36">
        <f>(N33-(MAX($N$3:N33)))/(MAX($N$3:N33))</f>
        <v>-1.5841366088397386E-2</v>
      </c>
      <c r="T33" s="36">
        <f>(O33-(MAX($O$3:O33)))/(MAX($O$3:O33))</f>
        <v>0</v>
      </c>
      <c r="V33" s="44"/>
      <c r="W33" s="55"/>
      <c r="X33" s="56">
        <f>X28</f>
        <v>10000</v>
      </c>
      <c r="Y33" s="56">
        <f>Y28</f>
        <v>10000</v>
      </c>
      <c r="Z33" s="56"/>
      <c r="AA33" s="56"/>
      <c r="AB33" s="46"/>
      <c r="AC33" s="32"/>
      <c r="AD33" s="32"/>
      <c r="AE33" s="83"/>
    </row>
    <row r="34" spans="1:31">
      <c r="A34" s="33">
        <f t="shared" si="2"/>
        <v>43738</v>
      </c>
      <c r="B34" s="62">
        <v>415.58019999999999</v>
      </c>
      <c r="C34" s="102">
        <v>234.036</v>
      </c>
      <c r="D34" s="62">
        <v>6008.59</v>
      </c>
      <c r="E34" s="62">
        <v>2221</v>
      </c>
      <c r="F34" s="36">
        <f t="shared" ref="F34:I49" si="17">B34/B33-1</f>
        <v>-5.7899466124913257E-3</v>
      </c>
      <c r="G34" s="36">
        <f t="shared" si="17"/>
        <v>1.8983263379717563E-2</v>
      </c>
      <c r="H34" s="36">
        <f t="shared" si="17"/>
        <v>1.8710697955149458E-2</v>
      </c>
      <c r="I34" s="36">
        <f t="shared" si="17"/>
        <v>-5.3249376368741386E-3</v>
      </c>
      <c r="J34" s="108">
        <f t="shared" si="16"/>
        <v>1.8855709314558489E-2</v>
      </c>
      <c r="K34" s="109">
        <v>12590</v>
      </c>
      <c r="L34" s="34">
        <f t="shared" si="5"/>
        <v>12436.93550800539</v>
      </c>
      <c r="M34" s="34">
        <f t="shared" si="5"/>
        <v>13505.765035836708</v>
      </c>
      <c r="N34" s="34">
        <f t="shared" si="5"/>
        <v>13074.288524347608</v>
      </c>
      <c r="O34" s="34">
        <f t="shared" si="5"/>
        <v>11203.478576689096</v>
      </c>
      <c r="P34" s="36">
        <f>(K34-(MAX($K$3:K34)))/(MAX($K$3:K34))</f>
        <v>0</v>
      </c>
      <c r="Q34" s="36">
        <f>(L34-(MAX($L$3:L34)))/(MAX($L$3:L34))</f>
        <v>-1.8714728953072662E-2</v>
      </c>
      <c r="R34" s="36">
        <f>(M34-(MAX($M$3:M34)))/(MAX($M$3:M34))</f>
        <v>0</v>
      </c>
      <c r="S34" s="36">
        <f>(N34-(MAX($N$3:N34)))/(MAX($N$3:N34))</f>
        <v>0</v>
      </c>
      <c r="T34" s="36">
        <f>(O34-(MAX($O$3:O34)))/(MAX($O$3:O34))</f>
        <v>-5.3249376368741256E-3</v>
      </c>
      <c r="V34" s="46" t="s">
        <v>54</v>
      </c>
      <c r="W34" s="33">
        <v>43100</v>
      </c>
      <c r="X34" s="48">
        <f>SUMIF(A:A,$W34,K:K)</f>
        <v>10718.427011272177</v>
      </c>
      <c r="Y34" s="48">
        <f>SUMIF(A:A,$W34,L:L)</f>
        <v>11092.237019302715</v>
      </c>
      <c r="Z34" s="48"/>
      <c r="AA34" s="82"/>
      <c r="AB34" s="57">
        <f t="shared" ref="AB34:AC36" si="18">X34/X33-1</f>
        <v>7.1842701127217801E-2</v>
      </c>
      <c r="AC34" s="81">
        <f t="shared" si="18"/>
        <v>0.10922370193027153</v>
      </c>
      <c r="AD34" s="81"/>
      <c r="AE34" s="73"/>
    </row>
    <row r="35" spans="1:31">
      <c r="A35" s="33">
        <f t="shared" si="2"/>
        <v>43769</v>
      </c>
      <c r="B35" s="62">
        <v>422.97750000000002</v>
      </c>
      <c r="C35" s="102">
        <v>239.65700000000001</v>
      </c>
      <c r="D35" s="62">
        <v>6138.73</v>
      </c>
      <c r="E35" s="62">
        <v>2227.69</v>
      </c>
      <c r="F35" s="36">
        <f t="shared" si="17"/>
        <v>1.7799933683077418E-2</v>
      </c>
      <c r="G35" s="36">
        <f t="shared" si="17"/>
        <v>2.401767249483E-2</v>
      </c>
      <c r="H35" s="36">
        <f t="shared" si="17"/>
        <v>2.1658991543773043E-2</v>
      </c>
      <c r="I35" s="36">
        <f t="shared" si="17"/>
        <v>3.0121566861773807E-3</v>
      </c>
      <c r="J35" s="108">
        <f t="shared" si="16"/>
        <v>1.2867355043685524E-2</v>
      </c>
      <c r="K35" s="109">
        <v>12752</v>
      </c>
      <c r="L35" s="34">
        <f t="shared" si="5"/>
        <v>12658.312135268598</v>
      </c>
      <c r="M35" s="34">
        <f t="shared" si="5"/>
        <v>13830.142077259561</v>
      </c>
      <c r="N35" s="34">
        <f t="shared" si="5"/>
        <v>13357.464428937303</v>
      </c>
      <c r="O35" s="34">
        <f t="shared" si="5"/>
        <v>11237.225209592316</v>
      </c>
      <c r="P35" s="36">
        <f>(K35-(MAX($K$3:K35)))/(MAX($K$3:K35))</f>
        <v>0</v>
      </c>
      <c r="Q35" s="36">
        <f>(L35-(MAX($L$3:L35)))/(MAX($L$3:L35))</f>
        <v>-1.2479162042566497E-3</v>
      </c>
      <c r="R35" s="36">
        <f>(M35-(MAX($M$3:M35)))/(MAX($M$3:M35))</f>
        <v>0</v>
      </c>
      <c r="S35" s="36">
        <f>(N35-(MAX($N$3:N35)))/(MAX($N$3:N35))</f>
        <v>0</v>
      </c>
      <c r="T35" s="36">
        <f>(O35-(MAX($O$3:O35)))/(MAX($O$3:O35))</f>
        <v>-2.3288204972030978E-3</v>
      </c>
      <c r="V35" s="46">
        <v>2018</v>
      </c>
      <c r="W35" s="33">
        <v>43465</v>
      </c>
      <c r="X35" s="48">
        <f>SUMIF(A:A,$W35,K:K)</f>
        <v>10911.119257589457</v>
      </c>
      <c r="Y35" s="48">
        <f>SUMIF(A:A,$W35,L:L)</f>
        <v>10866.963938351048</v>
      </c>
      <c r="Z35" s="48"/>
      <c r="AA35" s="82"/>
      <c r="AB35" s="57">
        <f t="shared" si="18"/>
        <v>1.797766091187003E-2</v>
      </c>
      <c r="AC35" s="81">
        <f t="shared" si="18"/>
        <v>-2.0309075667933052E-2</v>
      </c>
      <c r="AD35" s="81"/>
      <c r="AE35" s="73"/>
    </row>
    <row r="36" spans="1:31" ht="15.75" thickBot="1">
      <c r="A36" s="33">
        <f t="shared" si="2"/>
        <v>43799</v>
      </c>
      <c r="B36" s="62">
        <v>435.34109999999998</v>
      </c>
      <c r="C36" s="102">
        <v>240.57599999999999</v>
      </c>
      <c r="D36" s="62">
        <v>6361.56</v>
      </c>
      <c r="E36" s="62">
        <v>2226.5500000000002</v>
      </c>
      <c r="F36" s="36">
        <f t="shared" si="17"/>
        <v>2.9229923577495098E-2</v>
      </c>
      <c r="G36" s="36">
        <f t="shared" si="17"/>
        <v>3.8346470163608259E-3</v>
      </c>
      <c r="H36" s="36">
        <f t="shared" si="17"/>
        <v>3.6299039052051674E-2</v>
      </c>
      <c r="I36" s="36">
        <f t="shared" si="17"/>
        <v>-5.1174086160998833E-4</v>
      </c>
      <c r="J36" s="108">
        <f t="shared" si="16"/>
        <v>3.9993726474278901E-3</v>
      </c>
      <c r="K36" s="109">
        <v>12803</v>
      </c>
      <c r="L36" s="34">
        <f t="shared" ref="L36:O51" si="19">L35*(1+F36)</f>
        <v>13028.313631602578</v>
      </c>
      <c r="M36" s="34">
        <f t="shared" si="19"/>
        <v>13883.175790311971</v>
      </c>
      <c r="N36" s="34">
        <f t="shared" si="19"/>
        <v>13842.327551879689</v>
      </c>
      <c r="O36" s="34">
        <f t="shared" si="19"/>
        <v>11231.474662281453</v>
      </c>
      <c r="P36" s="36">
        <f>(K36-(MAX($K$3:K36)))/(MAX($K$3:K36))</f>
        <v>0</v>
      </c>
      <c r="Q36" s="36">
        <f>(L36-(MAX($L$3:L36)))/(MAX($L$3:L36))</f>
        <v>0</v>
      </c>
      <c r="R36" s="36">
        <f>(M36-(MAX($M$3:M36)))/(MAX($M$3:M36))</f>
        <v>0</v>
      </c>
      <c r="S36" s="36">
        <f>(N36-(MAX($N$3:N36)))/(MAX($N$3:N36))</f>
        <v>0</v>
      </c>
      <c r="T36" s="36">
        <f>(O36-(MAX($O$3:O36)))/(MAX($O$3:O36))</f>
        <v>-2.8393696062053884E-3</v>
      </c>
      <c r="V36" s="51">
        <v>2019</v>
      </c>
      <c r="W36" s="58">
        <f>W30</f>
        <v>44286</v>
      </c>
      <c r="X36" s="53">
        <f>SUMIF(A:A,$W36,K:K)</f>
        <v>15598</v>
      </c>
      <c r="Y36" s="53">
        <f>SUMIF(A:A,$W36,L:L)</f>
        <v>20493.40415980847</v>
      </c>
      <c r="Z36" s="53"/>
      <c r="AA36" s="53"/>
      <c r="AB36" s="59">
        <f t="shared" si="18"/>
        <v>0.42955086749239646</v>
      </c>
      <c r="AC36" s="67">
        <f t="shared" si="18"/>
        <v>0.88584449861698333</v>
      </c>
      <c r="AD36" s="67"/>
      <c r="AE36" s="74"/>
    </row>
    <row r="37" spans="1:31">
      <c r="A37" s="33">
        <f t="shared" si="2"/>
        <v>43830</v>
      </c>
      <c r="B37" s="62">
        <v>446.69920000000002</v>
      </c>
      <c r="C37" s="102">
        <v>245.97499999999999</v>
      </c>
      <c r="D37" s="62">
        <v>6553.57</v>
      </c>
      <c r="E37" s="62">
        <v>2225</v>
      </c>
      <c r="F37" s="36">
        <f t="shared" si="17"/>
        <v>2.6090116462700319E-2</v>
      </c>
      <c r="G37" s="36">
        <f t="shared" si="17"/>
        <v>2.2441972599095417E-2</v>
      </c>
      <c r="H37" s="36">
        <f t="shared" si="17"/>
        <v>3.0182848232194415E-2</v>
      </c>
      <c r="I37" s="36">
        <f t="shared" si="17"/>
        <v>-6.9614425905561994E-4</v>
      </c>
      <c r="J37" s="108">
        <f t="shared" si="16"/>
        <v>1.9136139967195209E-2</v>
      </c>
      <c r="K37" s="109">
        <v>13048</v>
      </c>
      <c r="L37" s="34">
        <f t="shared" si="19"/>
        <v>13368.223851563675</v>
      </c>
      <c r="M37" s="34">
        <f t="shared" si="19"/>
        <v>14194.741640986576</v>
      </c>
      <c r="N37" s="34">
        <f t="shared" si="19"/>
        <v>14260.128423558397</v>
      </c>
      <c r="O37" s="34">
        <f t="shared" si="19"/>
        <v>11223.655935674577</v>
      </c>
      <c r="P37" s="36">
        <f>(K37-(MAX($K$3:K37)))/(MAX($K$3:K37))</f>
        <v>0</v>
      </c>
      <c r="Q37" s="36">
        <f>(L37-(MAX($L$3:L37)))/(MAX($L$3:L37))</f>
        <v>0</v>
      </c>
      <c r="R37" s="36">
        <f>(M37-(MAX($M$3:M37)))/(MAX($M$3:M37))</f>
        <v>0</v>
      </c>
      <c r="S37" s="36">
        <f>(N37-(MAX($N$3:N37)))/(MAX($N$3:N37))</f>
        <v>0</v>
      </c>
      <c r="T37" s="36">
        <f>(O37-(MAX($O$3:O37)))/(MAX($O$3:O37))</f>
        <v>-3.5335372544103411E-3</v>
      </c>
    </row>
    <row r="38" spans="1:31">
      <c r="A38" s="33">
        <f t="shared" si="2"/>
        <v>43861</v>
      </c>
      <c r="B38" s="62">
        <v>458.88959999999997</v>
      </c>
      <c r="C38" s="102">
        <v>247.73699999999999</v>
      </c>
      <c r="D38" s="62">
        <v>6551</v>
      </c>
      <c r="E38" s="62">
        <v>2267.8200000000002</v>
      </c>
      <c r="F38" s="36">
        <f t="shared" si="17"/>
        <v>2.7289952612406632E-2</v>
      </c>
      <c r="G38" s="36">
        <f t="shared" si="17"/>
        <v>7.1633296066673235E-3</v>
      </c>
      <c r="H38" s="36">
        <f t="shared" si="17"/>
        <v>-3.9215267403869269E-4</v>
      </c>
      <c r="I38" s="36">
        <f t="shared" si="17"/>
        <v>1.9244943820224902E-2</v>
      </c>
      <c r="J38" s="108">
        <f t="shared" si="16"/>
        <v>7.8939301042304511E-3</v>
      </c>
      <c r="K38" s="109">
        <v>13151</v>
      </c>
      <c r="L38" s="34">
        <f t="shared" si="19"/>
        <v>13733.04204698489</v>
      </c>
      <c r="M38" s="34">
        <f t="shared" si="19"/>
        <v>14296.423254042449</v>
      </c>
      <c r="N38" s="34">
        <f t="shared" si="19"/>
        <v>14254.536276064964</v>
      </c>
      <c r="O38" s="34">
        <f t="shared" si="19"/>
        <v>11439.654563614167</v>
      </c>
      <c r="P38" s="36">
        <f>(K38-(MAX($K$3:K38)))/(MAX($K$3:K38))</f>
        <v>0</v>
      </c>
      <c r="Q38" s="36">
        <f>(L38-(MAX($L$3:L38)))/(MAX($L$3:L38))</f>
        <v>0</v>
      </c>
      <c r="R38" s="36">
        <f>(M38-(MAX($M$3:M38)))/(MAX($M$3:M38))</f>
        <v>0</v>
      </c>
      <c r="S38" s="36">
        <f>(N38-(MAX($N$3:N38)))/(MAX($N$3:N38))</f>
        <v>-3.9215267403865139E-4</v>
      </c>
      <c r="T38" s="36">
        <f>(O38-(MAX($O$3:O38)))/(MAX($O$3:O38))</f>
        <v>0</v>
      </c>
      <c r="AA38" s="31"/>
      <c r="AC38" s="32"/>
    </row>
    <row r="39" spans="1:31">
      <c r="A39" s="33">
        <f t="shared" si="2"/>
        <v>43890</v>
      </c>
      <c r="B39" s="62">
        <v>447.31639999999999</v>
      </c>
      <c r="C39" s="102">
        <v>238.09</v>
      </c>
      <c r="D39" s="62">
        <v>6011.73</v>
      </c>
      <c r="E39" s="62">
        <v>2308.64</v>
      </c>
      <c r="F39" s="36">
        <f t="shared" si="17"/>
        <v>-2.5220009344295469E-2</v>
      </c>
      <c r="G39" s="36">
        <f t="shared" si="17"/>
        <v>-3.8940489309227111E-2</v>
      </c>
      <c r="H39" s="36">
        <f t="shared" si="17"/>
        <v>-8.2318729964890869E-2</v>
      </c>
      <c r="I39" s="36">
        <f t="shared" si="17"/>
        <v>1.7999664876400923E-2</v>
      </c>
      <c r="J39" s="108">
        <f t="shared" si="16"/>
        <v>-3.9996958406204874E-2</v>
      </c>
      <c r="K39" s="109">
        <v>12625</v>
      </c>
      <c r="L39" s="34">
        <f t="shared" si="19"/>
        <v>13386.69459823433</v>
      </c>
      <c r="M39" s="34">
        <f t="shared" si="19"/>
        <v>13739.713537158223</v>
      </c>
      <c r="N39" s="34">
        <f t="shared" si="19"/>
        <v>13081.120953580832</v>
      </c>
      <c r="O39" s="34">
        <f t="shared" si="19"/>
        <v>11645.564512061013</v>
      </c>
      <c r="P39" s="36">
        <f>(K39-(MAX($K$3:K39)))/(MAX($K$3:K39))</f>
        <v>-3.9996958406204854E-2</v>
      </c>
      <c r="Q39" s="36">
        <f>(L39-(MAX($L$3:L39)))/(MAX($L$3:L39))</f>
        <v>-2.5220009344295427E-2</v>
      </c>
      <c r="R39" s="36">
        <f>(M39-(MAX($M$3:M39)))/(MAX($M$3:M39))</f>
        <v>-3.894048930922716E-2</v>
      </c>
      <c r="S39" s="36">
        <f>(N39-(MAX($N$3:N39)))/(MAX($N$3:N39))</f>
        <v>-8.2678601128850268E-2</v>
      </c>
      <c r="T39" s="36">
        <f>(O39-(MAX($O$3:O39)))/(MAX($O$3:O39))</f>
        <v>0</v>
      </c>
      <c r="AA39" s="31"/>
      <c r="AC39" s="32"/>
    </row>
    <row r="40" spans="1:31">
      <c r="A40" s="33">
        <f t="shared" si="2"/>
        <v>43921</v>
      </c>
      <c r="B40" s="62">
        <v>386.79450000000003</v>
      </c>
      <c r="C40" s="102">
        <v>208.072</v>
      </c>
      <c r="D40" s="62">
        <v>5269.2</v>
      </c>
      <c r="E40" s="62">
        <v>2295.0500000000002</v>
      </c>
      <c r="F40" s="36">
        <f t="shared" si="17"/>
        <v>-0.13529998005885757</v>
      </c>
      <c r="G40" s="36">
        <f t="shared" si="17"/>
        <v>-0.12607837372422193</v>
      </c>
      <c r="H40" s="36">
        <f t="shared" si="17"/>
        <v>-0.12351353104680352</v>
      </c>
      <c r="I40" s="36">
        <f t="shared" si="17"/>
        <v>-5.8865825767550062E-3</v>
      </c>
      <c r="J40" s="108">
        <f t="shared" si="16"/>
        <v>-0.10368316831683166</v>
      </c>
      <c r="K40" s="109">
        <v>11316</v>
      </c>
      <c r="L40" s="34">
        <f t="shared" si="19"/>
        <v>11575.475086039209</v>
      </c>
      <c r="M40" s="34">
        <f t="shared" si="19"/>
        <v>12007.432798956637</v>
      </c>
      <c r="N40" s="34">
        <f t="shared" si="19"/>
        <v>11465.425514553734</v>
      </c>
      <c r="O40" s="34">
        <f t="shared" si="19"/>
        <v>11577.011934907838</v>
      </c>
      <c r="P40" s="36">
        <f>(K40-(MAX($K$3:K40)))/(MAX($K$3:K40))</f>
        <v>-0.13953311535244467</v>
      </c>
      <c r="Q40" s="36">
        <f>(L40-(MAX($L$3:L40)))/(MAX($L$3:L40))</f>
        <v>-0.1571077226417856</v>
      </c>
      <c r="R40" s="36">
        <f>(M40-(MAX($M$3:M40)))/(MAX($M$3:M40))</f>
        <v>-0.16010930946931626</v>
      </c>
      <c r="S40" s="36">
        <f>(N40-(MAX($N$3:N40)))/(MAX($N$3:N40))</f>
        <v>-0.19598020620821927</v>
      </c>
      <c r="T40" s="36">
        <f>(O40-(MAX($O$3:O40)))/(MAX($O$3:O40))</f>
        <v>-5.8865825767550825E-3</v>
      </c>
      <c r="AA40" s="31"/>
      <c r="AC40" s="32"/>
    </row>
    <row r="41" spans="1:31">
      <c r="A41" s="33">
        <f t="shared" si="2"/>
        <v>43951</v>
      </c>
      <c r="B41" s="62">
        <v>427.76389999999998</v>
      </c>
      <c r="C41" s="102">
        <v>222.239</v>
      </c>
      <c r="D41" s="62">
        <v>5944.68</v>
      </c>
      <c r="E41" s="62">
        <v>2335.85</v>
      </c>
      <c r="F41" s="36">
        <f t="shared" si="17"/>
        <v>0.10592032720217048</v>
      </c>
      <c r="G41" s="36">
        <f t="shared" si="17"/>
        <v>6.8087008343265865E-2</v>
      </c>
      <c r="H41" s="36">
        <f t="shared" si="17"/>
        <v>0.12819403324982925</v>
      </c>
      <c r="I41" s="36">
        <f t="shared" si="17"/>
        <v>1.7777390470795629E-2</v>
      </c>
      <c r="J41" s="108">
        <f t="shared" si="16"/>
        <v>8.395192647578642E-2</v>
      </c>
      <c r="K41" s="158">
        <v>12266</v>
      </c>
      <c r="L41" s="34">
        <f t="shared" si="19"/>
        <v>12801.553194673053</v>
      </c>
      <c r="M41" s="34">
        <f t="shared" si="19"/>
        <v>12824.982976120402</v>
      </c>
      <c r="N41" s="34">
        <f t="shared" si="19"/>
        <v>12935.224654189875</v>
      </c>
      <c r="O41" s="34">
        <f t="shared" si="19"/>
        <v>11782.820996559756</v>
      </c>
      <c r="P41" s="36">
        <f>(K41-(MAX($K$3:K41)))/(MAX($K$3:K41))</f>
        <v>-6.7295262717664062E-2</v>
      </c>
      <c r="Q41" s="36">
        <f>(L41-(MAX($L$3:L41)))/(MAX($L$3:L41))</f>
        <v>-6.7828296827820961E-2</v>
      </c>
      <c r="R41" s="36">
        <f>(M41-(MAX($M$3:M41)))/(MAX($M$3:M41))</f>
        <v>-0.10292366501572228</v>
      </c>
      <c r="S41" s="36">
        <f>(N41-(MAX($N$3:N41)))/(MAX($N$3:N41))</f>
        <v>-9.2909666029354923E-2</v>
      </c>
      <c r="T41" s="36">
        <f>(O41-(MAX($O$3:O41)))/(MAX($O$3:O41))</f>
        <v>0</v>
      </c>
      <c r="AA41" s="31"/>
      <c r="AC41" s="32"/>
    </row>
    <row r="42" spans="1:31">
      <c r="A42" s="33">
        <f t="shared" si="2"/>
        <v>43982</v>
      </c>
      <c r="B42" s="62">
        <v>457.6087</v>
      </c>
      <c r="C42" s="102">
        <v>227.93</v>
      </c>
      <c r="D42" s="62">
        <v>6227.81</v>
      </c>
      <c r="E42" s="62">
        <v>2346.7199999999998</v>
      </c>
      <c r="F42" s="36">
        <f t="shared" si="17"/>
        <v>6.9769328360808514E-2</v>
      </c>
      <c r="G42" s="36">
        <f t="shared" si="17"/>
        <v>2.5607566628719436E-2</v>
      </c>
      <c r="H42" s="36">
        <f t="shared" si="17"/>
        <v>4.7627458500709929E-2</v>
      </c>
      <c r="I42" s="36">
        <f t="shared" si="17"/>
        <v>4.6535522400839024E-3</v>
      </c>
      <c r="J42" s="108">
        <f t="shared" si="16"/>
        <v>5.7475949779879354E-2</v>
      </c>
      <c r="K42" s="158">
        <v>12971</v>
      </c>
      <c r="L42" s="34">
        <f t="shared" si="19"/>
        <v>13694.708963040555</v>
      </c>
      <c r="M42" s="34">
        <f t="shared" si="19"/>
        <v>13153.399582193597</v>
      </c>
      <c r="N42" s="34">
        <f t="shared" si="19"/>
        <v>13551.296529604662</v>
      </c>
      <c r="O42" s="34">
        <f t="shared" si="19"/>
        <v>11837.652969602805</v>
      </c>
      <c r="P42" s="36">
        <f>(K42-(MAX($K$3:K42)))/(MAX($K$3:K42))</f>
        <v>-1.368717207816896E-2</v>
      </c>
      <c r="Q42" s="36">
        <f>(L42-(MAX($L$3:L42)))/(MAX($L$3:L42))</f>
        <v>-2.7913031805470402E-3</v>
      </c>
      <c r="R42" s="36">
        <f>(M42-(MAX($M$3:M42)))/(MAX($M$3:M42))</f>
        <v>-7.9951722996565E-2</v>
      </c>
      <c r="S42" s="36">
        <f>(N42-(MAX($N$3:N42)))/(MAX($N$3:N42))</f>
        <v>-4.9707258791772978E-2</v>
      </c>
      <c r="T42" s="36">
        <f>(O42-(MAX($O$3:O42)))/(MAX($O$3:O42))</f>
        <v>0</v>
      </c>
      <c r="AA42" s="31"/>
      <c r="AC42" s="32"/>
    </row>
    <row r="43" spans="1:31">
      <c r="A43" s="33">
        <f t="shared" si="2"/>
        <v>44012</v>
      </c>
      <c r="B43" s="62">
        <v>484.50689999999997</v>
      </c>
      <c r="C43" s="102">
        <v>230.44900000000001</v>
      </c>
      <c r="D43" s="62">
        <v>6351.67</v>
      </c>
      <c r="E43" s="62">
        <v>2361.5100000000002</v>
      </c>
      <c r="F43" s="36">
        <f t="shared" si="17"/>
        <v>5.877991393083204E-2</v>
      </c>
      <c r="G43" s="36">
        <f t="shared" si="17"/>
        <v>1.1051638660992458E-2</v>
      </c>
      <c r="H43" s="36">
        <f t="shared" si="17"/>
        <v>1.9888211104706066E-2</v>
      </c>
      <c r="I43" s="36">
        <f t="shared" si="17"/>
        <v>6.302413581509736E-3</v>
      </c>
      <c r="J43" s="108">
        <f t="shared" si="16"/>
        <v>2.2743042170996874E-2</v>
      </c>
      <c r="K43" s="158">
        <v>13266</v>
      </c>
      <c r="L43" s="34">
        <f t="shared" si="19"/>
        <v>14499.682777195872</v>
      </c>
      <c r="M43" s="34">
        <f t="shared" si="19"/>
        <v>13298.766201539649</v>
      </c>
      <c r="N43" s="34">
        <f t="shared" si="19"/>
        <v>13820.807575727911</v>
      </c>
      <c r="O43" s="34">
        <f t="shared" si="19"/>
        <v>11912.258754451628</v>
      </c>
      <c r="P43" s="36">
        <f>(K43-(MAX($K$3:K43)))/(MAX($K$3:K43))</f>
        <v>0</v>
      </c>
      <c r="Q43" s="36">
        <f>(L43-(MAX($L$3:L43)))/(MAX($L$3:L43))</f>
        <v>0</v>
      </c>
      <c r="R43" s="36">
        <f>(M43-(MAX($M$3:M43)))/(MAX($M$3:M43))</f>
        <v>-6.978368188845438E-2</v>
      </c>
      <c r="S43" s="36">
        <f>(N43-(MAX($N$3:N43)))/(MAX($N$3:N43))</f>
        <v>-3.0807636143353901E-2</v>
      </c>
      <c r="T43" s="36">
        <f>(O43-(MAX($O$3:O43)))/(MAX($O$3:O43))</f>
        <v>0</v>
      </c>
      <c r="AA43" s="31"/>
      <c r="AC43" s="32"/>
    </row>
    <row r="44" spans="1:31">
      <c r="A44" s="33">
        <f t="shared" si="2"/>
        <v>44043</v>
      </c>
      <c r="B44" s="62">
        <v>520.23810000000003</v>
      </c>
      <c r="C44" s="189">
        <v>239.67156897999999</v>
      </c>
      <c r="D44" s="62">
        <v>6709.81</v>
      </c>
      <c r="E44" s="62">
        <v>2396.7800000000002</v>
      </c>
      <c r="F44" s="36">
        <f t="shared" si="17"/>
        <v>7.374755653634657E-2</v>
      </c>
      <c r="G44" s="36">
        <f t="shared" si="17"/>
        <v>4.0019999999999945E-2</v>
      </c>
      <c r="H44" s="36">
        <f t="shared" si="17"/>
        <v>5.6385171143966906E-2</v>
      </c>
      <c r="I44" s="36">
        <f t="shared" si="17"/>
        <v>1.4935359155794359E-2</v>
      </c>
      <c r="J44" s="108">
        <f t="shared" si="16"/>
        <v>6.0003015226895773E-2</v>
      </c>
      <c r="K44" s="158">
        <v>14062</v>
      </c>
      <c r="L44" s="34">
        <f t="shared" si="19"/>
        <v>15568.998952566215</v>
      </c>
      <c r="M44" s="34">
        <f t="shared" si="19"/>
        <v>13830.982824925266</v>
      </c>
      <c r="N44" s="34">
        <f t="shared" si="19"/>
        <v>14600.096176233164</v>
      </c>
      <c r="O44" s="34">
        <f t="shared" si="19"/>
        <v>12090.17261730612</v>
      </c>
      <c r="P44" s="36">
        <f>(K44-(MAX($K$3:K44)))/(MAX($K$3:K44))</f>
        <v>0</v>
      </c>
      <c r="Q44" s="36">
        <f>(L44-(MAX($L$3:L44)))/(MAX($L$3:L44))</f>
        <v>0</v>
      </c>
      <c r="R44" s="36">
        <f>(M44-(MAX($M$3:M44)))/(MAX($M$3:M44))</f>
        <v>-3.2556424837630313E-2</v>
      </c>
      <c r="S44" s="36">
        <f>(N44-(MAX($N$3:N44)))/(MAX($N$3:N44))</f>
        <v>0</v>
      </c>
      <c r="T44" s="36">
        <f>(O44-(MAX($O$3:O44)))/(MAX($O$3:O44))</f>
        <v>0</v>
      </c>
      <c r="AA44" s="31"/>
      <c r="AC44" s="32"/>
    </row>
    <row r="45" spans="1:31">
      <c r="A45" s="33">
        <f t="shared" si="2"/>
        <v>44074</v>
      </c>
      <c r="B45" s="62">
        <v>563.75699999999995</v>
      </c>
      <c r="C45" s="189">
        <v>242.58837197448659</v>
      </c>
      <c r="D45" s="62">
        <v>7192.11</v>
      </c>
      <c r="E45" s="62">
        <v>2377.4299999999998</v>
      </c>
      <c r="F45" s="36">
        <f t="shared" si="17"/>
        <v>8.3651889394490642E-2</v>
      </c>
      <c r="G45" s="36">
        <f t="shared" si="17"/>
        <v>1.2170000000000014E-2</v>
      </c>
      <c r="H45" s="36">
        <f t="shared" si="17"/>
        <v>7.1879829682211405E-2</v>
      </c>
      <c r="I45" s="36">
        <f t="shared" si="17"/>
        <v>-8.0733317200578636E-3</v>
      </c>
      <c r="J45" s="108">
        <f t="shared" si="16"/>
        <v>6.4002275636467765E-3</v>
      </c>
      <c r="K45" s="158">
        <v>14152</v>
      </c>
      <c r="L45" s="34">
        <f t="shared" si="19"/>
        <v>16871.375130929224</v>
      </c>
      <c r="M45" s="34">
        <f t="shared" si="19"/>
        <v>13999.305885904607</v>
      </c>
      <c r="N45" s="34">
        <f t="shared" si="19"/>
        <v>15649.54860272471</v>
      </c>
      <c r="O45" s="34">
        <f t="shared" si="19"/>
        <v>11992.564643213847</v>
      </c>
      <c r="P45" s="36">
        <f>(K45-(MAX($K$3:K45)))/(MAX($K$3:K45))</f>
        <v>0</v>
      </c>
      <c r="Q45" s="36">
        <f>(L45-(MAX($L$3:L45)))/(MAX($L$3:L45))</f>
        <v>0</v>
      </c>
      <c r="R45" s="36">
        <f>(M45-(MAX($M$3:M45)))/(MAX($M$3:M45))</f>
        <v>-2.0782636527904245E-2</v>
      </c>
      <c r="S45" s="36">
        <f>(N45-(MAX($N$3:N45)))/(MAX($N$3:N45))</f>
        <v>0</v>
      </c>
      <c r="T45" s="36">
        <f>(O45-(MAX($O$3:O45)))/(MAX($O$3:O45))</f>
        <v>-8.0733317200578514E-3</v>
      </c>
      <c r="AA45" s="31"/>
      <c r="AC45" s="32"/>
    </row>
    <row r="46" spans="1:31">
      <c r="A46" s="33">
        <f t="shared" si="2"/>
        <v>44104</v>
      </c>
      <c r="B46" s="62">
        <v>551.67759999999998</v>
      </c>
      <c r="C46" s="189">
        <v>239.21639360404123</v>
      </c>
      <c r="D46" s="62">
        <v>6918.83</v>
      </c>
      <c r="E46" s="62">
        <v>2376.13</v>
      </c>
      <c r="F46" s="36">
        <f t="shared" si="17"/>
        <v>-2.1426607563187594E-2</v>
      </c>
      <c r="G46" s="36">
        <f t="shared" si="17"/>
        <v>-1.3900000000000023E-2</v>
      </c>
      <c r="H46" s="36">
        <f t="shared" si="17"/>
        <v>-3.7997194147475488E-2</v>
      </c>
      <c r="I46" s="36">
        <f t="shared" si="17"/>
        <v>-5.4680894915926093E-4</v>
      </c>
      <c r="J46" s="108">
        <f t="shared" si="16"/>
        <v>-2.2258338044092718E-2</v>
      </c>
      <c r="K46" s="158">
        <v>13837</v>
      </c>
      <c r="L46" s="34">
        <f t="shared" si="19"/>
        <v>16509.87879694748</v>
      </c>
      <c r="M46" s="34">
        <f t="shared" si="19"/>
        <v>13804.715534090532</v>
      </c>
      <c r="N46" s="34">
        <f t="shared" si="19"/>
        <v>15054.909666146625</v>
      </c>
      <c r="O46" s="34">
        <f t="shared" si="19"/>
        <v>11986.007001543567</v>
      </c>
      <c r="P46" s="36">
        <f>(K46-(MAX($K$3:K46)))/(MAX($K$3:K46))</f>
        <v>-2.2258338044092708E-2</v>
      </c>
      <c r="Q46" s="36">
        <f>(L46-(MAX($L$3:L46)))/(MAX($L$3:L46))</f>
        <v>-2.142660756318765E-2</v>
      </c>
      <c r="R46" s="36">
        <f>(M46-(MAX($M$3:M46)))/(MAX($M$3:M46))</f>
        <v>-3.4393757880166437E-2</v>
      </c>
      <c r="S46" s="36">
        <f>(N46-(MAX($N$3:N46)))/(MAX($N$3:N46))</f>
        <v>-3.7997194147475523E-2</v>
      </c>
      <c r="T46" s="36">
        <f>(O46-(MAX($O$3:O46)))/(MAX($O$3:O46))</f>
        <v>-8.6157260991830843E-3</v>
      </c>
      <c r="AA46" s="31"/>
      <c r="AC46" s="32"/>
    </row>
    <row r="47" spans="1:31">
      <c r="A47" s="33">
        <f t="shared" si="2"/>
        <v>44135</v>
      </c>
      <c r="B47" s="62">
        <v>551.60739999999998</v>
      </c>
      <c r="C47" s="189">
        <v>242.53671714726531</v>
      </c>
      <c r="D47" s="62">
        <v>6734.84</v>
      </c>
      <c r="E47" s="62">
        <v>2365.52</v>
      </c>
      <c r="F47" s="36">
        <f t="shared" si="17"/>
        <v>-1.2724823338849944E-4</v>
      </c>
      <c r="G47" s="36">
        <f t="shared" si="17"/>
        <v>1.3879999999999892E-2</v>
      </c>
      <c r="H47" s="36">
        <f t="shared" si="17"/>
        <v>-2.6592646444557833E-2</v>
      </c>
      <c r="I47" s="36">
        <f t="shared" si="17"/>
        <v>-4.465243905005245E-3</v>
      </c>
      <c r="J47" s="108">
        <f t="shared" si="16"/>
        <v>3.7580400375802903E-3</v>
      </c>
      <c r="K47" s="158">
        <v>13889</v>
      </c>
      <c r="L47" s="34">
        <f t="shared" si="19"/>
        <v>16507.777944037109</v>
      </c>
      <c r="M47" s="34">
        <f t="shared" si="19"/>
        <v>13996.324985703706</v>
      </c>
      <c r="N47" s="34">
        <f t="shared" si="19"/>
        <v>14654.559776140031</v>
      </c>
      <c r="O47" s="34">
        <f t="shared" si="19"/>
        <v>11932.486556834574</v>
      </c>
      <c r="P47" s="36">
        <f>(K47-(MAX($K$3:K47)))/(MAX($K$3:K47))</f>
        <v>-1.8583945732052007E-2</v>
      </c>
      <c r="Q47" s="36">
        <f>(L47-(MAX($L$3:L47)))/(MAX($L$3:L47))</f>
        <v>-2.1551129298616297E-2</v>
      </c>
      <c r="R47" s="36">
        <f>(M47-(MAX($M$3:M47)))/(MAX($M$3:M47))</f>
        <v>-2.0991143239543306E-2</v>
      </c>
      <c r="S47" s="36">
        <f>(N47-(MAX($N$3:N47)))/(MAX($N$3:N47))</f>
        <v>-6.3579394642184317E-2</v>
      </c>
      <c r="T47" s="36">
        <f>(O47-(MAX($O$3:O47)))/(MAX($O$3:O47))</f>
        <v>-1.3042498685736767E-2</v>
      </c>
      <c r="AA47" s="31"/>
      <c r="AC47" s="32"/>
    </row>
    <row r="48" spans="1:31">
      <c r="A48" s="33">
        <f t="shared" si="2"/>
        <v>44165</v>
      </c>
      <c r="B48" s="62">
        <v>626.21669999999995</v>
      </c>
      <c r="C48" s="189">
        <v>254.80179893340252</v>
      </c>
      <c r="D48" s="62">
        <v>7472.06</v>
      </c>
      <c r="E48" s="62">
        <v>2388.73</v>
      </c>
      <c r="F48" s="36">
        <f t="shared" si="17"/>
        <v>0.13525797514681637</v>
      </c>
      <c r="G48" s="36">
        <f t="shared" si="17"/>
        <v>5.0570000000000004E-2</v>
      </c>
      <c r="H48" s="36">
        <f t="shared" si="17"/>
        <v>0.10946362497104611</v>
      </c>
      <c r="I48" s="36">
        <f t="shared" si="17"/>
        <v>9.8117961378469953E-3</v>
      </c>
      <c r="J48" s="108">
        <f t="shared" si="16"/>
        <v>5.8679530563755522E-2</v>
      </c>
      <c r="K48" s="158">
        <v>14704</v>
      </c>
      <c r="L48" s="34">
        <f t="shared" si="19"/>
        <v>18740.586562920842</v>
      </c>
      <c r="M48" s="34">
        <f t="shared" si="19"/>
        <v>14704.119140230743</v>
      </c>
      <c r="N48" s="34">
        <f t="shared" si="19"/>
        <v>16258.701011591202</v>
      </c>
      <c r="O48" s="34">
        <f t="shared" si="19"/>
        <v>12049.565682347835</v>
      </c>
      <c r="P48" s="36">
        <f>(K48-(MAX($K$3:K48)))/(MAX($K$3:K48))</f>
        <v>0</v>
      </c>
      <c r="Q48" s="36">
        <f>(L48-(MAX($L$3:L48)))/(MAX($L$3:L48))</f>
        <v>0</v>
      </c>
      <c r="R48" s="36">
        <f>(M48-(MAX($M$3:M48)))/(MAX($M$3:M48))</f>
        <v>0</v>
      </c>
      <c r="S48" s="36">
        <f>(N48-(MAX($N$3:N48)))/(MAX($N$3:N48))</f>
        <v>0</v>
      </c>
      <c r="T48" s="36">
        <f>(O48-(MAX($O$3:O48)))/(MAX($O$3:O48))</f>
        <v>-3.3586728861223466E-3</v>
      </c>
      <c r="AA48" s="31"/>
      <c r="AC48" s="32"/>
    </row>
    <row r="49" spans="1:29">
      <c r="A49" s="33">
        <f t="shared" si="2"/>
        <v>44196</v>
      </c>
      <c r="B49" s="62">
        <v>671.25530000000003</v>
      </c>
      <c r="C49" s="189">
        <v>263.32491910772484</v>
      </c>
      <c r="D49" s="62">
        <v>7759.35</v>
      </c>
      <c r="E49" s="62">
        <v>2392.02</v>
      </c>
      <c r="F49" s="36">
        <f t="shared" si="17"/>
        <v>7.1921748493772419E-2</v>
      </c>
      <c r="G49" s="36">
        <f t="shared" si="17"/>
        <v>3.344999999999998E-2</v>
      </c>
      <c r="H49" s="36">
        <f t="shared" si="17"/>
        <v>3.8448567061827754E-2</v>
      </c>
      <c r="I49" s="36">
        <f t="shared" si="17"/>
        <v>1.3773009088511312E-3</v>
      </c>
      <c r="J49" s="108">
        <f t="shared" si="16"/>
        <v>3.8968988030467999E-2</v>
      </c>
      <c r="K49" s="158">
        <v>15277</v>
      </c>
      <c r="L49" s="34">
        <f t="shared" si="19"/>
        <v>20088.442316325007</v>
      </c>
      <c r="M49" s="34">
        <f t="shared" si="19"/>
        <v>15195.971925471462</v>
      </c>
      <c r="N49" s="34">
        <f t="shared" si="19"/>
        <v>16883.824767773574</v>
      </c>
      <c r="O49" s="34">
        <f t="shared" si="19"/>
        <v>12066.161560113394</v>
      </c>
      <c r="P49" s="36">
        <f>(K49-(MAX($K$3:K49)))/(MAX($K$3:K49))</f>
        <v>0</v>
      </c>
      <c r="Q49" s="36">
        <f>(L49-(MAX($L$3:L49)))/(MAX($L$3:L49))</f>
        <v>0</v>
      </c>
      <c r="R49" s="36">
        <f>(M49-(MAX($M$3:M49)))/(MAX($M$3:M49))</f>
        <v>0</v>
      </c>
      <c r="S49" s="36">
        <f>(N49-(MAX($N$3:N49)))/(MAX($N$3:N49))</f>
        <v>0</v>
      </c>
      <c r="T49" s="36">
        <f>(O49-(MAX($O$3:O49)))/(MAX($O$3:O49))</f>
        <v>-1.985997880489759E-3</v>
      </c>
      <c r="AA49" s="31"/>
      <c r="AC49" s="32"/>
    </row>
    <row r="50" spans="1:29">
      <c r="A50" s="33">
        <f t="shared" si="2"/>
        <v>44227</v>
      </c>
      <c r="B50" s="62">
        <v>692.99159999999995</v>
      </c>
      <c r="C50" s="189">
        <v>261.8950647969699</v>
      </c>
      <c r="D50" s="62">
        <v>7681.01</v>
      </c>
      <c r="E50" s="193">
        <v>2374.87</v>
      </c>
      <c r="F50" s="36">
        <f t="shared" ref="F50:I52" si="20">B50/B49-1</f>
        <v>3.2381569277739608E-2</v>
      </c>
      <c r="G50" s="36">
        <f t="shared" si="20"/>
        <v>-5.4299999999999349E-3</v>
      </c>
      <c r="H50" s="36">
        <f t="shared" si="20"/>
        <v>-1.009620651214338E-2</v>
      </c>
      <c r="I50" s="36">
        <f t="shared" si="20"/>
        <v>-7.1696724943771661E-3</v>
      </c>
      <c r="J50" s="108">
        <f t="shared" si="16"/>
        <v>0</v>
      </c>
      <c r="K50" s="158">
        <v>15277</v>
      </c>
      <c r="L50" s="34">
        <f t="shared" si="19"/>
        <v>20738.93760287296</v>
      </c>
      <c r="M50" s="34">
        <f t="shared" si="19"/>
        <v>15113.457797916153</v>
      </c>
      <c r="N50" s="34">
        <f t="shared" si="19"/>
        <v>16713.362186203292</v>
      </c>
      <c r="O50" s="34">
        <f t="shared" si="19"/>
        <v>11979.651133463138</v>
      </c>
      <c r="P50" s="36">
        <f>(K50-(MAX($K$3:K50)))/(MAX($K$3:K50))</f>
        <v>0</v>
      </c>
      <c r="Q50" s="36">
        <f>(L50-(MAX($L$3:L50)))/(MAX($L$3:L50))</f>
        <v>0</v>
      </c>
      <c r="R50" s="36">
        <f>(M50-(MAX($M$3:M50)))/(MAX($M$3:M50))</f>
        <v>-5.4299999999999141E-3</v>
      </c>
      <c r="S50" s="36">
        <f>(N50-(MAX($N$3:N50)))/(MAX($N$3:N50))</f>
        <v>-1.0096206512143309E-2</v>
      </c>
      <c r="T50" s="36">
        <f>(O50-(MAX($O$3:O50)))/(MAX($O$3:O50))</f>
        <v>-9.141431420489338E-3</v>
      </c>
      <c r="AA50" s="31"/>
      <c r="AC50" s="32"/>
    </row>
    <row r="51" spans="1:29">
      <c r="A51" s="33">
        <f t="shared" si="2"/>
        <v>44255</v>
      </c>
      <c r="B51" s="62">
        <v>710.99940000000004</v>
      </c>
      <c r="C51" s="189">
        <v>270.87282761821007</v>
      </c>
      <c r="D51" s="62">
        <v>7892.81</v>
      </c>
      <c r="E51" s="193">
        <v>2340.58</v>
      </c>
      <c r="F51" s="36">
        <f t="shared" si="20"/>
        <v>2.5985596362207097E-2</v>
      </c>
      <c r="G51" s="36">
        <f t="shared" si="20"/>
        <v>3.4280000000000088E-2</v>
      </c>
      <c r="H51" s="36">
        <f t="shared" si="20"/>
        <v>2.7574498666190994E-2</v>
      </c>
      <c r="I51" s="36">
        <f t="shared" si="20"/>
        <v>-1.4438685064866674E-2</v>
      </c>
      <c r="J51" s="108">
        <f t="shared" si="16"/>
        <v>2.9128755645742022E-2</v>
      </c>
      <c r="K51" s="158">
        <v>15722</v>
      </c>
      <c r="L51" s="34">
        <f t="shared" si="19"/>
        <v>21277.851264402216</v>
      </c>
      <c r="M51" s="34">
        <f t="shared" si="19"/>
        <v>15631.547131228721</v>
      </c>
      <c r="N51" s="34">
        <f t="shared" si="19"/>
        <v>17174.224769514323</v>
      </c>
      <c r="O51" s="34">
        <f t="shared" si="19"/>
        <v>11806.68072356009</v>
      </c>
      <c r="P51" s="36">
        <f>(K51-(MAX($K$3:K51)))/(MAX($K$3:K51))</f>
        <v>0</v>
      </c>
      <c r="Q51" s="36">
        <f>(L51-(MAX($L$3:L51)))/(MAX($L$3:L51))</f>
        <v>0</v>
      </c>
      <c r="R51" s="36">
        <f>(M51-(MAX($M$3:M51)))/(MAX($M$3:M51))</f>
        <v>0</v>
      </c>
      <c r="S51" s="36">
        <f>(N51-(MAX($N$3:N51)))/(MAX($N$3:N51))</f>
        <v>0</v>
      </c>
      <c r="T51" s="36">
        <f>(O51-(MAX($O$3:O51)))/(MAX($O$3:O51))</f>
        <v>-2.3448126236033526E-2</v>
      </c>
      <c r="AA51" s="31"/>
      <c r="AC51" s="32"/>
    </row>
    <row r="52" spans="1:29">
      <c r="A52" s="33">
        <f t="shared" si="2"/>
        <v>44286</v>
      </c>
      <c r="B52" s="62">
        <v>684.78710000000001</v>
      </c>
      <c r="C52" s="189">
        <v>278.28661691012047</v>
      </c>
      <c r="D52" s="62">
        <v>8238.48</v>
      </c>
      <c r="E52" s="193">
        <v>2311.35</v>
      </c>
      <c r="F52" s="36">
        <f t="shared" si="20"/>
        <v>-3.6866838424898796E-2</v>
      </c>
      <c r="G52" s="36">
        <f t="shared" si="20"/>
        <v>2.7369999999999894E-2</v>
      </c>
      <c r="H52" s="36">
        <f t="shared" si="20"/>
        <v>4.3795555701961586E-2</v>
      </c>
      <c r="I52" s="36">
        <f t="shared" si="20"/>
        <v>-1.2488357586581067E-2</v>
      </c>
      <c r="J52" s="108">
        <f t="shared" si="16"/>
        <v>-7.8870372726116411E-3</v>
      </c>
      <c r="K52" s="158">
        <v>15598</v>
      </c>
      <c r="L52" s="34">
        <f t="shared" ref="L52:O52" si="21">L51*(1+F52)</f>
        <v>20493.40415980847</v>
      </c>
      <c r="M52" s="34">
        <f t="shared" si="21"/>
        <v>16059.38257621045</v>
      </c>
      <c r="N52" s="34">
        <f t="shared" si="21"/>
        <v>17926.379487045597</v>
      </c>
      <c r="O52" s="34">
        <f t="shared" si="21"/>
        <v>11659.234672773679</v>
      </c>
      <c r="P52" s="36">
        <f>(K52-(MAX($K$3:K52)))/(MAX($K$3:K52))</f>
        <v>-7.8870372726116272E-3</v>
      </c>
      <c r="Q52" s="36">
        <f>(L52-(MAX($L$3:L52)))/(MAX($L$3:L52))</f>
        <v>-3.6866838424898851E-2</v>
      </c>
      <c r="R52" s="36">
        <f>(M52-(MAX($M$3:M52)))/(MAX($M$3:M52))</f>
        <v>0</v>
      </c>
      <c r="S52" s="36">
        <f>(N52-(MAX($N$3:N52)))/(MAX($N$3:N52))</f>
        <v>0</v>
      </c>
      <c r="T52" s="36">
        <f>(O52-(MAX($O$3:O52)))/(MAX($O$3:O52))</f>
        <v>-3.5643655237443658E-2</v>
      </c>
      <c r="AA52" s="31"/>
      <c r="AC52" s="32"/>
    </row>
    <row r="53" spans="1:29">
      <c r="AA53" s="31"/>
      <c r="AC53" s="32"/>
    </row>
    <row r="54" spans="1:29">
      <c r="AA54" s="31"/>
      <c r="AC54" s="32"/>
    </row>
    <row r="55" spans="1:29">
      <c r="A55" s="184"/>
      <c r="B55" s="184"/>
      <c r="C55" s="184"/>
      <c r="D55" s="184"/>
      <c r="E55" s="184"/>
      <c r="F55" s="185"/>
      <c r="G55" s="185"/>
      <c r="H55" s="185"/>
      <c r="I55" s="185"/>
      <c r="J55" s="185"/>
      <c r="AA55" s="31"/>
      <c r="AC55" s="32"/>
    </row>
    <row r="56" spans="1:29">
      <c r="A56" s="184"/>
      <c r="B56" s="184"/>
      <c r="C56" s="147"/>
      <c r="D56" s="184"/>
      <c r="E56" s="184"/>
      <c r="F56" s="185"/>
      <c r="G56" s="185"/>
      <c r="H56" s="185"/>
      <c r="I56" s="185"/>
      <c r="J56" s="185"/>
      <c r="AA56" s="31"/>
      <c r="AC56" s="32"/>
    </row>
    <row r="57" spans="1:29">
      <c r="A57" s="184"/>
      <c r="B57" s="184"/>
      <c r="C57" s="184"/>
      <c r="D57" s="184"/>
      <c r="E57" s="184"/>
      <c r="F57" s="185"/>
      <c r="G57" s="185"/>
      <c r="H57" s="185"/>
      <c r="I57" s="185"/>
      <c r="J57" s="185"/>
      <c r="AA57" s="31"/>
      <c r="AC57" s="32"/>
    </row>
    <row r="58" spans="1:29">
      <c r="A58" s="184"/>
      <c r="B58" s="184"/>
      <c r="C58" s="184"/>
      <c r="D58" s="184"/>
      <c r="E58" s="184"/>
      <c r="F58" s="185"/>
      <c r="G58" s="185"/>
      <c r="H58" s="185"/>
      <c r="I58" s="185"/>
      <c r="J58" s="185"/>
      <c r="AA58" s="31"/>
      <c r="AC58" s="32"/>
    </row>
    <row r="59" spans="1:29">
      <c r="A59" s="184"/>
      <c r="B59" s="184"/>
      <c r="C59" s="184"/>
      <c r="D59" s="184"/>
      <c r="E59" s="184"/>
      <c r="F59" s="185"/>
      <c r="G59" s="185"/>
      <c r="H59" s="185"/>
      <c r="I59" s="185"/>
      <c r="J59" s="185"/>
    </row>
    <row r="60" spans="1:29">
      <c r="A60" s="184"/>
      <c r="B60" s="184"/>
      <c r="C60" s="184"/>
      <c r="D60" s="184"/>
      <c r="E60" s="184"/>
      <c r="F60" s="185"/>
      <c r="G60" s="185"/>
      <c r="H60" s="185"/>
      <c r="I60" s="185"/>
      <c r="J60" s="185"/>
    </row>
    <row r="61" spans="1:29">
      <c r="A61" s="184"/>
      <c r="B61" s="184"/>
      <c r="C61" s="184"/>
      <c r="D61" s="184"/>
      <c r="E61" s="184"/>
      <c r="F61" s="185"/>
      <c r="G61" s="185"/>
      <c r="H61" s="185"/>
      <c r="I61" s="185"/>
      <c r="J61" s="185"/>
    </row>
  </sheetData>
  <mergeCells count="1">
    <mergeCell ref="Y3:AA3"/>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B155-E2A4-4BBA-BE0C-7C909227DC69}">
  <sheetPr>
    <tabColor rgb="FFFF0000"/>
  </sheetPr>
  <dimension ref="A1:B5"/>
  <sheetViews>
    <sheetView workbookViewId="0">
      <selection activeCell="A40" sqref="A40"/>
    </sheetView>
  </sheetViews>
  <sheetFormatPr defaultRowHeight="15"/>
  <cols>
    <col min="1" max="1" width="27.42578125" customWidth="1"/>
    <col min="2" max="2" width="9.140625" style="157"/>
  </cols>
  <sheetData>
    <row r="1" spans="1:2">
      <c r="A1" t="s">
        <v>159</v>
      </c>
      <c r="B1" s="157" t="s">
        <v>162</v>
      </c>
    </row>
    <row r="2" spans="1:2">
      <c r="A2" s="156" t="str">
        <f>'PBX - FACT SHEET'!N5</f>
        <v>Conv</v>
      </c>
      <c r="B2" s="157">
        <f>'PBX - FACT SHEET'!O5*100</f>
        <v>60.271947082721979</v>
      </c>
    </row>
    <row r="3" spans="1:2">
      <c r="A3" s="156" t="str">
        <f>'PBX - FACT SHEET'!N6</f>
        <v>Pfd</v>
      </c>
      <c r="B3" s="157">
        <f>'PBX - FACT SHEET'!O6*100</f>
        <v>36.156680850201106</v>
      </c>
    </row>
    <row r="4" spans="1:2">
      <c r="A4" s="156" t="str">
        <f>'PBX - FACT SHEET'!N7</f>
        <v>Cash</v>
      </c>
      <c r="B4" s="157">
        <f>'PBX - FACT SHEET'!O7*100</f>
        <v>2.7617596387105281</v>
      </c>
    </row>
    <row r="5" spans="1:2">
      <c r="A5" s="156" t="str">
        <f>'PBX - FACT SHEET'!N8</f>
        <v>Common</v>
      </c>
      <c r="B5" s="157">
        <f>'PBX - FACT SHEET'!O8*100</f>
        <v>0.80961242836639169</v>
      </c>
    </row>
  </sheetData>
  <autoFilter ref="A1:B7" xr:uid="{0E5BE3F5-7FB3-489A-967E-304EEF6E9D5A}">
    <sortState xmlns:xlrd2="http://schemas.microsoft.com/office/spreadsheetml/2017/richdata2" ref="A2:B5">
      <sortCondition descending="1" ref="B1:B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44"/>
  <sheetViews>
    <sheetView topLeftCell="A13" zoomScale="115" zoomScaleNormal="115" workbookViewId="0">
      <selection activeCell="E30" sqref="E30"/>
    </sheetView>
  </sheetViews>
  <sheetFormatPr defaultColWidth="8.85546875" defaultRowHeight="15"/>
  <cols>
    <col min="1" max="1" width="3.5703125" style="4" customWidth="1"/>
    <col min="2" max="2" width="2.5703125" style="4" bestFit="1" customWidth="1"/>
    <col min="3" max="3" width="51.140625" style="2" bestFit="1" customWidth="1"/>
    <col min="4" max="4" width="10" style="5" bestFit="1" customWidth="1"/>
    <col min="5" max="5" width="8.140625" style="5" bestFit="1" customWidth="1"/>
    <col min="6" max="7" width="7.85546875" style="5" bestFit="1" customWidth="1"/>
    <col min="8" max="8" width="8.7109375" style="5" bestFit="1" customWidth="1"/>
    <col min="9" max="9" width="12" style="5" customWidth="1"/>
    <col min="10" max="11" width="1.7109375" style="4" customWidth="1"/>
    <col min="12" max="12" width="6" style="3" bestFit="1" customWidth="1"/>
    <col min="13" max="13" width="2.85546875" style="1" customWidth="1"/>
    <col min="14" max="14" width="38" style="1" bestFit="1" customWidth="1"/>
    <col min="15" max="15" width="10.85546875" style="1" bestFit="1" customWidth="1"/>
    <col min="16" max="16384" width="8.85546875" style="1"/>
  </cols>
  <sheetData>
    <row r="1" spans="2:17" ht="15.75" thickBot="1">
      <c r="C1" s="26" t="s">
        <v>12</v>
      </c>
    </row>
    <row r="2" spans="2:17" s="24" customFormat="1" ht="16.5" thickBot="1">
      <c r="B2" s="214" t="s">
        <v>7</v>
      </c>
      <c r="C2" s="215"/>
      <c r="D2" s="215"/>
      <c r="E2" s="215"/>
      <c r="F2" s="215"/>
      <c r="G2" s="215"/>
      <c r="H2" s="215"/>
      <c r="I2" s="215"/>
      <c r="J2" s="216"/>
      <c r="L2" s="25"/>
      <c r="M2" s="214" t="s">
        <v>44</v>
      </c>
      <c r="N2" s="215"/>
      <c r="O2" s="215"/>
      <c r="P2" s="215"/>
      <c r="Q2" s="216"/>
    </row>
    <row r="3" spans="2:17" ht="15.75" thickBot="1">
      <c r="B3" s="10"/>
      <c r="C3" s="11"/>
      <c r="D3" s="12"/>
      <c r="E3" s="12"/>
      <c r="F3" s="12"/>
      <c r="G3" s="12"/>
      <c r="H3" s="12"/>
      <c r="I3" s="12"/>
      <c r="J3" s="13"/>
      <c r="L3" s="1"/>
      <c r="M3" s="92"/>
      <c r="Q3" s="93"/>
    </row>
    <row r="4" spans="2:17" ht="15" customHeight="1">
      <c r="B4" s="14"/>
      <c r="C4" s="217" t="s">
        <v>9</v>
      </c>
      <c r="D4" s="219">
        <f>'[5]PBX Return Data'!W2</f>
        <v>44286</v>
      </c>
      <c r="E4" s="168" t="s">
        <v>45</v>
      </c>
      <c r="F4" s="168" t="s">
        <v>55</v>
      </c>
      <c r="G4" s="169" t="s">
        <v>56</v>
      </c>
      <c r="J4" s="16"/>
      <c r="L4" s="1"/>
      <c r="M4" s="92"/>
      <c r="N4" s="164" t="s">
        <v>58</v>
      </c>
      <c r="O4" s="15"/>
      <c r="Q4" s="93"/>
    </row>
    <row r="5" spans="2:17">
      <c r="B5" s="14"/>
      <c r="C5" s="218"/>
      <c r="D5" s="220"/>
      <c r="E5" s="170">
        <f>'[5]PBX Return Data'!X30</f>
        <v>15598</v>
      </c>
      <c r="F5" s="170">
        <f>'[5]PBX Return Data'!Y30</f>
        <v>16059.38257621045</v>
      </c>
      <c r="G5" s="171">
        <f>'[5]PBX Return Data'!AA30</f>
        <v>17926.379487045597</v>
      </c>
      <c r="J5" s="16"/>
      <c r="L5" s="1"/>
      <c r="M5" s="92"/>
      <c r="N5" s="23" t="s">
        <v>109</v>
      </c>
      <c r="O5" s="98">
        <v>0.60271947082721977</v>
      </c>
      <c r="P5" s="159"/>
      <c r="Q5" s="93"/>
    </row>
    <row r="6" spans="2:17" ht="15" customHeight="1">
      <c r="B6" s="14"/>
      <c r="C6" s="221" t="s">
        <v>8</v>
      </c>
      <c r="D6" s="172" t="str">
        <f>D12</f>
        <v>QTD</v>
      </c>
      <c r="E6" s="173">
        <f>D13/100</f>
        <v>2.1011978791647574E-2</v>
      </c>
      <c r="F6" s="173">
        <f>D16/100</f>
        <v>5.6818389437252141E-2</v>
      </c>
      <c r="G6" s="174" t="e">
        <f>#REF!/100</f>
        <v>#REF!</v>
      </c>
      <c r="H6" s="17"/>
      <c r="I6" s="17"/>
      <c r="J6" s="16"/>
      <c r="L6" s="1"/>
      <c r="M6" s="92"/>
      <c r="N6" s="79" t="s">
        <v>110</v>
      </c>
      <c r="O6" s="98">
        <v>0.36156680850201106</v>
      </c>
      <c r="P6" s="159"/>
      <c r="Q6" s="93"/>
    </row>
    <row r="7" spans="2:17" ht="15" customHeight="1">
      <c r="B7" s="14"/>
      <c r="C7" s="222"/>
      <c r="D7" s="175" t="str">
        <f>E12</f>
        <v>YTD</v>
      </c>
      <c r="E7" s="176">
        <f>E13/100</f>
        <v>2.1011978791647574E-2</v>
      </c>
      <c r="F7" s="176">
        <f>E16/100</f>
        <v>5.6818389437252141E-2</v>
      </c>
      <c r="G7" s="177" t="e">
        <f>#REF!/100</f>
        <v>#REF!</v>
      </c>
      <c r="H7" s="17"/>
      <c r="I7" s="17"/>
      <c r="J7" s="16"/>
      <c r="L7" s="1"/>
      <c r="M7" s="92"/>
      <c r="N7" s="79" t="s">
        <v>57</v>
      </c>
      <c r="O7" s="98">
        <v>2.761759638710528E-2</v>
      </c>
      <c r="P7" s="159"/>
      <c r="Q7" s="93"/>
    </row>
    <row r="8" spans="2:17" ht="15.75" thickBot="1">
      <c r="B8" s="14"/>
      <c r="C8" s="222"/>
      <c r="D8" s="175" t="str">
        <f>F12</f>
        <v>1 Year</v>
      </c>
      <c r="E8" s="176">
        <f>F13/100</f>
        <v>0.37840226228349239</v>
      </c>
      <c r="F8" s="176">
        <f>F16/100</f>
        <v>0.3374534627923047</v>
      </c>
      <c r="G8" s="177" t="e">
        <f>#REF!/100</f>
        <v>#REF!</v>
      </c>
      <c r="H8" s="17"/>
      <c r="I8" s="17"/>
      <c r="J8" s="16"/>
      <c r="L8" s="1"/>
      <c r="M8" s="92"/>
      <c r="N8" s="97" t="s">
        <v>111</v>
      </c>
      <c r="O8" s="99">
        <v>8.0961242836639167E-3</v>
      </c>
      <c r="P8" s="159"/>
      <c r="Q8" s="93"/>
    </row>
    <row r="9" spans="2:17">
      <c r="B9" s="14"/>
      <c r="C9" s="222"/>
      <c r="D9" s="175" t="str">
        <f>G12</f>
        <v>3 Years</v>
      </c>
      <c r="E9" s="176">
        <f>G13/100</f>
        <v>0.12844380618094964</v>
      </c>
      <c r="F9" s="176">
        <f>G16/100</f>
        <v>0.11116395711553118</v>
      </c>
      <c r="G9" s="177" t="e">
        <f>#REF!/100</f>
        <v>#REF!</v>
      </c>
      <c r="H9" s="17"/>
      <c r="I9" s="17"/>
      <c r="J9" s="16"/>
      <c r="L9" s="1"/>
      <c r="M9" s="92"/>
      <c r="Q9" s="93"/>
    </row>
    <row r="10" spans="2:17" ht="15.75" thickBot="1">
      <c r="B10" s="14"/>
      <c r="C10" s="223"/>
      <c r="D10" s="178" t="str">
        <f>H12</f>
        <v>Inception*</v>
      </c>
      <c r="E10" s="179">
        <f>H13/100</f>
        <v>0.11509999999999999</v>
      </c>
      <c r="F10" s="179">
        <f>H16/100</f>
        <v>0.12300728640384161</v>
      </c>
      <c r="G10" s="180" t="e">
        <f>#REF!/100</f>
        <v>#REF!</v>
      </c>
      <c r="J10" s="16"/>
      <c r="L10" s="1"/>
      <c r="M10" s="92"/>
      <c r="Q10" s="93"/>
    </row>
    <row r="11" spans="2:17">
      <c r="B11" s="14"/>
      <c r="C11" s="8"/>
      <c r="D11" s="77"/>
      <c r="E11" s="78"/>
      <c r="F11" s="78"/>
      <c r="G11" s="78"/>
      <c r="J11" s="16"/>
      <c r="L11" s="1"/>
      <c r="M11" s="92"/>
      <c r="Q11" s="93"/>
    </row>
    <row r="12" spans="2:17" ht="14.45" customHeight="1">
      <c r="B12" s="14"/>
      <c r="C12" s="135" t="s">
        <v>6</v>
      </c>
      <c r="D12" s="136" t="s">
        <v>30</v>
      </c>
      <c r="E12" s="136" t="s">
        <v>5</v>
      </c>
      <c r="F12" s="136" t="s">
        <v>2</v>
      </c>
      <c r="G12" s="136" t="s">
        <v>1</v>
      </c>
      <c r="H12" s="136" t="s">
        <v>0</v>
      </c>
      <c r="J12" s="16"/>
      <c r="L12" s="1"/>
      <c r="M12" s="92"/>
      <c r="Q12" s="93"/>
    </row>
    <row r="13" spans="2:17" ht="14.45" customHeight="1">
      <c r="B13" s="14"/>
      <c r="C13" s="137" t="s">
        <v>18</v>
      </c>
      <c r="D13" s="140">
        <f>SUMIF('[5]PBX Return Data'!$V:$V,'[5]PBX - FACT SHEET'!D$12,'[5]PBX Return Data'!$AB:$AB)*100</f>
        <v>2.1011978791647574</v>
      </c>
      <c r="E13" s="140">
        <f>SUMIF('[5]PBX Return Data'!$V:$V,'[5]PBX - FACT SHEET'!E$12,'[5]PBX Return Data'!$AB:$AB)*100</f>
        <v>2.1011978791647574</v>
      </c>
      <c r="F13" s="140">
        <f>SUMIF('[5]PBX Return Data'!$V:$V,'[5]PBX - FACT SHEET'!F$12,'[5]PBX Return Data'!$AB:$AB)*100</f>
        <v>37.840226228349238</v>
      </c>
      <c r="G13" s="140">
        <f>SUMIF('[5]PBX Return Data'!$V:$V,'[5]PBX - FACT SHEET'!G$12,'[5]PBX Return Data'!$AB:$AB)*100</f>
        <v>12.844380618094963</v>
      </c>
      <c r="H13" s="190">
        <v>11.51</v>
      </c>
      <c r="I13" s="134"/>
      <c r="J13" s="16"/>
      <c r="L13" s="1"/>
      <c r="M13" s="92"/>
      <c r="Q13" s="93"/>
    </row>
    <row r="14" spans="2:17" ht="14.45" customHeight="1">
      <c r="B14" s="14"/>
      <c r="C14" s="139" t="s">
        <v>146</v>
      </c>
      <c r="D14" s="27">
        <f>SUMIF('[5]PBX Return Data'!$V:$V,'[5]PBX - FACT SHEET'!D$12,'[5]PBX Return Data'!$AD:$AD)*100</f>
        <v>-3.3724634409411278</v>
      </c>
      <c r="E14" s="27">
        <f>SUMIF('[5]PBX Return Data'!$V:$V,'[5]PBX - FACT SHEET'!E$12,'[5]PBX Return Data'!$AD:$AD)*100</f>
        <v>-3.3724634409411278</v>
      </c>
      <c r="F14" s="27">
        <f>SUMIF('[5]PBX Return Data'!$V:$V,'[5]PBX - FACT SHEET'!F$12,'[5]PBX Return Data'!$AD:$AD)*100</f>
        <v>0.71022417812247607</v>
      </c>
      <c r="G14" s="27">
        <f>SUMIF('[5]PBX Return Data'!$V:$V,'[5]PBX - FACT SHEET'!G$12,'[5]PBX Return Data'!$AD:$AD)*100</f>
        <v>4.6543452836169896</v>
      </c>
      <c r="H14" s="138">
        <f>SUMIF('[5]PBX Return Data'!$V:$V,'[5]PBX - FACT SHEET'!H$12,'[5]PBX Return Data'!$AD:$AD)*100</f>
        <v>3.8310767215220753</v>
      </c>
      <c r="I14" s="134"/>
      <c r="J14" s="16"/>
      <c r="L14" s="1"/>
      <c r="M14" s="92"/>
      <c r="Q14" s="93"/>
    </row>
    <row r="15" spans="2:17" ht="14.45" customHeight="1">
      <c r="B15" s="14"/>
      <c r="C15" s="139" t="s">
        <v>46</v>
      </c>
      <c r="D15" s="27">
        <f>SUMIF('[5]PBX Return Data'!$V:$V,'[5]PBX - FACT SHEET'!D$12,'[5]PBX Return Data'!$AE:$AE)*100</f>
        <v>6.1748728952811875</v>
      </c>
      <c r="E15" s="27">
        <f>SUMIF('[5]PBX Return Data'!$V:$V,'[5]PBX - FACT SHEET'!E$12,'[5]PBX Return Data'!$AE:$AE)*100</f>
        <v>6.1748728952811875</v>
      </c>
      <c r="F15" s="27">
        <f>SUMIF('[5]PBX Return Data'!$V:$V,'[5]PBX - FACT SHEET'!F$12,'[5]PBX Return Data'!$AE:$AE)*100</f>
        <v>56.351628330676419</v>
      </c>
      <c r="G15" s="27">
        <f>SUMIF('[5]PBX Return Data'!$V:$V,'[5]PBX - FACT SHEET'!G$12,'[5]PBX Return Data'!$AE:$AE)*100</f>
        <v>16.778498637956641</v>
      </c>
      <c r="H15" s="148">
        <v>15.37</v>
      </c>
      <c r="I15" s="134"/>
      <c r="J15" s="16"/>
      <c r="L15" s="1"/>
      <c r="M15" s="92"/>
      <c r="Q15" s="93"/>
    </row>
    <row r="16" spans="2:17" ht="14.45" customHeight="1">
      <c r="B16" s="14"/>
      <c r="C16" s="181" t="s">
        <v>50</v>
      </c>
      <c r="D16" s="27">
        <f>SUMIF('[5]PBX Return Data'!$V:$V,'[5]PBX - FACT SHEET'!D$12,'[5]PBX Return Data'!$AC:$AC)*100</f>
        <v>5.6818389437252144</v>
      </c>
      <c r="E16" s="27">
        <f>SUMIF('[5]PBX Return Data'!$V:$V,'[5]PBX - FACT SHEET'!E$12,'[5]PBX Return Data'!$AC:$AC)*100</f>
        <v>5.6818389437252144</v>
      </c>
      <c r="F16" s="27">
        <f>SUMIF('[5]PBX Return Data'!$V:$V,'[5]PBX - FACT SHEET'!F$12,'[5]PBX Return Data'!$AC:$AC)*100</f>
        <v>33.745346279230468</v>
      </c>
      <c r="G16" s="27">
        <f>SUMIF('[5]PBX Return Data'!$V:$V,'[5]PBX - FACT SHEET'!G$12,'[5]PBX Return Data'!$AC:$AC)*100</f>
        <v>11.116395711553118</v>
      </c>
      <c r="H16" s="138">
        <f>SUMIF('[5]PBX Return Data'!$V:$V,'[5]PBX - FACT SHEET'!H$12,'[5]PBX Return Data'!$AC:$AC)*100</f>
        <v>12.300728640384161</v>
      </c>
      <c r="I16" s="134"/>
      <c r="J16" s="16"/>
      <c r="L16" s="1"/>
      <c r="M16" s="92"/>
      <c r="Q16" s="93"/>
    </row>
    <row r="17" spans="2:20" ht="14.45" customHeight="1">
      <c r="B17" s="14"/>
      <c r="C17" s="139" t="s">
        <v>4</v>
      </c>
      <c r="D17" s="160">
        <v>2.0499999999999998</v>
      </c>
      <c r="E17" s="160">
        <v>2.0499999999999998</v>
      </c>
      <c r="F17" s="160">
        <v>37.81</v>
      </c>
      <c r="G17" s="160">
        <v>12.62</v>
      </c>
      <c r="H17" s="148">
        <v>11.27</v>
      </c>
      <c r="J17" s="16"/>
      <c r="L17" s="1"/>
      <c r="M17" s="92"/>
      <c r="Q17" s="93"/>
    </row>
    <row r="18" spans="2:20" ht="14.45" customHeight="1">
      <c r="B18" s="14"/>
      <c r="C18" s="139" t="s">
        <v>11</v>
      </c>
      <c r="D18" s="160">
        <v>1.95</v>
      </c>
      <c r="E18" s="160">
        <v>1.95</v>
      </c>
      <c r="F18" s="160">
        <v>36.75</v>
      </c>
      <c r="G18" s="160">
        <v>11.89</v>
      </c>
      <c r="H18" s="148">
        <v>10.51</v>
      </c>
      <c r="J18" s="16"/>
      <c r="L18" s="1"/>
      <c r="M18" s="92"/>
      <c r="Q18" s="93"/>
    </row>
    <row r="19" spans="2:20" ht="14.45" customHeight="1">
      <c r="B19" s="14"/>
      <c r="C19" s="161" t="s">
        <v>10</v>
      </c>
      <c r="D19" s="162">
        <v>-2.77</v>
      </c>
      <c r="E19" s="162">
        <v>-2.77</v>
      </c>
      <c r="F19" s="162">
        <v>31.25</v>
      </c>
      <c r="G19" s="162">
        <v>10.82</v>
      </c>
      <c r="H19" s="154">
        <v>9.9499999999999993</v>
      </c>
      <c r="I19" s="194"/>
      <c r="J19" s="16"/>
      <c r="L19" s="1"/>
      <c r="M19" s="92"/>
      <c r="Q19" s="93"/>
    </row>
    <row r="20" spans="2:20" ht="14.45" customHeight="1">
      <c r="B20" s="14"/>
      <c r="C20" s="224" t="s">
        <v>310</v>
      </c>
      <c r="D20" s="224"/>
      <c r="E20" s="224"/>
      <c r="F20" s="224"/>
      <c r="G20" s="224"/>
      <c r="H20" s="224"/>
      <c r="I20" s="192"/>
      <c r="J20" s="16"/>
      <c r="L20" s="1"/>
      <c r="M20" s="92"/>
      <c r="Q20" s="93"/>
    </row>
    <row r="21" spans="2:20" ht="14.45" customHeight="1" thickBot="1">
      <c r="B21" s="14"/>
      <c r="C21" s="192"/>
      <c r="D21" s="192"/>
      <c r="E21" s="192"/>
      <c r="F21" s="192"/>
      <c r="G21" s="192"/>
      <c r="H21" s="192"/>
      <c r="I21" s="195"/>
      <c r="J21" s="16"/>
      <c r="L21" s="1"/>
      <c r="M21" s="92"/>
      <c r="Q21" s="93"/>
    </row>
    <row r="22" spans="2:20" ht="14.45" customHeight="1">
      <c r="B22" s="14"/>
      <c r="C22" s="192"/>
      <c r="D22" s="192"/>
      <c r="E22" s="192"/>
      <c r="F22" s="192"/>
      <c r="G22" s="192"/>
      <c r="H22" s="192"/>
      <c r="I22" s="192"/>
      <c r="J22" s="16"/>
      <c r="L22" s="1"/>
      <c r="M22" s="92"/>
      <c r="N22" s="164" t="s">
        <v>59</v>
      </c>
      <c r="O22" s="15"/>
      <c r="Q22" s="93"/>
    </row>
    <row r="23" spans="2:20" ht="14.45" customHeight="1">
      <c r="B23" s="14"/>
      <c r="C23" s="192"/>
      <c r="D23" s="192"/>
      <c r="E23" s="192"/>
      <c r="F23" s="192"/>
      <c r="G23" s="192"/>
      <c r="H23" s="192"/>
      <c r="I23" s="192"/>
      <c r="J23" s="16"/>
      <c r="L23" s="1"/>
      <c r="M23" s="92"/>
      <c r="N23" s="131" t="s">
        <v>60</v>
      </c>
      <c r="O23" s="132">
        <v>0.28234838964415754</v>
      </c>
      <c r="P23" s="159"/>
      <c r="Q23" s="93"/>
    </row>
    <row r="24" spans="2:20" ht="14.45" customHeight="1">
      <c r="B24" s="14"/>
      <c r="C24" s="192"/>
      <c r="D24" s="192"/>
      <c r="E24" s="192"/>
      <c r="F24" s="192"/>
      <c r="G24" s="192"/>
      <c r="H24" s="192"/>
      <c r="I24" s="192"/>
      <c r="J24" s="16"/>
      <c r="L24" s="1"/>
      <c r="M24" s="92"/>
      <c r="N24" s="105" t="s">
        <v>62</v>
      </c>
      <c r="O24" s="132">
        <v>0.18902438300596619</v>
      </c>
      <c r="Q24" s="93"/>
    </row>
    <row r="25" spans="2:20" ht="14.45" customHeight="1">
      <c r="B25" s="14"/>
      <c r="C25" s="192"/>
      <c r="D25" s="192"/>
      <c r="E25" s="192"/>
      <c r="F25" s="192"/>
      <c r="G25" s="192"/>
      <c r="H25" s="192"/>
      <c r="I25" s="192"/>
      <c r="J25" s="16"/>
      <c r="L25" s="1"/>
      <c r="M25" s="92"/>
      <c r="N25" s="105" t="s">
        <v>63</v>
      </c>
      <c r="O25" s="132">
        <v>0.18247632123121893</v>
      </c>
      <c r="Q25" s="93"/>
    </row>
    <row r="26" spans="2:20" ht="14.45" customHeight="1">
      <c r="B26" s="14"/>
      <c r="C26" s="192"/>
      <c r="D26" s="192"/>
      <c r="E26" s="192"/>
      <c r="F26" s="192"/>
      <c r="G26" s="192"/>
      <c r="H26" s="192"/>
      <c r="I26" s="192"/>
      <c r="J26" s="16"/>
      <c r="L26" s="1"/>
      <c r="M26" s="92"/>
      <c r="N26" s="105" t="s">
        <v>64</v>
      </c>
      <c r="O26" s="132">
        <v>0.11754347133169242</v>
      </c>
      <c r="Q26" s="93"/>
    </row>
    <row r="27" spans="2:20" ht="14.45" customHeight="1">
      <c r="B27" s="14"/>
      <c r="C27" s="192"/>
      <c r="D27" s="192"/>
      <c r="E27" s="192"/>
      <c r="F27" s="192"/>
      <c r="G27" s="192"/>
      <c r="H27" s="192"/>
      <c r="I27" s="192"/>
      <c r="J27" s="16"/>
      <c r="L27" s="1"/>
      <c r="M27" s="92"/>
      <c r="N27" s="105" t="s">
        <v>61</v>
      </c>
      <c r="O27" s="132">
        <v>8.7094224237547202E-2</v>
      </c>
      <c r="Q27" s="93"/>
    </row>
    <row r="28" spans="2:20" ht="14.45" customHeight="1">
      <c r="B28" s="14"/>
      <c r="C28" s="28"/>
      <c r="D28" s="27"/>
      <c r="E28" s="27"/>
      <c r="F28" s="27"/>
      <c r="G28" s="27"/>
      <c r="H28" s="27"/>
      <c r="I28" s="27"/>
      <c r="J28" s="16"/>
      <c r="L28" s="1"/>
      <c r="M28" s="92"/>
      <c r="N28" s="105" t="s">
        <v>66</v>
      </c>
      <c r="O28" s="132">
        <v>7.8767904650672418E-2</v>
      </c>
      <c r="Q28" s="93"/>
    </row>
    <row r="29" spans="2:20" ht="14.45" customHeight="1">
      <c r="B29" s="14"/>
      <c r="C29" s="225" t="s">
        <v>31</v>
      </c>
      <c r="D29" s="226"/>
      <c r="E29" s="140" t="s">
        <v>45</v>
      </c>
      <c r="F29" s="182" t="s">
        <v>188</v>
      </c>
      <c r="G29" s="27"/>
      <c r="H29" s="27"/>
      <c r="I29" s="27"/>
      <c r="J29" s="16"/>
      <c r="L29" s="1"/>
      <c r="M29" s="92"/>
      <c r="N29" s="105" t="s">
        <v>104</v>
      </c>
      <c r="O29" s="132">
        <v>3.512770951163996E-2</v>
      </c>
      <c r="Q29" s="93"/>
    </row>
    <row r="30" spans="2:20" ht="14.45" customHeight="1" thickBot="1">
      <c r="B30" s="18"/>
      <c r="C30" s="141" t="s">
        <v>37</v>
      </c>
      <c r="D30" s="163"/>
      <c r="E30" s="90">
        <f>'[5]PBX Return Data'!X14</f>
        <v>1.0904190244065968</v>
      </c>
      <c r="F30" s="142">
        <f>'[5]PBX Return Data'!Z14</f>
        <v>1.5418736931049146</v>
      </c>
      <c r="G30" s="27"/>
      <c r="H30" s="27"/>
      <c r="I30" s="27"/>
      <c r="J30" s="16"/>
      <c r="L30" s="1"/>
      <c r="M30" s="92"/>
      <c r="N30" s="105" t="s">
        <v>57</v>
      </c>
      <c r="O30" s="132">
        <v>2.761759638710528E-2</v>
      </c>
      <c r="Q30" s="93"/>
    </row>
    <row r="31" spans="2:20" ht="14.45" customHeight="1" thickBot="1">
      <c r="C31" s="141" t="s">
        <v>40</v>
      </c>
      <c r="D31" s="163"/>
      <c r="E31" s="89">
        <f>'[5]PBX Return Data'!X11</f>
        <v>9.6658766770999188E-2</v>
      </c>
      <c r="F31" s="143" t="s">
        <v>43</v>
      </c>
      <c r="G31" s="27"/>
      <c r="H31" s="27"/>
      <c r="I31" s="27"/>
      <c r="J31" s="16"/>
      <c r="L31" s="1"/>
      <c r="M31" s="92"/>
      <c r="N31" s="107" t="s">
        <v>67</v>
      </c>
      <c r="O31" s="133">
        <f>SUM(O23:O30)</f>
        <v>0.99999999999999978</v>
      </c>
      <c r="Q31" s="93"/>
    </row>
    <row r="32" spans="2:20" s="4" customFormat="1" ht="14.45" customHeight="1">
      <c r="C32" s="141" t="s">
        <v>41</v>
      </c>
      <c r="D32" s="163"/>
      <c r="E32" s="90">
        <f>'[5]PBX Return Data'!X8</f>
        <v>0.47682193529274375</v>
      </c>
      <c r="F32" s="142" t="s">
        <v>43</v>
      </c>
      <c r="G32" s="27"/>
      <c r="H32" s="27"/>
      <c r="I32" s="27"/>
      <c r="J32" s="16"/>
      <c r="L32" s="1"/>
      <c r="M32" s="92"/>
      <c r="N32" s="163"/>
      <c r="O32" s="1"/>
      <c r="P32" s="1"/>
      <c r="Q32" s="93"/>
      <c r="R32" s="1"/>
      <c r="S32" s="1"/>
      <c r="T32" s="1"/>
    </row>
    <row r="33" spans="3:17" ht="14.45" customHeight="1">
      <c r="C33" s="141" t="s">
        <v>42</v>
      </c>
      <c r="D33" s="163"/>
      <c r="E33" s="90">
        <f>'[5]PBX Return Data'!X13</f>
        <v>0.1512219069125359</v>
      </c>
      <c r="F33" s="142" t="s">
        <v>43</v>
      </c>
      <c r="G33" s="27"/>
      <c r="H33" s="27"/>
      <c r="I33" s="27"/>
      <c r="J33" s="16"/>
      <c r="K33" s="9"/>
      <c r="L33" s="1"/>
      <c r="M33" s="92"/>
      <c r="Q33" s="93"/>
    </row>
    <row r="34" spans="3:17" ht="15.75" thickBot="1">
      <c r="C34" s="141" t="s">
        <v>38</v>
      </c>
      <c r="D34" s="163"/>
      <c r="E34" s="91">
        <f>'[5]PBX Return Data'!X16</f>
        <v>0.69387755102040816</v>
      </c>
      <c r="F34" s="144">
        <f>'[5]PBX Return Data'!Z16</f>
        <v>0.77551020408163263</v>
      </c>
      <c r="G34" s="27"/>
      <c r="H34" s="27"/>
      <c r="I34" s="27"/>
      <c r="J34" s="16"/>
      <c r="L34" s="1"/>
      <c r="M34" s="94"/>
      <c r="N34" s="95"/>
      <c r="O34" s="95"/>
      <c r="P34" s="95"/>
      <c r="Q34" s="96"/>
    </row>
    <row r="35" spans="3:17">
      <c r="C35" s="227" t="s">
        <v>39</v>
      </c>
      <c r="D35" s="228"/>
      <c r="E35" s="145">
        <f>'[5]PBX Return Data'!X17</f>
        <v>-0.13953311535244467</v>
      </c>
      <c r="F35" s="146">
        <f>'[5]PBX Return Data'!Z17</f>
        <v>-0.16010930946931626</v>
      </c>
      <c r="G35" s="27"/>
      <c r="J35" s="16"/>
    </row>
    <row r="36" spans="3:17" ht="15.75" thickBot="1">
      <c r="C36" s="19"/>
      <c r="D36" s="20"/>
      <c r="E36" s="20"/>
      <c r="F36" s="20"/>
      <c r="G36" s="20"/>
      <c r="H36" s="21"/>
      <c r="J36" s="16"/>
    </row>
    <row r="37" spans="3:17">
      <c r="C37" s="8"/>
      <c r="D37" s="7"/>
      <c r="E37" s="7"/>
      <c r="F37" s="7"/>
      <c r="J37" s="16"/>
    </row>
    <row r="38" spans="3:17">
      <c r="C38" s="8"/>
      <c r="D38" s="7"/>
      <c r="E38" s="7"/>
      <c r="F38" s="7"/>
      <c r="J38" s="16"/>
    </row>
    <row r="39" spans="3:17" ht="15.75" thickBot="1">
      <c r="C39" s="6"/>
      <c r="I39" s="21"/>
      <c r="J39" s="22"/>
    </row>
    <row r="40" spans="3:17">
      <c r="C40" s="6"/>
    </row>
    <row r="41" spans="3:17">
      <c r="C41" s="6"/>
    </row>
    <row r="42" spans="3:17">
      <c r="C42" s="6"/>
    </row>
    <row r="44" spans="3:17">
      <c r="M44" s="4"/>
    </row>
  </sheetData>
  <mergeCells count="8">
    <mergeCell ref="C20:H20"/>
    <mergeCell ref="C29:D29"/>
    <mergeCell ref="C35:D35"/>
    <mergeCell ref="M2:Q2"/>
    <mergeCell ref="B2:J2"/>
    <mergeCell ref="C4:C5"/>
    <mergeCell ref="D4:D5"/>
    <mergeCell ref="C6:C10"/>
  </mergeCells>
  <conditionalFormatting sqref="E6:G11">
    <cfRule type="cellIs" dxfId="13" priority="14" operator="equal">
      <formula>0</formula>
    </cfRule>
  </conditionalFormatting>
  <conditionalFormatting sqref="E6:G11">
    <cfRule type="containsErrors" dxfId="12" priority="13">
      <formula>ISERROR(E6)</formula>
    </cfRule>
  </conditionalFormatting>
  <conditionalFormatting sqref="E29 E30:F35 G29:G35 D13:H16 D28:H28 I28:I34 H29:H34 D17:E18 D19:H19">
    <cfRule type="cellIs" dxfId="11" priority="11" operator="equal">
      <formula>0</formula>
    </cfRule>
    <cfRule type="containsErrors" dxfId="10" priority="12">
      <formula>ISERROR(D13)</formula>
    </cfRule>
  </conditionalFormatting>
  <conditionalFormatting sqref="F17:G17">
    <cfRule type="cellIs" dxfId="9" priority="9" operator="equal">
      <formula>0</formula>
    </cfRule>
    <cfRule type="containsErrors" dxfId="8" priority="10">
      <formula>ISERROR(F17)</formula>
    </cfRule>
  </conditionalFormatting>
  <conditionalFormatting sqref="F18:G18">
    <cfRule type="cellIs" dxfId="7" priority="7" operator="equal">
      <formula>0</formula>
    </cfRule>
    <cfRule type="containsErrors" dxfId="6" priority="8">
      <formula>ISERROR(F18)</formula>
    </cfRule>
  </conditionalFormatting>
  <conditionalFormatting sqref="H17">
    <cfRule type="cellIs" dxfId="5" priority="5" operator="equal">
      <formula>0</formula>
    </cfRule>
    <cfRule type="containsErrors" dxfId="4" priority="6">
      <formula>ISERROR(H17)</formula>
    </cfRule>
  </conditionalFormatting>
  <conditionalFormatting sqref="H18">
    <cfRule type="cellIs" dxfId="3" priority="3" operator="equal">
      <formula>0</formula>
    </cfRule>
    <cfRule type="containsErrors" dxfId="2" priority="4">
      <formula>ISERROR(H18)</formula>
    </cfRule>
  </conditionalFormatting>
  <conditionalFormatting sqref="F29">
    <cfRule type="cellIs" dxfId="1" priority="1" operator="equal">
      <formula>0</formula>
    </cfRule>
    <cfRule type="containsErrors" dxfId="0" priority="2">
      <formula>ISERROR(F29)</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47BB-02EB-4DB7-A2C3-FA7C1F231B13}">
  <dimension ref="A1:Q70"/>
  <sheetViews>
    <sheetView topLeftCell="A46" workbookViewId="0">
      <selection activeCell="E17" sqref="E17"/>
    </sheetView>
  </sheetViews>
  <sheetFormatPr defaultRowHeight="15"/>
  <cols>
    <col min="1" max="1" width="19.85546875" customWidth="1"/>
    <col min="2" max="2" width="14.7109375" bestFit="1" customWidth="1"/>
    <col min="3" max="3" width="8.42578125" customWidth="1"/>
    <col min="4" max="4" width="29.140625" customWidth="1"/>
    <col min="5" max="5" width="15.42578125" customWidth="1"/>
    <col min="6" max="6" width="10" customWidth="1"/>
    <col min="7" max="7" width="13.85546875" hidden="1" customWidth="1"/>
    <col min="8" max="8" width="13.7109375" customWidth="1"/>
    <col min="9" max="9" width="7.5703125" customWidth="1"/>
    <col min="10" max="10" width="18.140625" customWidth="1"/>
    <col min="16" max="16" width="19.42578125" bestFit="1" customWidth="1"/>
    <col min="17" max="17" width="9.140625" customWidth="1"/>
  </cols>
  <sheetData>
    <row r="1" spans="1:17" ht="38.1" customHeight="1"/>
    <row r="2" spans="1:17" ht="3" customHeight="1"/>
    <row r="3" spans="1:17" ht="18" customHeight="1">
      <c r="D3" s="186" t="s">
        <v>68</v>
      </c>
    </row>
    <row r="4" spans="1:17" ht="18" customHeight="1">
      <c r="D4" s="186" t="s">
        <v>69</v>
      </c>
    </row>
    <row r="5" spans="1:17" ht="18" customHeight="1">
      <c r="D5" s="186" t="s">
        <v>263</v>
      </c>
    </row>
    <row r="6" spans="1:17" ht="18" customHeight="1">
      <c r="D6" s="186" t="s">
        <v>70</v>
      </c>
    </row>
    <row r="7" spans="1:17" ht="13.15" customHeight="1">
      <c r="A7" s="110" t="s">
        <v>71</v>
      </c>
      <c r="B7" s="110" t="s">
        <v>72</v>
      </c>
      <c r="C7" s="110"/>
      <c r="D7" s="110" t="s">
        <v>73</v>
      </c>
      <c r="E7" s="110" t="s">
        <v>74</v>
      </c>
      <c r="F7" s="110" t="s">
        <v>75</v>
      </c>
      <c r="G7" s="110" t="s">
        <v>76</v>
      </c>
      <c r="H7" s="110" t="s">
        <v>77</v>
      </c>
      <c r="I7" s="110" t="s">
        <v>78</v>
      </c>
      <c r="J7" s="111" t="s">
        <v>79</v>
      </c>
      <c r="K7" s="112" t="s">
        <v>80</v>
      </c>
    </row>
    <row r="8" spans="1:17" ht="13.15" customHeight="1">
      <c r="A8" s="113" t="s">
        <v>81</v>
      </c>
      <c r="B8" s="114"/>
      <c r="C8" s="114"/>
      <c r="D8" s="114"/>
      <c r="E8" s="114"/>
      <c r="F8" s="115"/>
      <c r="G8" s="115"/>
      <c r="H8" s="115"/>
    </row>
    <row r="9" spans="1:17">
      <c r="A9" s="113" t="s">
        <v>189</v>
      </c>
      <c r="B9" s="114"/>
      <c r="C9" s="114"/>
      <c r="D9" s="114"/>
      <c r="E9" s="114"/>
      <c r="F9" s="115"/>
      <c r="G9" s="115"/>
      <c r="H9" s="115"/>
    </row>
    <row r="10" spans="1:17">
      <c r="A10" s="115" t="s">
        <v>190</v>
      </c>
      <c r="B10" s="115" t="s">
        <v>164</v>
      </c>
      <c r="C10" s="115" t="s">
        <v>164</v>
      </c>
      <c r="D10" s="115" t="s">
        <v>191</v>
      </c>
      <c r="E10" s="116">
        <v>8333.0005999999994</v>
      </c>
      <c r="F10" s="117">
        <v>92.040001000000004</v>
      </c>
      <c r="G10" s="118">
        <v>372291.1</v>
      </c>
      <c r="H10" s="118">
        <v>766969.38</v>
      </c>
      <c r="I10" s="149">
        <v>8.0961242836639167E-3</v>
      </c>
      <c r="J10" s="119" t="s">
        <v>63</v>
      </c>
      <c r="K10" s="120">
        <v>42</v>
      </c>
    </row>
    <row r="11" spans="1:17" ht="13.15" customHeight="1">
      <c r="A11" s="124" t="s">
        <v>192</v>
      </c>
      <c r="E11" s="125">
        <v>8333.0005999999994</v>
      </c>
      <c r="F11" s="126"/>
      <c r="G11" s="127">
        <v>372291.1</v>
      </c>
      <c r="H11" s="127">
        <v>766969.38</v>
      </c>
      <c r="I11" s="187"/>
      <c r="P11" s="121" t="s">
        <v>87</v>
      </c>
      <c r="Q11" s="122" t="s">
        <v>78</v>
      </c>
    </row>
    <row r="12" spans="1:17">
      <c r="A12" s="113" t="s">
        <v>163</v>
      </c>
      <c r="B12" s="114"/>
      <c r="C12" s="114"/>
      <c r="D12" s="114"/>
      <c r="E12" s="114"/>
      <c r="F12" s="115"/>
      <c r="G12" s="115"/>
      <c r="H12" s="115"/>
      <c r="P12" s="123" t="s">
        <v>60</v>
      </c>
      <c r="Q12" s="150">
        <v>0.28234838964415754</v>
      </c>
    </row>
    <row r="13" spans="1:17">
      <c r="A13" s="115" t="s">
        <v>238</v>
      </c>
      <c r="B13" s="115" t="s">
        <v>239</v>
      </c>
      <c r="C13" s="115" t="s">
        <v>240</v>
      </c>
      <c r="D13" s="115" t="s">
        <v>241</v>
      </c>
      <c r="E13" s="116">
        <v>4005000</v>
      </c>
      <c r="F13" s="117">
        <v>108.69</v>
      </c>
      <c r="G13" s="118">
        <v>4302208.5</v>
      </c>
      <c r="H13" s="118">
        <v>4353034.5</v>
      </c>
      <c r="I13" s="149">
        <v>4.5950606689248559E-2</v>
      </c>
      <c r="J13" s="119" t="s">
        <v>62</v>
      </c>
      <c r="K13" s="120">
        <v>1</v>
      </c>
      <c r="P13" s="123" t="s">
        <v>62</v>
      </c>
      <c r="Q13" s="150">
        <v>0.18902438300596619</v>
      </c>
    </row>
    <row r="14" spans="1:17">
      <c r="A14" s="115" t="s">
        <v>171</v>
      </c>
      <c r="B14" s="115" t="s">
        <v>172</v>
      </c>
      <c r="C14" s="115" t="s">
        <v>173</v>
      </c>
      <c r="D14" s="115" t="s">
        <v>219</v>
      </c>
      <c r="E14" s="116">
        <v>2380000</v>
      </c>
      <c r="F14" s="117">
        <v>171.6875</v>
      </c>
      <c r="G14" s="118">
        <v>3412127.38</v>
      </c>
      <c r="H14" s="118">
        <v>4086162.5</v>
      </c>
      <c r="I14" s="149">
        <v>4.3133507420135678E-2</v>
      </c>
      <c r="J14" s="119" t="s">
        <v>64</v>
      </c>
      <c r="K14" s="120">
        <v>2</v>
      </c>
      <c r="P14" s="123" t="s">
        <v>63</v>
      </c>
      <c r="Q14" s="150">
        <v>0.18247632123121893</v>
      </c>
    </row>
    <row r="15" spans="1:17">
      <c r="A15" s="115" t="s">
        <v>147</v>
      </c>
      <c r="B15" s="115" t="s">
        <v>85</v>
      </c>
      <c r="C15" s="115" t="s">
        <v>86</v>
      </c>
      <c r="D15" s="115" t="s">
        <v>217</v>
      </c>
      <c r="E15" s="116">
        <v>3180928</v>
      </c>
      <c r="F15" s="117">
        <v>113.9375</v>
      </c>
      <c r="G15" s="118">
        <v>3379452.84</v>
      </c>
      <c r="H15" s="118">
        <v>3624269.84</v>
      </c>
      <c r="I15" s="149">
        <v>3.8257771206165671E-2</v>
      </c>
      <c r="J15" s="119" t="s">
        <v>60</v>
      </c>
      <c r="K15" s="120">
        <v>5</v>
      </c>
      <c r="P15" s="123" t="s">
        <v>64</v>
      </c>
      <c r="Q15" s="150">
        <v>0.11754347133169242</v>
      </c>
    </row>
    <row r="16" spans="1:17">
      <c r="A16" s="115" t="s">
        <v>165</v>
      </c>
      <c r="B16" s="115" t="s">
        <v>166</v>
      </c>
      <c r="C16" s="115" t="s">
        <v>167</v>
      </c>
      <c r="D16" s="115" t="s">
        <v>244</v>
      </c>
      <c r="E16" s="116">
        <v>2125000</v>
      </c>
      <c r="F16" s="117">
        <v>156.6</v>
      </c>
      <c r="G16" s="118">
        <v>3023393.79</v>
      </c>
      <c r="H16" s="118">
        <v>3327750</v>
      </c>
      <c r="I16" s="149">
        <v>3.512770951163996E-2</v>
      </c>
      <c r="J16" s="119" t="s">
        <v>104</v>
      </c>
      <c r="K16" s="120">
        <v>7</v>
      </c>
      <c r="P16" s="123" t="s">
        <v>61</v>
      </c>
      <c r="Q16" s="150">
        <v>8.7094224237547202E-2</v>
      </c>
    </row>
    <row r="17" spans="1:17">
      <c r="A17" s="115" t="s">
        <v>98</v>
      </c>
      <c r="B17" s="115" t="s">
        <v>99</v>
      </c>
      <c r="C17" s="115" t="s">
        <v>100</v>
      </c>
      <c r="D17" s="115" t="s">
        <v>235</v>
      </c>
      <c r="E17" s="116">
        <v>3178080</v>
      </c>
      <c r="F17" s="117">
        <v>102.137238</v>
      </c>
      <c r="G17" s="118">
        <v>3252452.74</v>
      </c>
      <c r="H17" s="118">
        <v>3246003.13</v>
      </c>
      <c r="I17" s="149">
        <v>3.4264790030655572E-2</v>
      </c>
      <c r="J17" s="119" t="s">
        <v>60</v>
      </c>
      <c r="K17" s="120">
        <v>8</v>
      </c>
      <c r="P17" s="123" t="s">
        <v>66</v>
      </c>
      <c r="Q17" s="150">
        <v>7.8767904650672418E-2</v>
      </c>
    </row>
    <row r="18" spans="1:17">
      <c r="A18" s="115" t="s">
        <v>264</v>
      </c>
      <c r="B18" s="115" t="s">
        <v>265</v>
      </c>
      <c r="C18" s="115" t="s">
        <v>266</v>
      </c>
      <c r="D18" s="115" t="s">
        <v>267</v>
      </c>
      <c r="E18" s="116">
        <v>2855000</v>
      </c>
      <c r="F18" s="117">
        <v>109.15</v>
      </c>
      <c r="G18" s="118">
        <v>3104789.57</v>
      </c>
      <c r="H18" s="118">
        <v>3116232.5</v>
      </c>
      <c r="I18" s="149">
        <v>3.2894932020353561E-2</v>
      </c>
      <c r="J18" s="119" t="s">
        <v>66</v>
      </c>
      <c r="K18" s="120">
        <v>9</v>
      </c>
      <c r="P18" s="123" t="s">
        <v>104</v>
      </c>
      <c r="Q18" s="150">
        <v>3.512770951163996E-2</v>
      </c>
    </row>
    <row r="19" spans="1:17">
      <c r="A19" s="115" t="s">
        <v>106</v>
      </c>
      <c r="B19" s="115" t="s">
        <v>107</v>
      </c>
      <c r="C19" s="115" t="s">
        <v>108</v>
      </c>
      <c r="D19" s="115" t="s">
        <v>236</v>
      </c>
      <c r="E19" s="116">
        <v>2311118</v>
      </c>
      <c r="F19" s="117">
        <v>117.1875</v>
      </c>
      <c r="G19" s="118">
        <v>2590319.52</v>
      </c>
      <c r="H19" s="118">
        <v>2708341.41</v>
      </c>
      <c r="I19" s="149">
        <v>2.8589236063053226E-2</v>
      </c>
      <c r="J19" s="119" t="s">
        <v>64</v>
      </c>
      <c r="K19" s="120">
        <v>13</v>
      </c>
      <c r="P19" s="123" t="s">
        <v>57</v>
      </c>
      <c r="Q19" s="150">
        <v>2.761759638710528E-2</v>
      </c>
    </row>
    <row r="20" spans="1:17">
      <c r="A20" s="115" t="s">
        <v>88</v>
      </c>
      <c r="B20" s="115" t="s">
        <v>89</v>
      </c>
      <c r="C20" s="115" t="s">
        <v>90</v>
      </c>
      <c r="D20" s="115" t="s">
        <v>221</v>
      </c>
      <c r="E20" s="116">
        <v>492616</v>
      </c>
      <c r="F20" s="117">
        <v>501.13</v>
      </c>
      <c r="G20" s="118">
        <v>2118353.21</v>
      </c>
      <c r="H20" s="118">
        <v>2468646.56</v>
      </c>
      <c r="I20" s="149">
        <v>2.6059018630182333E-2</v>
      </c>
      <c r="J20" s="119" t="s">
        <v>63</v>
      </c>
      <c r="K20" s="120">
        <v>15</v>
      </c>
      <c r="P20" s="123" t="s">
        <v>65</v>
      </c>
      <c r="Q20" s="150">
        <v>0</v>
      </c>
    </row>
    <row r="21" spans="1:17">
      <c r="A21" s="115" t="s">
        <v>233</v>
      </c>
      <c r="B21" s="115" t="s">
        <v>195</v>
      </c>
      <c r="C21" s="115" t="s">
        <v>196</v>
      </c>
      <c r="D21" s="115" t="s">
        <v>234</v>
      </c>
      <c r="E21" s="116">
        <v>1840000</v>
      </c>
      <c r="F21" s="117">
        <v>132.885009</v>
      </c>
      <c r="G21" s="118">
        <v>2384616.58</v>
      </c>
      <c r="H21" s="118">
        <v>2445084.17</v>
      </c>
      <c r="I21" s="149">
        <v>2.5810294179331165E-2</v>
      </c>
      <c r="J21" s="119" t="s">
        <v>63</v>
      </c>
      <c r="K21" s="120">
        <v>16</v>
      </c>
      <c r="P21" s="123" t="s">
        <v>97</v>
      </c>
      <c r="Q21" s="150">
        <v>0</v>
      </c>
    </row>
    <row r="22" spans="1:17">
      <c r="A22" s="115" t="s">
        <v>268</v>
      </c>
      <c r="B22" s="115" t="s">
        <v>269</v>
      </c>
      <c r="C22" s="115" t="s">
        <v>270</v>
      </c>
      <c r="D22" s="115" t="s">
        <v>271</v>
      </c>
      <c r="E22" s="116">
        <v>2170000</v>
      </c>
      <c r="F22" s="117">
        <v>105.9375</v>
      </c>
      <c r="G22" s="118">
        <v>2341866.9</v>
      </c>
      <c r="H22" s="118">
        <v>2298843.75</v>
      </c>
      <c r="I22" s="149">
        <v>2.4266581162241476E-2</v>
      </c>
      <c r="J22" s="119" t="s">
        <v>63</v>
      </c>
      <c r="K22" s="120">
        <v>17</v>
      </c>
      <c r="P22" s="123" t="s">
        <v>101</v>
      </c>
      <c r="Q22" s="150">
        <v>0</v>
      </c>
    </row>
    <row r="23" spans="1:17">
      <c r="A23" s="115" t="s">
        <v>223</v>
      </c>
      <c r="B23" s="115" t="s">
        <v>224</v>
      </c>
      <c r="C23" s="115" t="s">
        <v>225</v>
      </c>
      <c r="D23" s="115" t="s">
        <v>226</v>
      </c>
      <c r="E23" s="116">
        <v>1030000</v>
      </c>
      <c r="F23" s="117">
        <v>207.3125</v>
      </c>
      <c r="G23" s="118">
        <v>1655229.43</v>
      </c>
      <c r="H23" s="118">
        <v>2135318.75</v>
      </c>
      <c r="I23" s="149">
        <v>2.2540412219895768E-2</v>
      </c>
      <c r="J23" s="119" t="s">
        <v>60</v>
      </c>
      <c r="K23" s="120">
        <v>18</v>
      </c>
      <c r="P23" s="123" t="s">
        <v>103</v>
      </c>
      <c r="Q23" s="150">
        <v>0</v>
      </c>
    </row>
    <row r="24" spans="1:17">
      <c r="A24" s="115" t="s">
        <v>272</v>
      </c>
      <c r="B24" s="115" t="s">
        <v>273</v>
      </c>
      <c r="C24" s="115" t="s">
        <v>274</v>
      </c>
      <c r="D24" s="115" t="s">
        <v>275</v>
      </c>
      <c r="E24" s="116">
        <v>1050000</v>
      </c>
      <c r="F24" s="117">
        <v>184.25</v>
      </c>
      <c r="G24" s="118">
        <v>1612707</v>
      </c>
      <c r="H24" s="118">
        <v>1934625</v>
      </c>
      <c r="I24" s="149">
        <v>2.0421890170222057E-2</v>
      </c>
      <c r="J24" s="119" t="s">
        <v>60</v>
      </c>
      <c r="K24" s="120">
        <v>22</v>
      </c>
    </row>
    <row r="25" spans="1:17">
      <c r="A25" s="115" t="s">
        <v>91</v>
      </c>
      <c r="B25" s="115" t="s">
        <v>92</v>
      </c>
      <c r="C25" s="115" t="s">
        <v>93</v>
      </c>
      <c r="D25" s="115" t="s">
        <v>242</v>
      </c>
      <c r="E25" s="116">
        <v>639599</v>
      </c>
      <c r="F25" s="117">
        <v>282.125</v>
      </c>
      <c r="G25" s="118">
        <v>1805643.13</v>
      </c>
      <c r="H25" s="118">
        <v>1804468.68</v>
      </c>
      <c r="I25" s="149">
        <v>1.9047960818538771E-2</v>
      </c>
      <c r="J25" s="119" t="s">
        <v>60</v>
      </c>
      <c r="K25" s="120">
        <v>25</v>
      </c>
      <c r="P25" s="123" t="s">
        <v>109</v>
      </c>
      <c r="Q25" s="150">
        <v>0.60271947082721977</v>
      </c>
    </row>
    <row r="26" spans="1:17">
      <c r="A26" s="115" t="s">
        <v>115</v>
      </c>
      <c r="B26" s="115" t="s">
        <v>116</v>
      </c>
      <c r="C26" s="115" t="s">
        <v>117</v>
      </c>
      <c r="D26" s="115" t="s">
        <v>227</v>
      </c>
      <c r="E26" s="116">
        <v>1690886</v>
      </c>
      <c r="F26" s="117">
        <v>104.38</v>
      </c>
      <c r="G26" s="118">
        <v>1787725.96</v>
      </c>
      <c r="H26" s="118">
        <v>1764946.81</v>
      </c>
      <c r="I26" s="149">
        <v>1.8630768190271384E-2</v>
      </c>
      <c r="J26" s="119" t="s">
        <v>62</v>
      </c>
      <c r="K26" s="120">
        <v>26</v>
      </c>
      <c r="P26" s="123" t="s">
        <v>110</v>
      </c>
      <c r="Q26" s="150">
        <v>0.36156680850201106</v>
      </c>
    </row>
    <row r="27" spans="1:17">
      <c r="A27" s="115" t="s">
        <v>168</v>
      </c>
      <c r="B27" s="115" t="s">
        <v>169</v>
      </c>
      <c r="C27" s="115" t="s">
        <v>170</v>
      </c>
      <c r="D27" s="115" t="s">
        <v>257</v>
      </c>
      <c r="E27" s="116">
        <v>870000</v>
      </c>
      <c r="F27" s="117">
        <v>197.5625</v>
      </c>
      <c r="G27" s="118">
        <v>1770808.63</v>
      </c>
      <c r="H27" s="118">
        <v>1718793.75</v>
      </c>
      <c r="I27" s="149">
        <v>1.8143576759198352E-2</v>
      </c>
      <c r="J27" s="119" t="s">
        <v>60</v>
      </c>
      <c r="K27" s="120">
        <v>27</v>
      </c>
      <c r="P27" s="123" t="s">
        <v>57</v>
      </c>
      <c r="Q27" s="150">
        <v>2.761759638710528E-2</v>
      </c>
    </row>
    <row r="28" spans="1:17">
      <c r="A28" s="115" t="s">
        <v>249</v>
      </c>
      <c r="B28" s="115" t="s">
        <v>250</v>
      </c>
      <c r="C28" s="115" t="s">
        <v>251</v>
      </c>
      <c r="D28" s="115" t="s">
        <v>252</v>
      </c>
      <c r="E28" s="116">
        <v>1465000</v>
      </c>
      <c r="F28" s="117">
        <v>112.625</v>
      </c>
      <c r="G28" s="118">
        <v>1626839.3</v>
      </c>
      <c r="H28" s="118">
        <v>1649956.25</v>
      </c>
      <c r="I28" s="149">
        <v>1.7416928512332595E-2</v>
      </c>
      <c r="J28" s="119" t="s">
        <v>60</v>
      </c>
      <c r="K28" s="120">
        <v>28</v>
      </c>
      <c r="P28" s="123" t="s">
        <v>111</v>
      </c>
      <c r="Q28" s="150">
        <v>8.0961242836639167E-3</v>
      </c>
    </row>
    <row r="29" spans="1:17">
      <c r="A29" s="115" t="s">
        <v>150</v>
      </c>
      <c r="B29" s="115" t="s">
        <v>151</v>
      </c>
      <c r="C29" s="115" t="s">
        <v>152</v>
      </c>
      <c r="D29" s="115" t="s">
        <v>222</v>
      </c>
      <c r="E29" s="116">
        <v>180000</v>
      </c>
      <c r="F29" s="117">
        <v>882.5</v>
      </c>
      <c r="G29" s="118">
        <v>944245.03</v>
      </c>
      <c r="H29" s="118">
        <v>1588500</v>
      </c>
      <c r="I29" s="149">
        <v>1.6768196697239897E-2</v>
      </c>
      <c r="J29" s="119" t="s">
        <v>60</v>
      </c>
      <c r="K29" s="120">
        <v>29</v>
      </c>
      <c r="Q29" s="150"/>
    </row>
    <row r="30" spans="1:17">
      <c r="A30" s="115" t="s">
        <v>245</v>
      </c>
      <c r="B30" s="115" t="s">
        <v>246</v>
      </c>
      <c r="C30" s="115" t="s">
        <v>247</v>
      </c>
      <c r="D30" s="115" t="s">
        <v>248</v>
      </c>
      <c r="E30" s="116">
        <v>1200000</v>
      </c>
      <c r="F30" s="117">
        <v>107.81</v>
      </c>
      <c r="G30" s="118">
        <v>1405978.14</v>
      </c>
      <c r="H30" s="118">
        <v>1293720</v>
      </c>
      <c r="I30" s="149">
        <v>1.3656500743565125E-2</v>
      </c>
      <c r="J30" s="119" t="s">
        <v>60</v>
      </c>
      <c r="K30" s="120">
        <v>31</v>
      </c>
    </row>
    <row r="31" spans="1:17">
      <c r="A31" s="115" t="s">
        <v>276</v>
      </c>
      <c r="B31" s="115" t="s">
        <v>277</v>
      </c>
      <c r="C31" s="115" t="s">
        <v>278</v>
      </c>
      <c r="D31" s="115" t="s">
        <v>279</v>
      </c>
      <c r="E31" s="116">
        <v>1190000</v>
      </c>
      <c r="F31" s="117">
        <v>101</v>
      </c>
      <c r="G31" s="118">
        <v>1301025.3</v>
      </c>
      <c r="H31" s="118">
        <v>1201900</v>
      </c>
      <c r="I31" s="149">
        <v>1.2687249361292183E-2</v>
      </c>
      <c r="J31" s="119" t="s">
        <v>63</v>
      </c>
      <c r="K31" s="120">
        <v>34</v>
      </c>
    </row>
    <row r="32" spans="1:17">
      <c r="A32" s="115" t="s">
        <v>82</v>
      </c>
      <c r="B32" s="115" t="s">
        <v>83</v>
      </c>
      <c r="C32" s="115" t="s">
        <v>84</v>
      </c>
      <c r="D32" s="115" t="s">
        <v>220</v>
      </c>
      <c r="E32" s="116">
        <v>63443</v>
      </c>
      <c r="F32" s="117">
        <v>1892.916776</v>
      </c>
      <c r="G32" s="118">
        <v>415295.54</v>
      </c>
      <c r="H32" s="118">
        <v>1200923.19</v>
      </c>
      <c r="I32" s="149">
        <v>1.2676938160652693E-2</v>
      </c>
      <c r="J32" s="119" t="s">
        <v>60</v>
      </c>
      <c r="K32" s="120">
        <v>35</v>
      </c>
    </row>
    <row r="33" spans="1:11">
      <c r="A33" s="115" t="s">
        <v>229</v>
      </c>
      <c r="B33" s="115" t="s">
        <v>230</v>
      </c>
      <c r="C33" s="115" t="s">
        <v>231</v>
      </c>
      <c r="D33" s="115" t="s">
        <v>232</v>
      </c>
      <c r="E33" s="116">
        <v>1005000</v>
      </c>
      <c r="F33" s="117">
        <v>117.2</v>
      </c>
      <c r="G33" s="118">
        <v>1132158.93</v>
      </c>
      <c r="H33" s="118">
        <v>1177860</v>
      </c>
      <c r="I33" s="149">
        <v>1.2433483262078052E-2</v>
      </c>
      <c r="J33" s="119" t="s">
        <v>66</v>
      </c>
      <c r="K33" s="120">
        <v>36</v>
      </c>
    </row>
    <row r="34" spans="1:11">
      <c r="A34" s="115" t="s">
        <v>253</v>
      </c>
      <c r="B34" s="115" t="s">
        <v>254</v>
      </c>
      <c r="C34" s="115" t="s">
        <v>255</v>
      </c>
      <c r="D34" s="115" t="s">
        <v>256</v>
      </c>
      <c r="E34" s="116">
        <v>1170000</v>
      </c>
      <c r="F34" s="117">
        <v>100.375</v>
      </c>
      <c r="G34" s="118">
        <v>1213674.95</v>
      </c>
      <c r="H34" s="118">
        <v>1174387.5</v>
      </c>
      <c r="I34" s="149">
        <v>1.2396827572414115E-2</v>
      </c>
      <c r="J34" s="119" t="s">
        <v>60</v>
      </c>
      <c r="K34" s="120">
        <v>37</v>
      </c>
    </row>
    <row r="35" spans="1:11">
      <c r="A35" s="115" t="s">
        <v>112</v>
      </c>
      <c r="B35" s="115" t="s">
        <v>113</v>
      </c>
      <c r="C35" s="115" t="s">
        <v>114</v>
      </c>
      <c r="D35" s="115" t="s">
        <v>243</v>
      </c>
      <c r="E35" s="116">
        <v>1056540</v>
      </c>
      <c r="F35" s="117">
        <v>108.25</v>
      </c>
      <c r="G35" s="118">
        <v>1124084.8899999999</v>
      </c>
      <c r="H35" s="118">
        <v>1143704.55</v>
      </c>
      <c r="I35" s="149">
        <v>1.2072938531903207E-2</v>
      </c>
      <c r="J35" s="119" t="s">
        <v>62</v>
      </c>
      <c r="K35" s="120">
        <v>38</v>
      </c>
    </row>
    <row r="36" spans="1:11">
      <c r="A36" s="115" t="s">
        <v>280</v>
      </c>
      <c r="B36" s="115" t="s">
        <v>199</v>
      </c>
      <c r="C36" s="115" t="s">
        <v>200</v>
      </c>
      <c r="D36" s="115" t="s">
        <v>281</v>
      </c>
      <c r="E36" s="116">
        <v>950000</v>
      </c>
      <c r="F36" s="117">
        <v>109.5625</v>
      </c>
      <c r="G36" s="118">
        <v>1014836.29</v>
      </c>
      <c r="H36" s="118">
        <v>1040843.75</v>
      </c>
      <c r="I36" s="149">
        <v>1.0987140529488694E-2</v>
      </c>
      <c r="J36" s="119" t="s">
        <v>60</v>
      </c>
      <c r="K36" s="120">
        <v>39</v>
      </c>
    </row>
    <row r="37" spans="1:11">
      <c r="A37" s="115" t="s">
        <v>197</v>
      </c>
      <c r="B37" s="115" t="s">
        <v>198</v>
      </c>
      <c r="C37" s="115" t="s">
        <v>105</v>
      </c>
      <c r="D37" s="115" t="s">
        <v>218</v>
      </c>
      <c r="E37" s="116">
        <v>915000</v>
      </c>
      <c r="F37" s="117">
        <v>107.5</v>
      </c>
      <c r="G37" s="118">
        <v>897830.17</v>
      </c>
      <c r="H37" s="118">
        <v>983625</v>
      </c>
      <c r="I37" s="149">
        <v>1.0383139739579852E-2</v>
      </c>
      <c r="J37" s="119" t="s">
        <v>66</v>
      </c>
      <c r="K37" s="120">
        <v>40</v>
      </c>
    </row>
    <row r="38" spans="1:11">
      <c r="A38" s="115" t="s">
        <v>282</v>
      </c>
      <c r="B38" s="115" t="s">
        <v>283</v>
      </c>
      <c r="C38" s="115" t="s">
        <v>284</v>
      </c>
      <c r="D38" s="115" t="s">
        <v>285</v>
      </c>
      <c r="E38" s="116">
        <v>295000</v>
      </c>
      <c r="F38" s="117">
        <v>280.60000000000002</v>
      </c>
      <c r="G38" s="118">
        <v>854843.09</v>
      </c>
      <c r="H38" s="118">
        <v>827770</v>
      </c>
      <c r="I38" s="149">
        <v>8.7379352723161927E-3</v>
      </c>
      <c r="J38" s="119" t="s">
        <v>66</v>
      </c>
      <c r="K38" s="120">
        <v>41</v>
      </c>
    </row>
    <row r="39" spans="1:11">
      <c r="A39" s="115" t="s">
        <v>94</v>
      </c>
      <c r="B39" s="115" t="s">
        <v>95</v>
      </c>
      <c r="C39" s="115" t="s">
        <v>96</v>
      </c>
      <c r="D39" s="115" t="s">
        <v>258</v>
      </c>
      <c r="E39" s="116">
        <v>648291</v>
      </c>
      <c r="F39" s="117">
        <v>117.812499</v>
      </c>
      <c r="G39" s="118">
        <v>763717.29</v>
      </c>
      <c r="H39" s="118">
        <v>763767.83</v>
      </c>
      <c r="I39" s="149">
        <v>8.0623287406132102E-3</v>
      </c>
      <c r="J39" s="119" t="s">
        <v>60</v>
      </c>
      <c r="K39" s="120">
        <v>43</v>
      </c>
    </row>
    <row r="40" spans="1:11">
      <c r="A40" s="115" t="s">
        <v>193</v>
      </c>
      <c r="B40" s="115" t="s">
        <v>194</v>
      </c>
      <c r="C40" s="115" t="s">
        <v>102</v>
      </c>
      <c r="D40" s="115" t="s">
        <v>237</v>
      </c>
      <c r="E40" s="116">
        <v>520000</v>
      </c>
      <c r="F40" s="117">
        <v>130.8125</v>
      </c>
      <c r="G40" s="118">
        <v>519316.5</v>
      </c>
      <c r="H40" s="118">
        <v>680225</v>
      </c>
      <c r="I40" s="149">
        <v>7.1804511163865341E-3</v>
      </c>
      <c r="J40" s="119" t="s">
        <v>66</v>
      </c>
      <c r="K40" s="120">
        <v>45</v>
      </c>
    </row>
    <row r="41" spans="1:11">
      <c r="A41" s="115" t="s">
        <v>286</v>
      </c>
      <c r="B41" s="115" t="s">
        <v>287</v>
      </c>
      <c r="C41" s="115" t="s">
        <v>231</v>
      </c>
      <c r="D41" s="115" t="s">
        <v>288</v>
      </c>
      <c r="E41" s="116">
        <v>460000</v>
      </c>
      <c r="F41" s="117">
        <v>147</v>
      </c>
      <c r="G41" s="118">
        <v>711412.78</v>
      </c>
      <c r="H41" s="118">
        <v>676200</v>
      </c>
      <c r="I41" s="149">
        <v>7.1379632399582119E-3</v>
      </c>
      <c r="J41" s="119" t="s">
        <v>66</v>
      </c>
      <c r="K41" s="120">
        <v>46</v>
      </c>
    </row>
    <row r="42" spans="1:11">
      <c r="A42" s="115" t="s">
        <v>201</v>
      </c>
      <c r="B42" s="115" t="s">
        <v>148</v>
      </c>
      <c r="C42" s="115" t="s">
        <v>149</v>
      </c>
      <c r="D42" s="115" t="s">
        <v>228</v>
      </c>
      <c r="E42" s="116">
        <v>620000</v>
      </c>
      <c r="F42" s="117">
        <v>106.6875</v>
      </c>
      <c r="G42" s="118">
        <v>651344.80000000005</v>
      </c>
      <c r="H42" s="118">
        <v>661462.5</v>
      </c>
      <c r="I42" s="149">
        <v>6.9823942762656886E-3</v>
      </c>
      <c r="J42" s="119" t="s">
        <v>60</v>
      </c>
      <c r="K42" s="120">
        <v>47</v>
      </c>
    </row>
    <row r="43" spans="1:11" ht="13.15" customHeight="1">
      <c r="A43" s="124" t="s">
        <v>174</v>
      </c>
      <c r="E43" s="125">
        <v>41556501</v>
      </c>
      <c r="F43" s="126"/>
      <c r="G43" s="127">
        <v>53118298.18</v>
      </c>
      <c r="H43" s="127">
        <v>57097366.920000002</v>
      </c>
      <c r="I43" s="149"/>
      <c r="J43" s="119"/>
      <c r="K43" s="120"/>
    </row>
    <row r="44" spans="1:11">
      <c r="A44" s="113" t="s">
        <v>118</v>
      </c>
      <c r="B44" s="114"/>
      <c r="C44" s="114"/>
      <c r="D44" s="114"/>
      <c r="E44" s="114"/>
      <c r="F44" s="115"/>
      <c r="G44" s="115"/>
      <c r="H44" s="115"/>
      <c r="I44" s="149"/>
      <c r="J44" s="119"/>
      <c r="K44" s="120"/>
    </row>
    <row r="45" spans="1:11">
      <c r="A45" s="115" t="s">
        <v>175</v>
      </c>
      <c r="B45" s="115" t="s">
        <v>176</v>
      </c>
      <c r="C45" s="115"/>
      <c r="D45" s="115" t="s">
        <v>202</v>
      </c>
      <c r="E45" s="116">
        <v>2616295.16</v>
      </c>
      <c r="F45" s="117">
        <v>100</v>
      </c>
      <c r="G45" s="118">
        <v>2616295.16</v>
      </c>
      <c r="H45" s="118">
        <v>2616295.16</v>
      </c>
      <c r="I45" s="149">
        <v>2.761759638710528E-2</v>
      </c>
      <c r="J45" s="119" t="s">
        <v>57</v>
      </c>
      <c r="K45" s="120">
        <v>14</v>
      </c>
    </row>
    <row r="46" spans="1:11" ht="13.15" customHeight="1">
      <c r="A46" s="124" t="s">
        <v>119</v>
      </c>
      <c r="E46" s="125">
        <v>2616295.16</v>
      </c>
      <c r="F46" s="126"/>
      <c r="G46" s="127">
        <v>2616295.16</v>
      </c>
      <c r="H46" s="127">
        <v>2616295.16</v>
      </c>
      <c r="I46" s="196"/>
      <c r="J46" s="119"/>
      <c r="K46" s="120"/>
    </row>
    <row r="47" spans="1:11">
      <c r="A47" s="113" t="s">
        <v>203</v>
      </c>
      <c r="B47" s="114"/>
      <c r="C47" s="114"/>
      <c r="D47" s="114"/>
      <c r="E47" s="114"/>
      <c r="F47" s="115"/>
      <c r="G47" s="115"/>
      <c r="H47" s="115"/>
      <c r="I47" s="197"/>
    </row>
    <row r="48" spans="1:11">
      <c r="A48" s="115" t="s">
        <v>177</v>
      </c>
      <c r="B48" s="115" t="s">
        <v>178</v>
      </c>
      <c r="C48" s="115" t="s">
        <v>179</v>
      </c>
      <c r="D48" s="115" t="s">
        <v>205</v>
      </c>
      <c r="E48" s="116">
        <v>35135</v>
      </c>
      <c r="F48" s="117">
        <v>108.25</v>
      </c>
      <c r="G48" s="118">
        <v>3867533.49</v>
      </c>
      <c r="H48" s="118">
        <v>3803363.75</v>
      </c>
      <c r="I48" s="149">
        <v>4.0148285471294905E-2</v>
      </c>
      <c r="J48" s="119" t="s">
        <v>63</v>
      </c>
      <c r="K48" s="120">
        <v>3</v>
      </c>
    </row>
    <row r="49" spans="1:11">
      <c r="A49" s="115" t="s">
        <v>184</v>
      </c>
      <c r="B49" s="115" t="s">
        <v>185</v>
      </c>
      <c r="C49" s="115" t="s">
        <v>135</v>
      </c>
      <c r="D49" s="115" t="s">
        <v>211</v>
      </c>
      <c r="E49" s="116">
        <v>30965</v>
      </c>
      <c r="F49" s="117">
        <v>117.98</v>
      </c>
      <c r="G49" s="118">
        <v>3121595.3</v>
      </c>
      <c r="H49" s="118">
        <v>3653250.7</v>
      </c>
      <c r="I49" s="149">
        <v>3.8563692994604562E-2</v>
      </c>
      <c r="J49" s="119" t="s">
        <v>64</v>
      </c>
      <c r="K49" s="120">
        <v>4</v>
      </c>
    </row>
    <row r="50" spans="1:11">
      <c r="A50" s="115" t="s">
        <v>289</v>
      </c>
      <c r="B50" s="115" t="s">
        <v>290</v>
      </c>
      <c r="C50" s="115" t="s">
        <v>291</v>
      </c>
      <c r="D50" s="115" t="s">
        <v>292</v>
      </c>
      <c r="E50" s="116">
        <v>54250</v>
      </c>
      <c r="F50" s="117">
        <v>66.650000000000006</v>
      </c>
      <c r="G50" s="118">
        <v>3584120.37</v>
      </c>
      <c r="H50" s="118">
        <v>3615762.5</v>
      </c>
      <c r="I50" s="149">
        <v>3.816796777494736E-2</v>
      </c>
      <c r="J50" s="119" t="s">
        <v>62</v>
      </c>
      <c r="K50" s="120">
        <v>6</v>
      </c>
    </row>
    <row r="51" spans="1:11">
      <c r="A51" s="115" t="s">
        <v>180</v>
      </c>
      <c r="B51" s="115" t="s">
        <v>181</v>
      </c>
      <c r="C51" s="115" t="s">
        <v>141</v>
      </c>
      <c r="D51" s="115" t="s">
        <v>210</v>
      </c>
      <c r="E51" s="116">
        <v>2345</v>
      </c>
      <c r="F51" s="117">
        <v>1307.92</v>
      </c>
      <c r="G51" s="118">
        <v>2758077.47</v>
      </c>
      <c r="H51" s="118">
        <v>3067072.4</v>
      </c>
      <c r="I51" s="149">
        <v>3.2375998292650705E-2</v>
      </c>
      <c r="J51" s="119" t="s">
        <v>63</v>
      </c>
      <c r="K51" s="120">
        <v>10</v>
      </c>
    </row>
    <row r="52" spans="1:11">
      <c r="A52" s="115" t="s">
        <v>259</v>
      </c>
      <c r="B52" s="115" t="s">
        <v>260</v>
      </c>
      <c r="C52" s="115" t="s">
        <v>261</v>
      </c>
      <c r="D52" s="115" t="s">
        <v>262</v>
      </c>
      <c r="E52" s="116">
        <v>52200</v>
      </c>
      <c r="F52" s="117">
        <v>57.5</v>
      </c>
      <c r="G52" s="118">
        <v>2620243</v>
      </c>
      <c r="H52" s="118">
        <v>3001500</v>
      </c>
      <c r="I52" s="149">
        <v>3.1683816422263492E-2</v>
      </c>
      <c r="J52" s="119" t="s">
        <v>62</v>
      </c>
      <c r="K52" s="120">
        <v>11</v>
      </c>
    </row>
    <row r="53" spans="1:11">
      <c r="A53" s="115" t="s">
        <v>126</v>
      </c>
      <c r="B53" s="115" t="s">
        <v>127</v>
      </c>
      <c r="C53" s="115" t="s">
        <v>128</v>
      </c>
      <c r="D53" s="115" t="s">
        <v>208</v>
      </c>
      <c r="E53" s="116">
        <v>1974</v>
      </c>
      <c r="F53" s="117">
        <v>1474.49</v>
      </c>
      <c r="G53" s="118">
        <v>2232019.9900000002</v>
      </c>
      <c r="H53" s="118">
        <v>2910643.26</v>
      </c>
      <c r="I53" s="149">
        <v>3.072473320690939E-2</v>
      </c>
      <c r="J53" s="119" t="s">
        <v>60</v>
      </c>
      <c r="K53" s="120">
        <v>12</v>
      </c>
    </row>
    <row r="54" spans="1:11">
      <c r="A54" s="115" t="s">
        <v>129</v>
      </c>
      <c r="B54" s="115" t="s">
        <v>130</v>
      </c>
      <c r="C54" s="115" t="s">
        <v>131</v>
      </c>
      <c r="D54" s="115" t="s">
        <v>207</v>
      </c>
      <c r="E54" s="116">
        <v>1453</v>
      </c>
      <c r="F54" s="117">
        <v>1417.41</v>
      </c>
      <c r="G54" s="118">
        <v>1994877.34</v>
      </c>
      <c r="H54" s="118">
        <v>2059496.73</v>
      </c>
      <c r="I54" s="149">
        <v>2.174003542081358E-2</v>
      </c>
      <c r="J54" s="119" t="s">
        <v>62</v>
      </c>
      <c r="K54" s="120">
        <v>19</v>
      </c>
    </row>
    <row r="55" spans="1:11">
      <c r="A55" s="115" t="s">
        <v>136</v>
      </c>
      <c r="B55" s="115" t="s">
        <v>137</v>
      </c>
      <c r="C55" s="115" t="s">
        <v>138</v>
      </c>
      <c r="D55" s="115" t="s">
        <v>209</v>
      </c>
      <c r="E55" s="116">
        <v>34713</v>
      </c>
      <c r="F55" s="117">
        <v>57.41</v>
      </c>
      <c r="G55" s="118">
        <v>1768366.26</v>
      </c>
      <c r="H55" s="118">
        <v>1992873.33</v>
      </c>
      <c r="I55" s="149">
        <v>2.1036759200581352E-2</v>
      </c>
      <c r="J55" s="119" t="s">
        <v>61</v>
      </c>
      <c r="K55" s="120">
        <v>20</v>
      </c>
    </row>
    <row r="56" spans="1:11">
      <c r="A56" s="115" t="s">
        <v>132</v>
      </c>
      <c r="B56" s="115" t="s">
        <v>133</v>
      </c>
      <c r="C56" s="115" t="s">
        <v>134</v>
      </c>
      <c r="D56" s="115" t="s">
        <v>204</v>
      </c>
      <c r="E56" s="116">
        <v>1408</v>
      </c>
      <c r="F56" s="117">
        <v>1398</v>
      </c>
      <c r="G56" s="118">
        <v>2004088.59</v>
      </c>
      <c r="H56" s="118">
        <v>1968384</v>
      </c>
      <c r="I56" s="149">
        <v>2.0778249976518639E-2</v>
      </c>
      <c r="J56" s="119" t="s">
        <v>62</v>
      </c>
      <c r="K56" s="120">
        <v>21</v>
      </c>
    </row>
    <row r="57" spans="1:11">
      <c r="A57" s="115" t="s">
        <v>123</v>
      </c>
      <c r="B57" s="115" t="s">
        <v>124</v>
      </c>
      <c r="C57" s="115" t="s">
        <v>125</v>
      </c>
      <c r="D57" s="115" t="s">
        <v>206</v>
      </c>
      <c r="E57" s="116">
        <v>18366</v>
      </c>
      <c r="F57" s="117">
        <v>98.84</v>
      </c>
      <c r="G57" s="118">
        <v>1842082.49</v>
      </c>
      <c r="H57" s="118">
        <v>1815295.44</v>
      </c>
      <c r="I57" s="149">
        <v>1.9162248033693829E-2</v>
      </c>
      <c r="J57" s="119" t="s">
        <v>61</v>
      </c>
      <c r="K57" s="120">
        <v>23</v>
      </c>
    </row>
    <row r="58" spans="1:11">
      <c r="A58" s="115" t="s">
        <v>153</v>
      </c>
      <c r="B58" s="115" t="s">
        <v>154</v>
      </c>
      <c r="C58" s="115" t="s">
        <v>155</v>
      </c>
      <c r="D58" s="115" t="s">
        <v>213</v>
      </c>
      <c r="E58" s="116">
        <v>36455</v>
      </c>
      <c r="F58" s="117">
        <v>49.69</v>
      </c>
      <c r="G58" s="118">
        <v>1816146.63</v>
      </c>
      <c r="H58" s="118">
        <v>1811448.95</v>
      </c>
      <c r="I58" s="149">
        <v>1.9121644507780096E-2</v>
      </c>
      <c r="J58" s="119" t="s">
        <v>61</v>
      </c>
      <c r="K58" s="120">
        <v>24</v>
      </c>
    </row>
    <row r="59" spans="1:11">
      <c r="A59" s="115" t="s">
        <v>120</v>
      </c>
      <c r="B59" s="115" t="s">
        <v>121</v>
      </c>
      <c r="C59" s="115" t="s">
        <v>122</v>
      </c>
      <c r="D59" s="115" t="s">
        <v>212</v>
      </c>
      <c r="E59" s="116">
        <v>27233</v>
      </c>
      <c r="F59" s="117">
        <v>50.93</v>
      </c>
      <c r="G59" s="118">
        <v>1461418.41</v>
      </c>
      <c r="H59" s="118">
        <v>1386976.69</v>
      </c>
      <c r="I59" s="149">
        <v>1.4640917817064353E-2</v>
      </c>
      <c r="J59" s="119" t="s">
        <v>61</v>
      </c>
      <c r="K59" s="120">
        <v>30</v>
      </c>
    </row>
    <row r="60" spans="1:11">
      <c r="A60" s="115" t="s">
        <v>156</v>
      </c>
      <c r="B60" s="115" t="s">
        <v>157</v>
      </c>
      <c r="C60" s="115" t="s">
        <v>138</v>
      </c>
      <c r="D60" s="115" t="s">
        <v>209</v>
      </c>
      <c r="E60" s="116">
        <v>25118</v>
      </c>
      <c r="F60" s="117">
        <v>49.53</v>
      </c>
      <c r="G60" s="118">
        <v>1123269.1599999999</v>
      </c>
      <c r="H60" s="118">
        <v>1244094.54</v>
      </c>
      <c r="I60" s="149">
        <v>1.3132654678427568E-2</v>
      </c>
      <c r="J60" s="119" t="s">
        <v>61</v>
      </c>
      <c r="K60" s="120">
        <v>32</v>
      </c>
    </row>
    <row r="61" spans="1:11">
      <c r="A61" s="115" t="s">
        <v>139</v>
      </c>
      <c r="B61" s="115" t="s">
        <v>140</v>
      </c>
      <c r="C61" s="115" t="s">
        <v>141</v>
      </c>
      <c r="D61" s="115" t="s">
        <v>214</v>
      </c>
      <c r="E61" s="116">
        <v>805</v>
      </c>
      <c r="F61" s="117">
        <v>1533.704547</v>
      </c>
      <c r="G61" s="118">
        <v>978547.99</v>
      </c>
      <c r="H61" s="118">
        <v>1234632.1599999999</v>
      </c>
      <c r="I61" s="149">
        <v>1.3032769850562266E-2</v>
      </c>
      <c r="J61" s="119" t="s">
        <v>63</v>
      </c>
      <c r="K61" s="120">
        <v>33</v>
      </c>
    </row>
    <row r="62" spans="1:11">
      <c r="A62" s="115" t="s">
        <v>182</v>
      </c>
      <c r="B62" s="115" t="s">
        <v>183</v>
      </c>
      <c r="C62" s="115" t="s">
        <v>135</v>
      </c>
      <c r="D62" s="115" t="s">
        <v>215</v>
      </c>
      <c r="E62" s="116">
        <v>510</v>
      </c>
      <c r="F62" s="117">
        <v>1348</v>
      </c>
      <c r="G62" s="118">
        <v>536007.81000000006</v>
      </c>
      <c r="H62" s="118">
        <v>687480</v>
      </c>
      <c r="I62" s="149">
        <v>7.2570348538989523E-3</v>
      </c>
      <c r="J62" s="119" t="s">
        <v>64</v>
      </c>
      <c r="K62" s="120">
        <v>44</v>
      </c>
    </row>
    <row r="63" spans="1:11" ht="13.15" customHeight="1">
      <c r="A63" s="124" t="s">
        <v>216</v>
      </c>
      <c r="E63" s="125">
        <v>322930</v>
      </c>
      <c r="F63" s="126"/>
      <c r="G63" s="127">
        <v>31708394.300000001</v>
      </c>
      <c r="H63" s="127">
        <v>34252274.450000003</v>
      </c>
      <c r="I63" s="196"/>
      <c r="J63" s="119"/>
      <c r="K63" s="120"/>
    </row>
    <row r="64" spans="1:11" ht="13.15" customHeight="1">
      <c r="A64" s="124" t="s">
        <v>142</v>
      </c>
      <c r="E64" s="128">
        <v>44504059.160599999</v>
      </c>
      <c r="F64" s="126"/>
      <c r="G64" s="129">
        <v>87815278.739999995</v>
      </c>
      <c r="H64" s="129">
        <v>94732905.909999996</v>
      </c>
      <c r="I64" s="196"/>
      <c r="J64" s="119"/>
      <c r="K64" s="120"/>
    </row>
    <row r="65" spans="1:11">
      <c r="A65" s="130"/>
      <c r="B65" s="130"/>
      <c r="C65" s="130"/>
      <c r="D65" s="130"/>
      <c r="E65" s="115"/>
      <c r="F65" s="115"/>
      <c r="G65" s="115"/>
      <c r="H65" s="115"/>
      <c r="I65" s="196"/>
      <c r="J65" s="119"/>
      <c r="K65" s="120"/>
    </row>
    <row r="66" spans="1:11" ht="13.15" customHeight="1">
      <c r="A66" s="124" t="s">
        <v>142</v>
      </c>
      <c r="E66" s="128">
        <v>44504059.160599999</v>
      </c>
      <c r="F66" s="126"/>
      <c r="G66" s="129">
        <v>87815278.739999995</v>
      </c>
      <c r="H66" s="129">
        <v>94732905.909999996</v>
      </c>
      <c r="I66" s="197"/>
    </row>
    <row r="67" spans="1:11" ht="13.15" hidden="1" customHeight="1"/>
    <row r="68" spans="1:11" ht="12.95" customHeight="1"/>
    <row r="69" spans="1:11" ht="12.95" customHeight="1"/>
    <row r="70" spans="1:11" ht="13.15" hidden="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A2A4-67CF-4635-A58E-D0E65BC62B28}">
  <dimension ref="A1:I46"/>
  <sheetViews>
    <sheetView workbookViewId="0">
      <selection activeCell="F5" sqref="F5"/>
    </sheetView>
  </sheetViews>
  <sheetFormatPr defaultRowHeight="15"/>
  <cols>
    <col min="1" max="1" width="11.5703125" bestFit="1" customWidth="1"/>
    <col min="2" max="2" width="14.42578125" style="198" bestFit="1" customWidth="1"/>
    <col min="3" max="4" width="14" style="198" customWidth="1"/>
    <col min="6" max="6" width="25.85546875" bestFit="1" customWidth="1"/>
    <col min="7" max="7" width="8.7109375" bestFit="1" customWidth="1"/>
  </cols>
  <sheetData>
    <row r="1" spans="1:9">
      <c r="B1" s="198" t="s">
        <v>293</v>
      </c>
      <c r="C1" s="198" t="s">
        <v>294</v>
      </c>
      <c r="D1" s="198" t="s">
        <v>295</v>
      </c>
    </row>
    <row r="2" spans="1:9">
      <c r="B2" s="198" t="s">
        <v>296</v>
      </c>
    </row>
    <row r="4" spans="1:9">
      <c r="A4" s="75">
        <v>40543</v>
      </c>
      <c r="B4" s="199">
        <v>7.4499999999999997E-2</v>
      </c>
      <c r="C4" s="156">
        <v>0.10199999999999999</v>
      </c>
      <c r="D4" s="200">
        <v>0.159</v>
      </c>
      <c r="F4" s="201" t="s">
        <v>297</v>
      </c>
      <c r="G4" s="202" t="s">
        <v>298</v>
      </c>
      <c r="H4" s="103" t="s">
        <v>294</v>
      </c>
      <c r="I4" s="103" t="s">
        <v>299</v>
      </c>
    </row>
    <row r="5" spans="1:9">
      <c r="A5" s="75">
        <v>40633</v>
      </c>
      <c r="B5" s="199">
        <v>5.0747326140525517E-2</v>
      </c>
      <c r="C5" s="200">
        <v>5.4220603670366581E-2</v>
      </c>
      <c r="D5" s="200">
        <v>7.6440029758296696E-2</v>
      </c>
      <c r="F5" s="203" t="s">
        <v>300</v>
      </c>
      <c r="G5" s="204">
        <v>1.7403999999999999E-2</v>
      </c>
      <c r="H5" s="204">
        <v>1.7403999999999999E-2</v>
      </c>
      <c r="I5" s="204">
        <v>1.7403999999999999E-2</v>
      </c>
    </row>
    <row r="6" spans="1:9">
      <c r="A6" s="75">
        <v>40724</v>
      </c>
      <c r="B6" s="200">
        <v>-6.1603831584792993E-3</v>
      </c>
      <c r="C6" s="200">
        <v>-3.9145290120149853E-3</v>
      </c>
      <c r="D6" s="200">
        <v>-1.9109737549330277E-2</v>
      </c>
      <c r="F6" s="205" t="s">
        <v>301</v>
      </c>
      <c r="G6" s="206">
        <f>AVERAGE(B4:B45)</f>
        <v>3.3364636818638237E-2</v>
      </c>
      <c r="H6" s="206">
        <f>AVERAGE(C4:C45)</f>
        <v>3.2870474442253328E-2</v>
      </c>
      <c r="I6" s="206">
        <f>AVERAGE(D4:D45)</f>
        <v>3.5004566669867031E-2</v>
      </c>
    </row>
    <row r="7" spans="1:9">
      <c r="A7" s="75">
        <v>40816</v>
      </c>
      <c r="B7" s="200">
        <v>-0.12936674823334557</v>
      </c>
      <c r="C7" s="200">
        <v>-0.14327901623455297</v>
      </c>
      <c r="D7" s="200">
        <v>-0.22149695019149682</v>
      </c>
      <c r="F7" s="207" t="s">
        <v>302</v>
      </c>
      <c r="G7" s="206">
        <f>_xlfn.STDEV.P(B4:B45)</f>
        <v>6.8467855148248769E-2</v>
      </c>
      <c r="H7" s="206">
        <f>_xlfn.STDEV.P(C4:C45)</f>
        <v>7.2877908082736809E-2</v>
      </c>
      <c r="I7" s="206">
        <f>_xlfn.STDEV.P(D4:D45)</f>
        <v>0.10974802120917067</v>
      </c>
    </row>
    <row r="8" spans="1:9">
      <c r="A8" s="75">
        <v>40907</v>
      </c>
      <c r="B8" s="200">
        <v>4.2918209009958908E-2</v>
      </c>
      <c r="C8" s="200">
        <v>0.11153241059907003</v>
      </c>
      <c r="D8" s="200">
        <v>0.15021206043256621</v>
      </c>
      <c r="F8" s="205" t="s">
        <v>303</v>
      </c>
      <c r="G8" s="206">
        <f>+G7*SQRT(4)</f>
        <v>0.13693571029649754</v>
      </c>
      <c r="H8" s="206">
        <f>+H7*SQRT(4)</f>
        <v>0.14575581616547362</v>
      </c>
      <c r="I8" s="206">
        <f>+I7*SQRT(4)</f>
        <v>0.21949604241834134</v>
      </c>
    </row>
    <row r="9" spans="1:9">
      <c r="A9" s="75">
        <v>40998</v>
      </c>
      <c r="B9" s="200">
        <v>0.10222078150410965</v>
      </c>
      <c r="C9" s="200">
        <v>0.11995769753739247</v>
      </c>
      <c r="D9" s="200">
        <v>0.12064120629059163</v>
      </c>
      <c r="F9" s="205" t="s">
        <v>309</v>
      </c>
      <c r="G9" s="208">
        <v>1.97</v>
      </c>
      <c r="H9" s="208">
        <v>1.57</v>
      </c>
      <c r="I9" s="210">
        <v>1</v>
      </c>
    </row>
    <row r="10" spans="1:9">
      <c r="A10" s="75">
        <v>41089</v>
      </c>
      <c r="B10" s="200">
        <v>-3.2941534197684058E-2</v>
      </c>
      <c r="C10" s="200">
        <v>-3.287964954880114E-2</v>
      </c>
      <c r="D10" s="200">
        <v>-3.8316225079820541E-2</v>
      </c>
      <c r="F10" s="207" t="s">
        <v>37</v>
      </c>
      <c r="G10" s="209">
        <f>((G6*4)-G5)/G8</f>
        <v>0.84751119356132865</v>
      </c>
      <c r="H10" s="209">
        <f>((H6*4)-H5)/H8</f>
        <v>0.78266446423999292</v>
      </c>
      <c r="I10" s="209">
        <f>((I6*4)-I5)/I8</f>
        <v>0.55861720935166315</v>
      </c>
    </row>
    <row r="11" spans="1:9">
      <c r="A11" s="75">
        <v>41180</v>
      </c>
      <c r="B11" s="200">
        <v>4.9150921756969473E-2</v>
      </c>
      <c r="C11" s="200">
        <v>5.7636401010160328E-2</v>
      </c>
      <c r="D11" s="200">
        <v>4.879603550214353E-2</v>
      </c>
    </row>
    <row r="12" spans="1:9">
      <c r="A12" s="75">
        <v>41274</v>
      </c>
      <c r="B12" s="200">
        <v>2.795273656283782E-2</v>
      </c>
      <c r="C12" s="200">
        <v>-1.0050879104860945E-2</v>
      </c>
      <c r="D12" s="200">
        <v>1.4209803570362382E-2</v>
      </c>
    </row>
    <row r="13" spans="1:9">
      <c r="A13" s="75">
        <v>41362</v>
      </c>
      <c r="B13" s="200">
        <v>7.5646598591498748E-2</v>
      </c>
      <c r="C13" s="200">
        <v>0.10026714533126721</v>
      </c>
      <c r="D13" s="200">
        <v>0.12031789015129217</v>
      </c>
    </row>
    <row r="14" spans="1:9">
      <c r="A14" s="75">
        <v>41453</v>
      </c>
      <c r="B14" s="200">
        <v>2.2094402751303116E-2</v>
      </c>
      <c r="C14" s="200">
        <v>2.3636398396624955E-2</v>
      </c>
      <c r="D14" s="200">
        <v>2.725365774710942E-2</v>
      </c>
    </row>
    <row r="15" spans="1:9">
      <c r="A15" s="75">
        <v>41547</v>
      </c>
      <c r="B15" s="200">
        <v>7.17473193655596E-2</v>
      </c>
      <c r="C15" s="200">
        <v>4.6859825186144378E-2</v>
      </c>
      <c r="D15" s="200">
        <v>9.8530397196859298E-2</v>
      </c>
    </row>
    <row r="16" spans="1:9">
      <c r="A16" s="75">
        <v>41639</v>
      </c>
      <c r="B16" s="200">
        <v>6.0198715387563995E-2</v>
      </c>
      <c r="C16" s="200">
        <v>9.9200142725461585E-2</v>
      </c>
      <c r="D16" s="200">
        <v>8.3676822011089613E-2</v>
      </c>
    </row>
    <row r="17" spans="1:4">
      <c r="A17" s="75">
        <v>41729</v>
      </c>
      <c r="B17" s="200">
        <v>4.3252115259904869E-2</v>
      </c>
      <c r="C17" s="200">
        <v>1.2973663139215314E-2</v>
      </c>
      <c r="D17" s="200">
        <v>8.0789799568078951E-3</v>
      </c>
    </row>
    <row r="18" spans="1:4">
      <c r="A18" s="75">
        <v>41820</v>
      </c>
      <c r="B18" s="200">
        <v>4.9737879085153078E-2</v>
      </c>
      <c r="C18" s="200">
        <v>4.694126066846839E-2</v>
      </c>
      <c r="D18" s="200">
        <v>1.6986661983669694E-2</v>
      </c>
    </row>
    <row r="19" spans="1:4">
      <c r="A19" s="75">
        <v>41912</v>
      </c>
      <c r="B19" s="200">
        <v>-1.6604830877369647E-2</v>
      </c>
      <c r="C19" s="200">
        <v>6.1523392663105584E-3</v>
      </c>
      <c r="D19" s="200">
        <v>-7.6522007369878742E-2</v>
      </c>
    </row>
    <row r="20" spans="1:4">
      <c r="A20" s="75">
        <v>42004</v>
      </c>
      <c r="B20" s="200">
        <v>1.6208448642753358E-2</v>
      </c>
      <c r="C20" s="200">
        <v>4.3913420440199025E-2</v>
      </c>
      <c r="D20" s="200">
        <v>9.3512067068720728E-2</v>
      </c>
    </row>
    <row r="21" spans="1:4">
      <c r="A21" s="75">
        <v>42094</v>
      </c>
      <c r="B21" s="200">
        <v>3.0153661141437978E-2</v>
      </c>
      <c r="C21" s="200">
        <v>4.3664092476564092E-3</v>
      </c>
      <c r="D21" s="200">
        <v>3.9907163300948977E-2</v>
      </c>
    </row>
    <row r="22" spans="1:4">
      <c r="A22" s="75">
        <v>42185</v>
      </c>
      <c r="B22" s="200">
        <v>5.5552350539743523E-3</v>
      </c>
      <c r="C22" s="200">
        <v>-2.3115349462494356E-3</v>
      </c>
      <c r="D22" s="200">
        <v>9.3792006845615531E-4</v>
      </c>
    </row>
    <row r="23" spans="1:4">
      <c r="A23" s="75">
        <v>42277</v>
      </c>
      <c r="B23" s="200">
        <v>-7.1382047422666475E-2</v>
      </c>
      <c r="C23" s="200">
        <v>-6.9351609948088144E-2</v>
      </c>
      <c r="D23" s="200">
        <v>-0.12222127410488627</v>
      </c>
    </row>
    <row r="24" spans="1:4">
      <c r="A24" s="75">
        <v>42369</v>
      </c>
      <c r="B24" s="200">
        <v>8.5149684277470977E-3</v>
      </c>
      <c r="C24" s="200">
        <v>6.4535449966927644E-2</v>
      </c>
      <c r="D24" s="200">
        <v>3.1980906487578488E-2</v>
      </c>
    </row>
    <row r="25" spans="1:4">
      <c r="A25" s="75">
        <v>42460</v>
      </c>
      <c r="B25" s="200">
        <v>-1.5632122606578844E-2</v>
      </c>
      <c r="C25" s="200">
        <v>7.7301682045459886E-3</v>
      </c>
      <c r="D25" s="200">
        <v>-1.9245718551724578E-2</v>
      </c>
    </row>
    <row r="26" spans="1:4">
      <c r="A26" s="75">
        <v>42551</v>
      </c>
      <c r="B26" s="200">
        <v>3.634766214868157E-2</v>
      </c>
      <c r="C26" s="200">
        <v>1.8992688397564912E-2</v>
      </c>
      <c r="D26" s="200">
        <v>3.40162006700011E-2</v>
      </c>
    </row>
    <row r="27" spans="1:4">
      <c r="A27" s="75">
        <v>42643</v>
      </c>
      <c r="B27" s="200">
        <v>6.0209151296466104E-2</v>
      </c>
      <c r="C27" s="200">
        <v>3.30703334190941E-2</v>
      </c>
      <c r="D27" s="200">
        <v>8.6570890589041077E-2</v>
      </c>
    </row>
    <row r="28" spans="1:4">
      <c r="A28" s="75">
        <v>42734</v>
      </c>
      <c r="B28" s="200">
        <v>2.100842435984359E-2</v>
      </c>
      <c r="C28" s="200">
        <v>3.2542072712346687E-2</v>
      </c>
      <c r="D28" s="200">
        <v>8.4276225066832119E-2</v>
      </c>
    </row>
    <row r="29" spans="1:4">
      <c r="A29" s="75">
        <v>42825</v>
      </c>
      <c r="B29" s="200">
        <v>5.2966744657314262E-2</v>
      </c>
      <c r="C29" s="200">
        <v>5.5336939383517227E-2</v>
      </c>
      <c r="D29" s="200">
        <v>2.1213885184175399E-2</v>
      </c>
    </row>
    <row r="30" spans="1:4">
      <c r="A30" s="75">
        <v>42916</v>
      </c>
      <c r="B30" s="200">
        <v>2.4598787957673042E-2</v>
      </c>
      <c r="C30" s="200">
        <v>2.5686496918805469E-2</v>
      </c>
      <c r="D30" s="200">
        <v>2.1241485800046069E-2</v>
      </c>
    </row>
    <row r="31" spans="1:4">
      <c r="A31" s="75">
        <v>43007</v>
      </c>
      <c r="B31" s="200">
        <v>3.7709911196070457E-2</v>
      </c>
      <c r="C31" s="200">
        <v>3.9592970236154955E-2</v>
      </c>
      <c r="D31" s="200">
        <v>5.3344769772192206E-2</v>
      </c>
    </row>
    <row r="32" spans="1:4">
      <c r="A32" s="75">
        <v>43098</v>
      </c>
      <c r="B32" s="200">
        <v>1.5588041978119067E-2</v>
      </c>
      <c r="C32" s="200">
        <v>6.1225866886828399E-2</v>
      </c>
      <c r="D32" s="200">
        <v>2.994913677398487E-2</v>
      </c>
    </row>
    <row r="33" spans="1:4">
      <c r="A33" s="75">
        <v>43189</v>
      </c>
      <c r="B33" s="200">
        <v>2.3998978278370258E-2</v>
      </c>
      <c r="C33" s="200">
        <v>-1.2245615478697429E-2</v>
      </c>
      <c r="D33" s="200">
        <v>-3.9621989031664766E-3</v>
      </c>
    </row>
    <row r="34" spans="1:4">
      <c r="A34" s="75">
        <v>43280</v>
      </c>
      <c r="B34" s="200">
        <v>3.7671650408429611E-2</v>
      </c>
      <c r="C34" s="200">
        <v>2.9346389636748498E-2</v>
      </c>
      <c r="D34" s="200">
        <v>7.4303644436772759E-2</v>
      </c>
    </row>
    <row r="35" spans="1:4">
      <c r="A35" s="75">
        <v>43371</v>
      </c>
      <c r="B35" s="200">
        <v>3.9296716000264638E-2</v>
      </c>
      <c r="C35" s="200">
        <v>7.1958563403804549E-2</v>
      </c>
      <c r="D35" s="200">
        <v>3.256223566995662E-2</v>
      </c>
    </row>
    <row r="36" spans="1:4">
      <c r="A36" s="75">
        <v>43465</v>
      </c>
      <c r="B36" s="200">
        <v>-9.3104304108674082E-2</v>
      </c>
      <c r="C36" s="200">
        <v>-0.13971612708391964</v>
      </c>
      <c r="D36" s="200">
        <v>-0.20512669378410922</v>
      </c>
    </row>
    <row r="37" spans="1:4">
      <c r="A37" s="75">
        <v>43553</v>
      </c>
      <c r="B37" s="200">
        <v>0.10257093608552309</v>
      </c>
      <c r="C37" s="200">
        <v>0.13066198615792735</v>
      </c>
      <c r="D37" s="200">
        <v>0.1417661370396105</v>
      </c>
    </row>
    <row r="38" spans="1:4">
      <c r="A38" s="75">
        <v>43644</v>
      </c>
      <c r="B38" s="200">
        <v>3.8544359151296309E-2</v>
      </c>
      <c r="C38" s="200">
        <v>3.7877504939317005E-2</v>
      </c>
      <c r="D38" s="200">
        <v>1.7426979507565797E-2</v>
      </c>
    </row>
    <row r="39" spans="1:4">
      <c r="A39" s="75">
        <v>43738</v>
      </c>
      <c r="B39" s="200">
        <v>1.5378589849630699E-3</v>
      </c>
      <c r="C39" s="200">
        <v>1.1890840857173788E-2</v>
      </c>
      <c r="D39" s="200">
        <v>-2.7575496051250658E-2</v>
      </c>
    </row>
    <row r="40" spans="1:4">
      <c r="A40" s="75">
        <v>43830</v>
      </c>
      <c r="B40" s="200">
        <v>7.3831322651900497E-2</v>
      </c>
      <c r="C40" s="200">
        <v>8.5341682511741193E-2</v>
      </c>
      <c r="D40" s="200">
        <v>9.5246535155867937E-2</v>
      </c>
    </row>
    <row r="41" spans="1:4">
      <c r="A41" s="75">
        <v>43921</v>
      </c>
      <c r="B41" s="200">
        <v>-0.13619651745345471</v>
      </c>
      <c r="C41" s="200">
        <v>-0.20001052377444456</v>
      </c>
      <c r="D41" s="200">
        <v>-0.30888557114336551</v>
      </c>
    </row>
    <row r="42" spans="1:4">
      <c r="A42" s="75">
        <v>44012</v>
      </c>
      <c r="B42" s="200">
        <v>0.24154832731029446</v>
      </c>
      <c r="C42" s="200">
        <v>0.19952874537160625</v>
      </c>
      <c r="D42" s="200">
        <v>0.24998807565325901</v>
      </c>
    </row>
    <row r="43" spans="1:4">
      <c r="A43" s="75">
        <v>44104</v>
      </c>
      <c r="B43" s="200">
        <v>0.13928478051204266</v>
      </c>
      <c r="C43" s="200">
        <v>8.4737234258730643E-2</v>
      </c>
      <c r="D43" s="200">
        <v>4.6016796578243542E-2</v>
      </c>
    </row>
    <row r="44" spans="1:4">
      <c r="A44" s="75">
        <v>44196</v>
      </c>
      <c r="B44" s="200">
        <v>0.19674026278250831</v>
      </c>
      <c r="C44" s="200">
        <v>0.11688076122509669</v>
      </c>
      <c r="D44" s="200">
        <v>0.30985307343940277</v>
      </c>
    </row>
    <row r="45" spans="1:4">
      <c r="A45" s="75">
        <v>44286</v>
      </c>
      <c r="B45" s="200">
        <v>2.8649999999999998E-2</v>
      </c>
      <c r="C45" s="200">
        <v>5.7724999999999999E-2</v>
      </c>
      <c r="D45" s="200">
        <v>0.12439600000000001</v>
      </c>
    </row>
    <row r="46" spans="1:4">
      <c r="A46"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8B84-3B60-44AA-8DAD-391545EE4126}">
  <sheetPr>
    <tabColor rgb="FFC00000"/>
  </sheetPr>
  <dimension ref="A1:D51"/>
  <sheetViews>
    <sheetView topLeftCell="A34" workbookViewId="0">
      <selection activeCell="K74" sqref="K74"/>
    </sheetView>
  </sheetViews>
  <sheetFormatPr defaultRowHeight="15"/>
  <cols>
    <col min="1" max="1" width="10.7109375" style="75" bestFit="1" customWidth="1"/>
    <col min="2" max="2" width="9.140625" style="155"/>
    <col min="3" max="3" width="17.85546875" style="155" bestFit="1" customWidth="1"/>
    <col min="4" max="4" width="16.140625" style="155" bestFit="1" customWidth="1"/>
  </cols>
  <sheetData>
    <row r="1" spans="1:4">
      <c r="A1" s="75" t="s">
        <v>13</v>
      </c>
      <c r="B1" s="155" t="s">
        <v>45</v>
      </c>
      <c r="C1" s="155" t="s">
        <v>158</v>
      </c>
      <c r="D1" s="155" t="s">
        <v>46</v>
      </c>
    </row>
    <row r="2" spans="1:4">
      <c r="A2" s="75">
        <f>'PBX Return Data'!A3</f>
        <v>42795</v>
      </c>
      <c r="B2" s="155">
        <f>'PBX Return Data'!K3</f>
        <v>10000</v>
      </c>
      <c r="C2" s="155">
        <f>'PBX Return Data'!O3</f>
        <v>10000</v>
      </c>
      <c r="D2" s="155">
        <f>'PBX Return Data'!N3</f>
        <v>10000</v>
      </c>
    </row>
    <row r="3" spans="1:4">
      <c r="A3" s="75">
        <f>'PBX Return Data'!A4</f>
        <v>42825</v>
      </c>
      <c r="B3" s="155">
        <f>'PBX Return Data'!K4</f>
        <v>9959.6151011064649</v>
      </c>
      <c r="C3" s="155">
        <f>'PBX Return Data'!O4</f>
        <v>10050.897388040878</v>
      </c>
      <c r="D3" s="155">
        <f>'PBX Return Data'!N4</f>
        <v>9874.8403409251641</v>
      </c>
    </row>
    <row r="4" spans="1:4">
      <c r="A4" s="75">
        <f>'PBX Return Data'!A5</f>
        <v>42855</v>
      </c>
      <c r="B4" s="155">
        <f>'PBX Return Data'!K5</f>
        <v>10070.147737228845</v>
      </c>
      <c r="C4" s="155">
        <f>'PBX Return Data'!O5</f>
        <v>10128.479333340058</v>
      </c>
      <c r="D4" s="155">
        <f>'PBX Return Data'!N5</f>
        <v>9976.2605723138659</v>
      </c>
    </row>
    <row r="5" spans="1:4">
      <c r="A5" s="75">
        <f>'PBX Return Data'!A6</f>
        <v>42886</v>
      </c>
      <c r="B5" s="155">
        <f>'PBX Return Data'!K6</f>
        <v>10180.381876698508</v>
      </c>
      <c r="C5" s="155">
        <f>'PBX Return Data'!O6</f>
        <v>10206.414382421483</v>
      </c>
      <c r="D5" s="155">
        <f>'PBX Return Data'!N6</f>
        <v>10116.651761526462</v>
      </c>
    </row>
    <row r="6" spans="1:4">
      <c r="A6" s="75">
        <f>'PBX Return Data'!A7</f>
        <v>42916</v>
      </c>
      <c r="B6" s="155">
        <f>'PBX Return Data'!K7</f>
        <v>10241.521615198355</v>
      </c>
      <c r="C6" s="155">
        <f>'PBX Return Data'!O7</f>
        <v>10196.17437273635</v>
      </c>
      <c r="D6" s="155">
        <f>'PBX Return Data'!N7</f>
        <v>10179.797333611854</v>
      </c>
    </row>
    <row r="7" spans="1:4">
      <c r="A7" s="75">
        <f>'PBX Return Data'!A8</f>
        <v>42947</v>
      </c>
      <c r="B7" s="155">
        <f>'PBX Return Data'!K8</f>
        <v>10441.048768580116</v>
      </c>
      <c r="C7" s="155">
        <f>'PBX Return Data'!O8</f>
        <v>10240.060128529774</v>
      </c>
      <c r="D7" s="155">
        <f>'PBX Return Data'!N8</f>
        <v>10389.122076362191</v>
      </c>
    </row>
    <row r="8" spans="1:4">
      <c r="A8" s="75">
        <f>'PBX Return Data'!A9</f>
        <v>42978</v>
      </c>
      <c r="B8" s="155">
        <f>'PBX Return Data'!K9</f>
        <v>10429.828918110359</v>
      </c>
      <c r="C8" s="155">
        <f>'PBX Return Data'!O9</f>
        <v>10331.86711191372</v>
      </c>
      <c r="D8" s="155">
        <f>'PBX Return Data'!N9</f>
        <v>10420.93421502134</v>
      </c>
    </row>
    <row r="9" spans="1:4">
      <c r="A9" s="75">
        <f>'PBX Return Data'!A10</f>
        <v>43008</v>
      </c>
      <c r="B9" s="155">
        <f>'PBX Return Data'!K10</f>
        <v>10463.117967910277</v>
      </c>
      <c r="C9" s="155">
        <f>'PBX Return Data'!O10</f>
        <v>10282.684799386607</v>
      </c>
      <c r="D9" s="155">
        <f>'PBX Return Data'!N10</f>
        <v>10635.894623922646</v>
      </c>
    </row>
    <row r="10" spans="1:4">
      <c r="A10" s="75">
        <f>'PBX Return Data'!A11</f>
        <v>43039</v>
      </c>
      <c r="B10" s="155">
        <f>'PBX Return Data'!K11</f>
        <v>10660.974925576076</v>
      </c>
      <c r="C10" s="155">
        <f>'PBX Return Data'!O11</f>
        <v>10288.637120287323</v>
      </c>
      <c r="D10" s="155">
        <f>'PBX Return Data'!N11</f>
        <v>10884.081527853032</v>
      </c>
    </row>
    <row r="11" spans="1:4">
      <c r="A11" s="75">
        <f>'PBX Return Data'!A12</f>
        <v>43069</v>
      </c>
      <c r="B11" s="155">
        <f>'PBX Return Data'!K12</f>
        <v>10727.143878585481</v>
      </c>
      <c r="C11" s="155">
        <f>'PBX Return Data'!O12</f>
        <v>10275.420950151831</v>
      </c>
      <c r="D11" s="155">
        <f>'PBX Return Data'!N12</f>
        <v>11217.891390486389</v>
      </c>
    </row>
    <row r="12" spans="1:4">
      <c r="A12" s="75">
        <f>'PBX Return Data'!A13</f>
        <v>43100</v>
      </c>
      <c r="B12" s="155">
        <f>'PBX Return Data'!K13</f>
        <v>10718.427011272177</v>
      </c>
      <c r="C12" s="155">
        <f>'PBX Return Data'!O13</f>
        <v>10322.585526780396</v>
      </c>
      <c r="D12" s="155">
        <f>'PBX Return Data'!N13</f>
        <v>11342.615862985864</v>
      </c>
    </row>
    <row r="13" spans="1:4">
      <c r="A13" s="75">
        <f>'PBX Return Data'!A14</f>
        <v>43131</v>
      </c>
      <c r="B13" s="155">
        <f>'PBX Return Data'!K14</f>
        <v>10963.813089299401</v>
      </c>
      <c r="C13" s="155">
        <f>'PBX Return Data'!O14</f>
        <v>10203.690438958442</v>
      </c>
      <c r="D13" s="155">
        <f>'PBX Return Data'!N14</f>
        <v>11992.023030073575</v>
      </c>
    </row>
    <row r="14" spans="1:4">
      <c r="A14" s="75">
        <f>'PBX Return Data'!A15</f>
        <v>43159</v>
      </c>
      <c r="B14" s="155">
        <f>'PBX Return Data'!K15</f>
        <v>10892.837630739419</v>
      </c>
      <c r="C14" s="155">
        <f>'PBX Return Data'!O15</f>
        <v>10106.990446020518</v>
      </c>
      <c r="D14" s="155">
        <f>'PBX Return Data'!N15</f>
        <v>11550.047544133366</v>
      </c>
    </row>
    <row r="15" spans="1:4">
      <c r="A15" s="75">
        <f>'PBX Return Data'!A16</f>
        <v>43190</v>
      </c>
      <c r="B15" s="155">
        <f>'PBX Return Data'!K16</f>
        <v>10854.981925361213</v>
      </c>
      <c r="C15" s="155">
        <f>'PBX Return Data'!O16</f>
        <v>10171.81021176138</v>
      </c>
      <c r="D15" s="155">
        <f>'PBX Return Data'!N16</f>
        <v>11256.514199049994</v>
      </c>
    </row>
    <row r="16" spans="1:4">
      <c r="A16" s="75">
        <f>'PBX Return Data'!A17</f>
        <v>43220</v>
      </c>
      <c r="B16" s="155">
        <f>'PBX Return Data'!K17</f>
        <v>10883.69460104326</v>
      </c>
      <c r="C16" s="155">
        <f>'PBX Return Data'!O17</f>
        <v>10096.145115565821</v>
      </c>
      <c r="D16" s="155">
        <f>'PBX Return Data'!N17</f>
        <v>11299.706466654923</v>
      </c>
    </row>
    <row r="17" spans="1:4">
      <c r="A17" s="75">
        <f>'PBX Return Data'!A18</f>
        <v>43251</v>
      </c>
      <c r="B17" s="155">
        <f>'PBX Return Data'!K18</f>
        <v>11120.862270721798</v>
      </c>
      <c r="C17" s="155">
        <f>'PBX Return Data'!O18</f>
        <v>10168.178287143994</v>
      </c>
      <c r="D17" s="155">
        <f>'PBX Return Data'!N18</f>
        <v>11571.828632230361</v>
      </c>
    </row>
    <row r="18" spans="1:4">
      <c r="A18" s="75">
        <f>'PBX Return Data'!A19</f>
        <v>43281</v>
      </c>
      <c r="B18" s="155">
        <f>'PBX Return Data'!K19</f>
        <v>11296.045269096507</v>
      </c>
      <c r="C18" s="155">
        <f>'PBX Return Data'!O19</f>
        <v>10155.668324572995</v>
      </c>
      <c r="D18" s="155">
        <f>'PBX Return Data'!N19</f>
        <v>11643.046915288765</v>
      </c>
    </row>
    <row r="19" spans="1:4">
      <c r="A19" s="75">
        <f>'PBX Return Data'!A20</f>
        <v>43312</v>
      </c>
      <c r="B19" s="155">
        <f>'PBX Return Data'!K20</f>
        <v>11454.289873860696</v>
      </c>
      <c r="C19" s="155">
        <f>'PBX Return Data'!O20</f>
        <v>10158.089607651253</v>
      </c>
      <c r="D19" s="155">
        <f>'PBX Return Data'!N20</f>
        <v>12076.340429050453</v>
      </c>
    </row>
    <row r="20" spans="1:4">
      <c r="A20" s="75">
        <f>'PBX Return Data'!A21</f>
        <v>43343</v>
      </c>
      <c r="B20" s="155">
        <f>'PBX Return Data'!K21</f>
        <v>11777.46318235264</v>
      </c>
      <c r="C20" s="155">
        <f>'PBX Return Data'!O21</f>
        <v>10223.464250764217</v>
      </c>
      <c r="D20" s="155">
        <f>'PBX Return Data'!N21</f>
        <v>12469.836130495056</v>
      </c>
    </row>
    <row r="21" spans="1:4">
      <c r="A21" s="75">
        <f>'PBX Return Data'!A22</f>
        <v>43373</v>
      </c>
      <c r="B21" s="155">
        <f>'PBX Return Data'!K22</f>
        <v>11770.528951422675</v>
      </c>
      <c r="C21" s="155">
        <f>'PBX Return Data'!O22</f>
        <v>10157.63561707408</v>
      </c>
      <c r="D21" s="155">
        <f>'PBX Return Data'!N22</f>
        <v>12540.81506093701</v>
      </c>
    </row>
    <row r="22" spans="1:4">
      <c r="A22" s="75">
        <f>'PBX Return Data'!A23</f>
        <v>43404</v>
      </c>
      <c r="B22" s="155">
        <f>'PBX Return Data'!K23</f>
        <v>11284.446935421794</v>
      </c>
      <c r="C22" s="155">
        <f>'PBX Return Data'!O23</f>
        <v>10077.380171709323</v>
      </c>
      <c r="D22" s="155">
        <f>'PBX Return Data'!N23</f>
        <v>11683.649822770276</v>
      </c>
    </row>
    <row r="23" spans="1:4">
      <c r="A23" s="75">
        <f>'PBX Return Data'!A24</f>
        <v>43434</v>
      </c>
      <c r="B23" s="155">
        <f>'PBX Return Data'!K24</f>
        <v>11529.939136578709</v>
      </c>
      <c r="C23" s="155">
        <f>'PBX Return Data'!O24</f>
        <v>10137.50870148606</v>
      </c>
      <c r="D23" s="155">
        <f>'PBX Return Data'!N24</f>
        <v>11921.740398152207</v>
      </c>
    </row>
    <row r="24" spans="1:4">
      <c r="A24" s="75">
        <f>'PBX Return Data'!A25</f>
        <v>43465</v>
      </c>
      <c r="B24" s="155">
        <f>'PBX Return Data'!K25</f>
        <v>10911.119257589457</v>
      </c>
      <c r="C24" s="155">
        <f>'PBX Return Data'!O25</f>
        <v>10323.745724922061</v>
      </c>
      <c r="D24" s="155">
        <f>'PBX Return Data'!N25</f>
        <v>10845.328163316826</v>
      </c>
    </row>
    <row r="25" spans="1:4">
      <c r="A25" s="75">
        <f>'PBX Return Data'!A26</f>
        <v>43496</v>
      </c>
      <c r="B25" s="155">
        <f>'PBX Return Data'!K26</f>
        <v>11596.058698765837</v>
      </c>
      <c r="C25" s="155">
        <f>'PBX Return Data'!O26</f>
        <v>10433.409671008159</v>
      </c>
      <c r="D25" s="155">
        <f>'PBX Return Data'!N26</f>
        <v>11714.417513648546</v>
      </c>
    </row>
    <row r="26" spans="1:4">
      <c r="A26" s="75">
        <f>'PBX Return Data'!A27</f>
        <v>43524</v>
      </c>
      <c r="B26" s="155">
        <f>'PBX Return Data'!K27</f>
        <v>11825.5470849622</v>
      </c>
      <c r="C26" s="155">
        <f>'PBX Return Data'!O27</f>
        <v>10427.356463312513</v>
      </c>
      <c r="D26" s="155">
        <f>'PBX Return Data'!N27</f>
        <v>12090.549270736105</v>
      </c>
    </row>
    <row r="27" spans="1:4">
      <c r="A27" s="75">
        <f>'PBX Return Data'!A28</f>
        <v>43555</v>
      </c>
      <c r="B27" s="155">
        <f>'PBX Return Data'!K28</f>
        <v>11914.277835021911</v>
      </c>
      <c r="C27" s="155">
        <f>'PBX Return Data'!O28</f>
        <v>10627.566307845964</v>
      </c>
      <c r="D27" s="155">
        <f>'PBX Return Data'!N28</f>
        <v>12325.484743446643</v>
      </c>
    </row>
    <row r="28" spans="1:4">
      <c r="A28" s="75">
        <f>'PBX Return Data'!A29</f>
        <v>43585</v>
      </c>
      <c r="B28" s="155">
        <f>'PBX Return Data'!K29</f>
        <v>12062.166794421459</v>
      </c>
      <c r="C28" s="155">
        <f>'PBX Return Data'!O29</f>
        <v>10630.290251309005</v>
      </c>
      <c r="D28" s="155">
        <f>'PBX Return Data'!N29</f>
        <v>12824.53494874591</v>
      </c>
    </row>
    <row r="29" spans="1:4">
      <c r="A29" s="75">
        <f>'PBX Return Data'!A30</f>
        <v>43616</v>
      </c>
      <c r="B29" s="155">
        <f>'PBX Return Data'!K30</f>
        <v>11804.241229555231</v>
      </c>
      <c r="C29" s="155">
        <f>'PBX Return Data'!O30</f>
        <v>10818.999001220731</v>
      </c>
      <c r="D29" s="155">
        <f>'PBX Return Data'!N30</f>
        <v>12009.561049060767</v>
      </c>
    </row>
    <row r="30" spans="1:4">
      <c r="A30" s="75">
        <f>'PBX Return Data'!A31</f>
        <v>43646</v>
      </c>
      <c r="B30" s="155">
        <f>'PBX Return Data'!K31</f>
        <v>12157.854901998569</v>
      </c>
      <c r="C30" s="155">
        <f>'PBX Return Data'!O31</f>
        <v>10954.84307059049</v>
      </c>
      <c r="D30" s="155">
        <f>'PBX Return Data'!N31</f>
        <v>12855.955419487227</v>
      </c>
    </row>
    <row r="31" spans="1:4">
      <c r="A31" s="75">
        <f>'PBX Return Data'!A32</f>
        <v>43677</v>
      </c>
      <c r="B31" s="155">
        <f>'PBX Return Data'!K32</f>
        <v>12371</v>
      </c>
      <c r="C31" s="155">
        <f>'PBX Return Data'!O32</f>
        <v>10978.95501457814</v>
      </c>
      <c r="D31" s="155">
        <f>'PBX Return Data'!N32</f>
        <v>13040.735639387003</v>
      </c>
    </row>
    <row r="32" spans="1:4">
      <c r="A32" s="75">
        <f>'PBX Return Data'!A33</f>
        <v>43708</v>
      </c>
      <c r="B32" s="155">
        <f>'PBX Return Data'!K33</f>
        <v>12357</v>
      </c>
      <c r="C32" s="155">
        <f>'PBX Return Data'!O33</f>
        <v>11263.455776273442</v>
      </c>
      <c r="D32" s="155">
        <f>'PBX Return Data'!N33</f>
        <v>12834.152572061463</v>
      </c>
    </row>
    <row r="33" spans="1:4">
      <c r="A33" s="75">
        <f>'PBX Return Data'!A34</f>
        <v>43738</v>
      </c>
      <c r="B33" s="155">
        <f>'PBX Return Data'!K34</f>
        <v>12590</v>
      </c>
      <c r="C33" s="155">
        <f>'PBX Return Data'!O34</f>
        <v>11203.478576689096</v>
      </c>
      <c r="D33" s="155">
        <f>'PBX Return Data'!N34</f>
        <v>13074.288524347608</v>
      </c>
    </row>
    <row r="34" spans="1:4">
      <c r="A34" s="75">
        <f>'PBX Return Data'!A35</f>
        <v>43769</v>
      </c>
      <c r="B34" s="155">
        <f>'PBX Return Data'!K35</f>
        <v>12752</v>
      </c>
      <c r="C34" s="155">
        <f>'PBX Return Data'!O35</f>
        <v>11237.225209592316</v>
      </c>
      <c r="D34" s="155">
        <f>'PBX Return Data'!N35</f>
        <v>13357.464428937303</v>
      </c>
    </row>
    <row r="35" spans="1:4">
      <c r="A35" s="75">
        <f>'PBX Return Data'!A36</f>
        <v>43799</v>
      </c>
      <c r="B35" s="155">
        <f>'PBX Return Data'!K36</f>
        <v>12803</v>
      </c>
      <c r="C35" s="155">
        <f>'PBX Return Data'!O36</f>
        <v>11231.474662281453</v>
      </c>
      <c r="D35" s="155">
        <f>'PBX Return Data'!N36</f>
        <v>13842.327551879689</v>
      </c>
    </row>
    <row r="36" spans="1:4">
      <c r="A36" s="75">
        <f>'PBX Return Data'!A37</f>
        <v>43830</v>
      </c>
      <c r="B36" s="155">
        <f>'PBX Return Data'!K37</f>
        <v>13048</v>
      </c>
      <c r="C36" s="155">
        <f>'PBX Return Data'!O37</f>
        <v>11223.655935674577</v>
      </c>
      <c r="D36" s="155">
        <f>'PBX Return Data'!N37</f>
        <v>14260.128423558397</v>
      </c>
    </row>
    <row r="37" spans="1:4">
      <c r="A37" s="75">
        <f>'PBX Return Data'!A38</f>
        <v>43861</v>
      </c>
      <c r="B37" s="155">
        <f>'PBX Return Data'!K38</f>
        <v>13151</v>
      </c>
      <c r="C37" s="155">
        <f>'PBX Return Data'!O38</f>
        <v>11439.654563614167</v>
      </c>
      <c r="D37" s="155">
        <f>'PBX Return Data'!N38</f>
        <v>14254.536276064964</v>
      </c>
    </row>
    <row r="38" spans="1:4">
      <c r="A38" s="75">
        <f>'PBX Return Data'!A39</f>
        <v>43890</v>
      </c>
      <c r="B38" s="155">
        <f>'PBX Return Data'!K39</f>
        <v>12625</v>
      </c>
      <c r="C38" s="155">
        <f>'PBX Return Data'!O39</f>
        <v>11645.564512061013</v>
      </c>
      <c r="D38" s="155">
        <f>'PBX Return Data'!N39</f>
        <v>13081.120953580832</v>
      </c>
    </row>
    <row r="39" spans="1:4">
      <c r="A39" s="75">
        <f>'PBX Return Data'!A40</f>
        <v>43921</v>
      </c>
      <c r="B39" s="155">
        <f>'PBX Return Data'!K40</f>
        <v>11316</v>
      </c>
      <c r="C39" s="155">
        <f>'PBX Return Data'!O40</f>
        <v>11577.011934907838</v>
      </c>
      <c r="D39" s="155">
        <f>'PBX Return Data'!N40</f>
        <v>11465.425514553734</v>
      </c>
    </row>
    <row r="40" spans="1:4">
      <c r="A40" s="75">
        <f>'PBX Return Data'!A41</f>
        <v>43951</v>
      </c>
      <c r="B40" s="155">
        <f>'PBX Return Data'!K41</f>
        <v>12266</v>
      </c>
      <c r="C40" s="155">
        <f>'PBX Return Data'!O41</f>
        <v>11782.820996559756</v>
      </c>
      <c r="D40" s="155">
        <f>'PBX Return Data'!N41</f>
        <v>12935.224654189875</v>
      </c>
    </row>
    <row r="41" spans="1:4">
      <c r="A41" s="75">
        <f>'PBX Return Data'!A42</f>
        <v>43982</v>
      </c>
      <c r="B41" s="155">
        <f>'PBX Return Data'!K42</f>
        <v>12971</v>
      </c>
      <c r="C41" s="155">
        <f>'PBX Return Data'!O42</f>
        <v>11837.652969602805</v>
      </c>
      <c r="D41" s="155">
        <f>'PBX Return Data'!N42</f>
        <v>13551.296529604662</v>
      </c>
    </row>
    <row r="42" spans="1:4">
      <c r="A42" s="75">
        <f>'PBX Return Data'!A43</f>
        <v>44012</v>
      </c>
      <c r="B42" s="155">
        <f>'PBX Return Data'!K43</f>
        <v>13266</v>
      </c>
      <c r="C42" s="155">
        <f>'PBX Return Data'!O43</f>
        <v>11912.258754451628</v>
      </c>
      <c r="D42" s="155">
        <f>'PBX Return Data'!N43</f>
        <v>13820.807575727911</v>
      </c>
    </row>
    <row r="43" spans="1:4">
      <c r="A43" s="75">
        <f>'PBX Return Data'!A44</f>
        <v>44043</v>
      </c>
      <c r="B43" s="155">
        <f>'PBX Return Data'!K44</f>
        <v>14062</v>
      </c>
      <c r="C43" s="155">
        <f>'PBX Return Data'!O44</f>
        <v>12090.17261730612</v>
      </c>
      <c r="D43" s="155">
        <f>'PBX Return Data'!N44</f>
        <v>14600.096176233164</v>
      </c>
    </row>
    <row r="44" spans="1:4">
      <c r="A44" s="75">
        <f>'PBX Return Data'!A45</f>
        <v>44074</v>
      </c>
      <c r="B44" s="155">
        <f>'PBX Return Data'!K45</f>
        <v>14152</v>
      </c>
      <c r="C44" s="155">
        <f>'PBX Return Data'!O45</f>
        <v>11992.564643213847</v>
      </c>
      <c r="D44" s="155">
        <f>'PBX Return Data'!N45</f>
        <v>15649.54860272471</v>
      </c>
    </row>
    <row r="45" spans="1:4">
      <c r="A45" s="75">
        <f>'PBX Return Data'!A46</f>
        <v>44104</v>
      </c>
      <c r="B45" s="155">
        <f>'PBX Return Data'!K46</f>
        <v>13837</v>
      </c>
      <c r="C45" s="155">
        <f>'PBX Return Data'!O46</f>
        <v>11986.007001543567</v>
      </c>
      <c r="D45" s="155">
        <f>'PBX Return Data'!N46</f>
        <v>15054.909666146625</v>
      </c>
    </row>
    <row r="46" spans="1:4">
      <c r="A46" s="75">
        <f>'PBX Return Data'!A47</f>
        <v>44135</v>
      </c>
      <c r="B46" s="155">
        <f>'PBX Return Data'!K47</f>
        <v>13889</v>
      </c>
      <c r="C46" s="155">
        <f>'PBX Return Data'!O47</f>
        <v>11932.486556834574</v>
      </c>
      <c r="D46" s="155">
        <f>'PBX Return Data'!N47</f>
        <v>14654.559776140031</v>
      </c>
    </row>
    <row r="47" spans="1:4">
      <c r="A47" s="75">
        <f>'PBX Return Data'!A48</f>
        <v>44165</v>
      </c>
      <c r="B47" s="155">
        <f>'PBX Return Data'!K48</f>
        <v>14704</v>
      </c>
      <c r="C47" s="155">
        <f>'PBX Return Data'!O48</f>
        <v>12049.565682347835</v>
      </c>
      <c r="D47" s="155">
        <f>'PBX Return Data'!N48</f>
        <v>16258.701011591202</v>
      </c>
    </row>
    <row r="48" spans="1:4">
      <c r="A48" s="75">
        <f>'PBX Return Data'!A49</f>
        <v>44196</v>
      </c>
      <c r="B48" s="155">
        <f>'PBX Return Data'!K49</f>
        <v>15277</v>
      </c>
      <c r="C48" s="155">
        <f>'PBX Return Data'!O49</f>
        <v>12066.161560113394</v>
      </c>
      <c r="D48" s="155">
        <f>'PBX Return Data'!N49</f>
        <v>16883.824767773574</v>
      </c>
    </row>
    <row r="49" spans="1:4">
      <c r="A49" s="75">
        <f>'PBX Return Data'!A50</f>
        <v>44227</v>
      </c>
      <c r="B49" s="155">
        <f>'PBX Return Data'!K50</f>
        <v>15277</v>
      </c>
      <c r="C49" s="155">
        <f>'PBX Return Data'!O50</f>
        <v>11979.651133463138</v>
      </c>
      <c r="D49" s="155">
        <f>'PBX Return Data'!N50</f>
        <v>16713.362186203292</v>
      </c>
    </row>
    <row r="50" spans="1:4">
      <c r="A50" s="75">
        <f>'PBX Return Data'!A51</f>
        <v>44255</v>
      </c>
      <c r="B50" s="155">
        <f>'PBX Return Data'!K51</f>
        <v>15722</v>
      </c>
      <c r="C50" s="155">
        <f>'PBX Return Data'!O51</f>
        <v>11806.68072356009</v>
      </c>
      <c r="D50" s="155">
        <f>'PBX Return Data'!N51</f>
        <v>17174.224769514323</v>
      </c>
    </row>
    <row r="51" spans="1:4">
      <c r="A51" s="75">
        <f>'PBX Return Data'!A52</f>
        <v>44286</v>
      </c>
      <c r="B51" s="155">
        <f>'PBX Return Data'!K52</f>
        <v>15598</v>
      </c>
      <c r="C51" s="155">
        <f>'PBX Return Data'!O52</f>
        <v>11659.234672773679</v>
      </c>
      <c r="D51" s="155">
        <f>'PBX Return Data'!N52</f>
        <v>17926.379487045597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AC23-425D-431F-9BC6-551B591E0155}">
  <sheetPr>
    <tabColor rgb="FFFF0000"/>
  </sheetPr>
  <dimension ref="A1:F4"/>
  <sheetViews>
    <sheetView workbookViewId="0">
      <selection activeCell="A40" sqref="A40"/>
    </sheetView>
  </sheetViews>
  <sheetFormatPr defaultRowHeight="15"/>
  <cols>
    <col min="1" max="1" width="30.140625" bestFit="1" customWidth="1"/>
    <col min="2" max="2" width="24" bestFit="1" customWidth="1"/>
    <col min="3" max="3" width="18.140625" bestFit="1" customWidth="1"/>
    <col min="4" max="4" width="5" bestFit="1" customWidth="1"/>
    <col min="5" max="5" width="12.140625" bestFit="1" customWidth="1"/>
  </cols>
  <sheetData>
    <row r="1" spans="1:6">
      <c r="A1" t="s">
        <v>304</v>
      </c>
      <c r="B1" t="s">
        <v>308</v>
      </c>
      <c r="C1" t="s">
        <v>302</v>
      </c>
      <c r="D1" t="s">
        <v>309</v>
      </c>
      <c r="E1" t="s">
        <v>37</v>
      </c>
      <c r="F1" t="s">
        <v>161</v>
      </c>
    </row>
    <row r="2" spans="1:6">
      <c r="A2" t="s">
        <v>305</v>
      </c>
      <c r="B2" s="156">
        <f>'Price Return Table'!G6</f>
        <v>3.3364636818638237E-2</v>
      </c>
      <c r="C2" s="156">
        <f>'Price Return Table'!G7</f>
        <v>6.8467855148248769E-2</v>
      </c>
      <c r="D2">
        <f>'Price Return Table'!G9</f>
        <v>1.97</v>
      </c>
      <c r="E2" s="155">
        <f>'Price Return Table'!G10</f>
        <v>0.84751119356132865</v>
      </c>
      <c r="F2">
        <v>1</v>
      </c>
    </row>
    <row r="3" spans="1:6">
      <c r="A3" t="s">
        <v>306</v>
      </c>
      <c r="B3" s="156">
        <f>'Price Return Table'!H6</f>
        <v>3.2870474442253328E-2</v>
      </c>
      <c r="C3" s="156">
        <f>'Price Return Table'!H7</f>
        <v>7.2877908082736809E-2</v>
      </c>
      <c r="D3">
        <f>'Price Return Table'!H9</f>
        <v>1.57</v>
      </c>
      <c r="E3" s="155">
        <f>'Price Return Table'!H10</f>
        <v>0.78266446423999292</v>
      </c>
      <c r="F3">
        <v>2</v>
      </c>
    </row>
    <row r="4" spans="1:6">
      <c r="A4" t="s">
        <v>307</v>
      </c>
      <c r="B4" s="156">
        <f>'Price Return Table'!I6</f>
        <v>3.5004566669867031E-2</v>
      </c>
      <c r="C4" s="156">
        <f>'Price Return Table'!I7</f>
        <v>0.10974802120917067</v>
      </c>
      <c r="D4" s="155">
        <f>'Price Return Table'!I9</f>
        <v>1</v>
      </c>
      <c r="E4" s="155">
        <f>'Price Return Table'!I10</f>
        <v>0.55861720935166315</v>
      </c>
      <c r="F4">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2C6C-D390-42A8-99D4-708DDC199D5A}">
  <sheetPr>
    <tabColor rgb="FFFF0000"/>
  </sheetPr>
  <dimension ref="A1:G11"/>
  <sheetViews>
    <sheetView workbookViewId="0">
      <selection activeCell="A40" sqref="A40"/>
    </sheetView>
  </sheetViews>
  <sheetFormatPr defaultRowHeight="15"/>
  <cols>
    <col min="1" max="1" width="62.140625" bestFit="1" customWidth="1"/>
    <col min="2" max="4" width="6.28515625" style="155" bestFit="1" customWidth="1"/>
    <col min="5" max="5" width="7.140625" style="155" bestFit="1" customWidth="1"/>
    <col min="6" max="6" width="14.7109375" style="155" bestFit="1" customWidth="1"/>
  </cols>
  <sheetData>
    <row r="1" spans="1:7">
      <c r="A1" t="s">
        <v>159</v>
      </c>
      <c r="B1" s="155" t="s">
        <v>30</v>
      </c>
      <c r="C1" s="155" t="s">
        <v>5</v>
      </c>
      <c r="D1" s="155" t="s">
        <v>2</v>
      </c>
      <c r="E1" s="155" t="s">
        <v>1</v>
      </c>
      <c r="F1" s="155" t="s">
        <v>160</v>
      </c>
      <c r="G1" s="155" t="s">
        <v>161</v>
      </c>
    </row>
    <row r="2" spans="1:7">
      <c r="A2" s="156" t="str">
        <f>'PBX - FACT SHEET'!C13</f>
        <v>Class I</v>
      </c>
      <c r="B2" s="155">
        <f>'PBX - FACT SHEET'!D13</f>
        <v>2.1011978791647574</v>
      </c>
      <c r="C2" s="155">
        <f>'PBX - FACT SHEET'!E13</f>
        <v>2.1011978791647574</v>
      </c>
      <c r="D2" s="155">
        <f>'PBX - FACT SHEET'!F13</f>
        <v>37.840226228349238</v>
      </c>
      <c r="E2" s="155">
        <f>'PBX - FACT SHEET'!G13</f>
        <v>12.844380618094963</v>
      </c>
      <c r="F2" s="155">
        <f>'PBX - FACT SHEET'!H13</f>
        <v>11.51</v>
      </c>
      <c r="G2">
        <v>1</v>
      </c>
    </row>
    <row r="3" spans="1:7">
      <c r="A3" s="156" t="str">
        <f>'PBX - FACT SHEET'!C14</f>
        <v>Bloomberg Barclays US Aggregate TR Index</v>
      </c>
      <c r="B3" s="155">
        <f>'PBX - FACT SHEET'!D14</f>
        <v>-3.3724634409411278</v>
      </c>
      <c r="C3" s="155">
        <f>'PBX - FACT SHEET'!E14</f>
        <v>-3.3724634409411278</v>
      </c>
      <c r="D3" s="155">
        <f>'PBX - FACT SHEET'!F14</f>
        <v>0.71022417812247607</v>
      </c>
      <c r="E3" s="155">
        <f>'PBX - FACT SHEET'!G14</f>
        <v>4.6543452836169896</v>
      </c>
      <c r="F3" s="155">
        <f>'PBX - FACT SHEET'!H14</f>
        <v>3.8310767215220753</v>
      </c>
      <c r="G3">
        <v>2</v>
      </c>
    </row>
    <row r="4" spans="1:7">
      <c r="A4" s="156" t="str">
        <f>'PBX - FACT SHEET'!C15</f>
        <v>S&amp;P 500 TR Index</v>
      </c>
      <c r="B4" s="155">
        <f>'PBX - FACT SHEET'!D15</f>
        <v>6.1748728952811875</v>
      </c>
      <c r="C4" s="155">
        <f>'PBX - FACT SHEET'!E15</f>
        <v>6.1748728952811875</v>
      </c>
      <c r="D4" s="155">
        <f>'PBX - FACT SHEET'!F15</f>
        <v>56.351628330676419</v>
      </c>
      <c r="E4" s="155">
        <f>'PBX - FACT SHEET'!G15</f>
        <v>16.778498637956641</v>
      </c>
      <c r="F4" s="155">
        <f>'PBX - FACT SHEET'!H15</f>
        <v>15.37</v>
      </c>
      <c r="G4">
        <v>3</v>
      </c>
    </row>
    <row r="5" spans="1:7">
      <c r="A5" s="156" t="str">
        <f>'PBX - FACT SHEET'!C16</f>
        <v>ICE BofAML Investment Grade US Convertible 5% Constrained Index</v>
      </c>
      <c r="B5" s="155">
        <f>'PBX - FACT SHEET'!D16</f>
        <v>5.6818389437252144</v>
      </c>
      <c r="C5" s="155">
        <f>'PBX - FACT SHEET'!E16</f>
        <v>5.6818389437252144</v>
      </c>
      <c r="D5" s="155">
        <f>'PBX - FACT SHEET'!F16</f>
        <v>33.745346279230468</v>
      </c>
      <c r="E5" s="155">
        <f>'PBX - FACT SHEET'!G16</f>
        <v>11.116395711553118</v>
      </c>
      <c r="F5" s="155">
        <f>'PBX - FACT SHEET'!H16</f>
        <v>12.300728640384161</v>
      </c>
      <c r="G5">
        <v>4</v>
      </c>
    </row>
    <row r="6" spans="1:7">
      <c r="A6" s="156" t="str">
        <f>'PBX - FACT SHEET'!C17</f>
        <v>Class A</v>
      </c>
      <c r="B6" s="155">
        <f>'PBX - FACT SHEET'!D17</f>
        <v>2.0499999999999998</v>
      </c>
      <c r="C6" s="155">
        <f>'PBX - FACT SHEET'!E17</f>
        <v>2.0499999999999998</v>
      </c>
      <c r="D6" s="155">
        <f>'PBX - FACT SHEET'!F17</f>
        <v>37.81</v>
      </c>
      <c r="E6" s="155">
        <f>'PBX - FACT SHEET'!G17</f>
        <v>12.62</v>
      </c>
      <c r="F6" s="155">
        <f>'PBX - FACT SHEET'!H17</f>
        <v>11.27</v>
      </c>
      <c r="G6">
        <v>5</v>
      </c>
    </row>
    <row r="7" spans="1:7">
      <c r="A7" s="156" t="str">
        <f>'PBX - FACT SHEET'!C18</f>
        <v>Class C</v>
      </c>
      <c r="B7" s="155">
        <f>'PBX - FACT SHEET'!D18</f>
        <v>1.95</v>
      </c>
      <c r="C7" s="155">
        <f>'PBX - FACT SHEET'!E18</f>
        <v>1.95</v>
      </c>
      <c r="D7" s="155">
        <f>'PBX - FACT SHEET'!F18</f>
        <v>36.75</v>
      </c>
      <c r="E7" s="155">
        <f>'PBX - FACT SHEET'!G18</f>
        <v>11.89</v>
      </c>
      <c r="F7" s="155">
        <f>'PBX - FACT SHEET'!H18</f>
        <v>10.51</v>
      </c>
      <c r="G7">
        <v>6</v>
      </c>
    </row>
    <row r="8" spans="1:7">
      <c r="A8" s="156" t="str">
        <f>'PBX - FACT SHEET'!C19</f>
        <v>Class A w/ Load</v>
      </c>
      <c r="B8" s="155">
        <f>'PBX - FACT SHEET'!D19</f>
        <v>-2.77</v>
      </c>
      <c r="C8" s="155">
        <f>'PBX - FACT SHEET'!E19</f>
        <v>-2.77</v>
      </c>
      <c r="D8" s="155">
        <f>'PBX - FACT SHEET'!F19</f>
        <v>31.25</v>
      </c>
      <c r="E8" s="155">
        <f>'PBX - FACT SHEET'!G19</f>
        <v>10.82</v>
      </c>
      <c r="F8" s="155">
        <f>'PBX - FACT SHEET'!H19</f>
        <v>9.9499999999999993</v>
      </c>
      <c r="G8">
        <v>7</v>
      </c>
    </row>
    <row r="9" spans="1:7">
      <c r="A9" s="156"/>
    </row>
    <row r="10" spans="1:7">
      <c r="A10" s="156"/>
    </row>
    <row r="11" spans="1:7">
      <c r="A11" s="15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724F-21FD-44B7-AEA8-9CD5546E2BFB}">
  <sheetPr>
    <tabColor rgb="FFFF0000"/>
  </sheetPr>
  <dimension ref="A1:D10"/>
  <sheetViews>
    <sheetView workbookViewId="0">
      <selection activeCell="A40" sqref="A40"/>
    </sheetView>
  </sheetViews>
  <sheetFormatPr defaultRowHeight="15"/>
  <cols>
    <col min="1" max="1" width="20.140625" bestFit="1" customWidth="1"/>
    <col min="2" max="2" width="9.140625" style="155"/>
    <col min="3" max="3" width="41.7109375" bestFit="1" customWidth="1"/>
  </cols>
  <sheetData>
    <row r="1" spans="1:4">
      <c r="A1" t="s">
        <v>159</v>
      </c>
      <c r="B1" s="155" t="s">
        <v>45</v>
      </c>
      <c r="C1" t="s">
        <v>48</v>
      </c>
      <c r="D1" t="s">
        <v>161</v>
      </c>
    </row>
    <row r="2" spans="1:4">
      <c r="A2" s="156" t="str">
        <f>'PBX - FACT SHEET'!C30</f>
        <v>Sharpe Ratio</v>
      </c>
      <c r="B2" s="155">
        <f>'PBX - FACT SHEET'!E30</f>
        <v>1.0904190244065968</v>
      </c>
      <c r="C2" s="155">
        <f>'PBX - FACT SHEET'!F30</f>
        <v>1.5418736931049146</v>
      </c>
      <c r="D2">
        <v>1</v>
      </c>
    </row>
    <row r="3" spans="1:4">
      <c r="A3" s="156" t="str">
        <f>'PBX - FACT SHEET'!C31</f>
        <v>Alpha (vs. Agg)</v>
      </c>
      <c r="B3" s="156">
        <f>'PBX - FACT SHEET'!E31</f>
        <v>9.6658766770999188E-2</v>
      </c>
      <c r="C3" s="155" t="str">
        <f>'PBX - FACT SHEET'!F31</f>
        <v>-</v>
      </c>
      <c r="D3">
        <v>2</v>
      </c>
    </row>
    <row r="4" spans="1:4">
      <c r="A4" s="156" t="str">
        <f>'PBX - FACT SHEET'!C32</f>
        <v>Beta (vs. Agg)</v>
      </c>
      <c r="B4" s="155">
        <f>'PBX - FACT SHEET'!E32</f>
        <v>0.47682193529274375</v>
      </c>
      <c r="C4" s="155" t="str">
        <f>'PBX - FACT SHEET'!F32</f>
        <v>-</v>
      </c>
      <c r="D4">
        <v>3</v>
      </c>
    </row>
    <row r="5" spans="1:4">
      <c r="A5" s="156" t="str">
        <f>'PBX - FACT SHEET'!C33</f>
        <v>Correlation (vs. Agg)</v>
      </c>
      <c r="B5" s="155">
        <f>'PBX - FACT SHEET'!E33</f>
        <v>0.1512219069125359</v>
      </c>
      <c r="C5" s="155" t="str">
        <f>'PBX - FACT SHEET'!F33</f>
        <v>-</v>
      </c>
      <c r="D5">
        <v>4</v>
      </c>
    </row>
    <row r="6" spans="1:4">
      <c r="A6" s="156" t="str">
        <f>'PBX - FACT SHEET'!C34</f>
        <v>% of Positive Months</v>
      </c>
      <c r="B6" s="211">
        <f>'PBX - FACT SHEET'!E34</f>
        <v>0.69387755102040816</v>
      </c>
      <c r="C6" s="212">
        <f>'PBX - FACT SHEET'!F34</f>
        <v>0.77551020408163263</v>
      </c>
      <c r="D6">
        <v>5</v>
      </c>
    </row>
    <row r="7" spans="1:4">
      <c r="A7" s="156" t="str">
        <f>'PBX - FACT SHEET'!C35</f>
        <v>Maximum Drawdown</v>
      </c>
      <c r="B7" s="156">
        <f>'PBX - FACT SHEET'!E35</f>
        <v>-0.13953311535244467</v>
      </c>
      <c r="C7" s="200">
        <f>'PBX - FACT SHEET'!F35</f>
        <v>-0.16010930946931626</v>
      </c>
      <c r="D7">
        <v>6</v>
      </c>
    </row>
    <row r="8" spans="1:4">
      <c r="A8" s="156"/>
      <c r="B8" s="156"/>
      <c r="C8" s="156"/>
    </row>
    <row r="9" spans="1:4">
      <c r="A9" s="156"/>
      <c r="B9" s="156"/>
      <c r="C9" s="156"/>
    </row>
    <row r="10" spans="1:4">
      <c r="A10" s="156"/>
      <c r="B10" s="156"/>
      <c r="C10" s="15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AF65-D88D-4A39-92A0-C991222CA009}">
  <sheetPr>
    <tabColor rgb="FFFF0000"/>
  </sheetPr>
  <dimension ref="A1:C10"/>
  <sheetViews>
    <sheetView workbookViewId="0">
      <selection activeCell="A40" sqref="A40"/>
    </sheetView>
  </sheetViews>
  <sheetFormatPr defaultRowHeight="15"/>
  <cols>
    <col min="1" max="1" width="22.5703125" bestFit="1" customWidth="1"/>
    <col min="2" max="2" width="9.140625" style="157"/>
  </cols>
  <sheetData>
    <row r="1" spans="1:3">
      <c r="A1" t="s">
        <v>159</v>
      </c>
      <c r="B1" s="157" t="s">
        <v>162</v>
      </c>
      <c r="C1" t="s">
        <v>161</v>
      </c>
    </row>
    <row r="2" spans="1:3">
      <c r="A2" t="str">
        <f>'PBX - FACT SHEET'!N23</f>
        <v>Information Technology</v>
      </c>
      <c r="B2" s="157">
        <f>'PBX - FACT SHEET'!O23*100</f>
        <v>28.234838964415754</v>
      </c>
      <c r="C2">
        <v>1</v>
      </c>
    </row>
    <row r="3" spans="1:3">
      <c r="A3" t="str">
        <f>'PBX - FACT SHEET'!N24</f>
        <v>Financials</v>
      </c>
      <c r="B3" s="157">
        <f>'PBX - FACT SHEET'!O24*100</f>
        <v>18.902438300596618</v>
      </c>
      <c r="C3">
        <v>2</v>
      </c>
    </row>
    <row r="4" spans="1:3">
      <c r="A4" t="str">
        <f>'PBX - FACT SHEET'!N25</f>
        <v>Health Care</v>
      </c>
      <c r="B4" s="157">
        <f>'PBX - FACT SHEET'!O25*100</f>
        <v>18.247632123121893</v>
      </c>
      <c r="C4">
        <v>3</v>
      </c>
    </row>
    <row r="5" spans="1:3">
      <c r="A5" t="str">
        <f>'PBX - FACT SHEET'!N26</f>
        <v>Industrials</v>
      </c>
      <c r="B5" s="157">
        <f>'PBX - FACT SHEET'!O26*100</f>
        <v>11.754347133169242</v>
      </c>
      <c r="C5">
        <v>4</v>
      </c>
    </row>
    <row r="6" spans="1:3">
      <c r="A6" t="str">
        <f>'PBX - FACT SHEET'!N27</f>
        <v>Utilities</v>
      </c>
      <c r="B6" s="157">
        <f>'PBX - FACT SHEET'!O27*100</f>
        <v>8.7094224237547202</v>
      </c>
      <c r="C6">
        <v>5</v>
      </c>
    </row>
    <row r="7" spans="1:3">
      <c r="A7" t="str">
        <f>'PBX - FACT SHEET'!N28</f>
        <v>Consumer Discretionary</v>
      </c>
      <c r="B7" s="157">
        <f>'PBX - FACT SHEET'!O28*100</f>
        <v>7.8767904650672422</v>
      </c>
      <c r="C7">
        <v>6</v>
      </c>
    </row>
    <row r="8" spans="1:3">
      <c r="A8" t="str">
        <f>'PBX - FACT SHEET'!N29</f>
        <v>Energy</v>
      </c>
      <c r="B8" s="157">
        <f>'PBX - FACT SHEET'!O29*100</f>
        <v>3.5127709511639962</v>
      </c>
      <c r="C8">
        <v>7</v>
      </c>
    </row>
    <row r="9" spans="1:3">
      <c r="A9" t="str">
        <f>'PBX - FACT SHEET'!N30</f>
        <v>Cash</v>
      </c>
      <c r="B9" s="157">
        <f>'PBX - FACT SHEET'!O30*100</f>
        <v>2.7617596387105281</v>
      </c>
      <c r="C9">
        <v>8</v>
      </c>
    </row>
    <row r="10" spans="1:3">
      <c r="A10" t="str">
        <f>'PBX - FACT SHEET'!N31</f>
        <v>TOTAL</v>
      </c>
      <c r="B10" s="157">
        <f>'PBX - FACT SHEET'!O31*100</f>
        <v>99.999999999999972</v>
      </c>
      <c r="C10">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PBX Return Data</vt:lpstr>
      <vt:lpstr>PBX - FACT SHEET</vt:lpstr>
      <vt:lpstr>PBX</vt:lpstr>
      <vt:lpstr>Price Return Table</vt:lpstr>
      <vt:lpstr>PBX_EXPORT_10kChart</vt:lpstr>
      <vt:lpstr>PBX_EXPORT_PriceReturnTable</vt:lpstr>
      <vt:lpstr>PBX_EXPORT_PerformanceTable</vt:lpstr>
      <vt:lpstr>PBX_EXPORT_Performance&amp;RiskStat</vt:lpstr>
      <vt:lpstr>PBX_EXPORT_SectorAllocation</vt:lpstr>
      <vt:lpstr>PBX_EXPORT_SecuritiesAssetPie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2016-01-27T18:50:44Z</dcterms:created>
  <dcterms:modified xsi:type="dcterms:W3CDTF">2021-04-26T13:28:00Z</dcterms:modified>
</cp:coreProperties>
</file>