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RTAVF\"/>
    </mc:Choice>
  </mc:AlternateContent>
  <xr:revisionPtr revIDLastSave="0" documentId="13_ncr:1_{2E3F7737-9F2B-4052-BF56-C327268C057B}" xr6:coauthVersionLast="46" xr6:coauthVersionMax="46" xr10:uidLastSave="{00000000-0000-0000-0000-000000000000}"/>
  <bookViews>
    <workbookView xWindow="-28920" yWindow="-120" windowWidth="29040" windowHeight="15840" tabRatio="803" xr2:uid="{00000000-000D-0000-FFFF-FFFF00000000}"/>
  </bookViews>
  <sheets>
    <sheet name="INPUTS" sheetId="5" r:id="rId1"/>
    <sheet name="DATA" sheetId="1" r:id="rId2"/>
    <sheet name="Fact Sheet" sheetId="4" r:id="rId3"/>
    <sheet name="VHAD" sheetId="7" r:id="rId4"/>
    <sheet name="RTAVF_EXPORT_10k" sheetId="8" r:id="rId5"/>
    <sheet name="RTAVF_Export_PerformanceTable" sheetId="9" r:id="rId6"/>
    <sheet name="RTAVF_EXPORT_TopTenHoldings" sheetId="10" r:id="rId7"/>
    <sheet name="RTAVF_EXPORT_SectorWeights" sheetId="11" r:id="rId8"/>
    <sheet name="RTAVF_EXPORT_PortfolioStatistic" sheetId="12" r:id="rId9"/>
  </sheets>
  <externalReferences>
    <externalReference r:id="rId10"/>
  </externalReferences>
  <definedNames>
    <definedName name="_xlnm._FilterDatabase" localSheetId="0" hidden="1">INPUTS!$B$19:$C$32</definedName>
    <definedName name="_xlnm.Print_Titles" localSheetId="3">VHAD!$1:$2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1" l="1"/>
  <c r="B14" i="11"/>
  <c r="A29" i="8"/>
  <c r="B29" i="8"/>
  <c r="C29" i="8"/>
  <c r="A30" i="8"/>
  <c r="B30" i="8"/>
  <c r="C30" i="8"/>
  <c r="A31" i="8"/>
  <c r="B31" i="8"/>
  <c r="C31" i="8"/>
  <c r="P31" i="4"/>
  <c r="O31" i="4"/>
  <c r="P30" i="4"/>
  <c r="O30" i="4"/>
  <c r="P29" i="4"/>
  <c r="O29" i="4"/>
  <c r="P28" i="4"/>
  <c r="O28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J17" i="4"/>
  <c r="I17" i="4"/>
  <c r="H17" i="4"/>
  <c r="G17" i="4"/>
  <c r="F17" i="4"/>
  <c r="E17" i="4"/>
  <c r="E8" i="4" s="1"/>
  <c r="D17" i="4"/>
  <c r="O16" i="4"/>
  <c r="N16" i="4"/>
  <c r="J16" i="4"/>
  <c r="I16" i="4"/>
  <c r="H16" i="4"/>
  <c r="H10" i="4" s="1"/>
  <c r="G16" i="4"/>
  <c r="G10" i="4" s="1"/>
  <c r="F16" i="4"/>
  <c r="F10" i="4" s="1"/>
  <c r="E16" i="4"/>
  <c r="D16" i="4"/>
  <c r="O15" i="4"/>
  <c r="N15" i="4"/>
  <c r="J15" i="4"/>
  <c r="J9" i="4" s="1"/>
  <c r="I15" i="4"/>
  <c r="I9" i="4" s="1"/>
  <c r="H15" i="4"/>
  <c r="G15" i="4"/>
  <c r="G9" i="4" s="1"/>
  <c r="F15" i="4"/>
  <c r="F9" i="4" s="1"/>
  <c r="E15" i="4"/>
  <c r="D15" i="4"/>
  <c r="O14" i="4"/>
  <c r="N14" i="4"/>
  <c r="J14" i="4"/>
  <c r="I14" i="4"/>
  <c r="H14" i="4"/>
  <c r="G14" i="4"/>
  <c r="F14" i="4"/>
  <c r="E14" i="4"/>
  <c r="D14" i="4"/>
  <c r="O13" i="4"/>
  <c r="N13" i="4"/>
  <c r="O12" i="4"/>
  <c r="N12" i="4"/>
  <c r="I10" i="4"/>
  <c r="E10" i="4"/>
  <c r="D10" i="4"/>
  <c r="R9" i="4"/>
  <c r="Q9" i="4"/>
  <c r="O9" i="4"/>
  <c r="N9" i="4"/>
  <c r="H9" i="4"/>
  <c r="E9" i="4"/>
  <c r="D9" i="4"/>
  <c r="R8" i="4"/>
  <c r="Q8" i="4"/>
  <c r="O8" i="4"/>
  <c r="N8" i="4"/>
  <c r="I8" i="4"/>
  <c r="H8" i="4"/>
  <c r="F8" i="4"/>
  <c r="D8" i="4"/>
  <c r="R7" i="4"/>
  <c r="Q7" i="4"/>
  <c r="O7" i="4"/>
  <c r="N7" i="4"/>
  <c r="R6" i="4"/>
  <c r="Q6" i="4"/>
  <c r="O6" i="4"/>
  <c r="N6" i="4"/>
  <c r="R5" i="4"/>
  <c r="Q5" i="4"/>
  <c r="O5" i="4"/>
  <c r="N5" i="4"/>
  <c r="H5" i="4"/>
  <c r="G5" i="4"/>
  <c r="F5" i="4"/>
  <c r="F4" i="4"/>
  <c r="E4" i="4"/>
  <c r="Q237" i="1"/>
  <c r="I237" i="1"/>
  <c r="Q236" i="1"/>
  <c r="I236" i="1"/>
  <c r="Q235" i="1"/>
  <c r="I235" i="1"/>
  <c r="Q234" i="1"/>
  <c r="I234" i="1"/>
  <c r="Q233" i="1"/>
  <c r="I233" i="1"/>
  <c r="Q232" i="1"/>
  <c r="I232" i="1"/>
  <c r="Q231" i="1"/>
  <c r="I231" i="1"/>
  <c r="Q230" i="1"/>
  <c r="I230" i="1"/>
  <c r="Q229" i="1"/>
  <c r="I229" i="1"/>
  <c r="Q228" i="1"/>
  <c r="I228" i="1"/>
  <c r="Q227" i="1"/>
  <c r="I227" i="1"/>
  <c r="Q226" i="1"/>
  <c r="I226" i="1"/>
  <c r="Q225" i="1"/>
  <c r="I225" i="1"/>
  <c r="Q224" i="1"/>
  <c r="I224" i="1"/>
  <c r="Q223" i="1"/>
  <c r="I223" i="1"/>
  <c r="Q222" i="1"/>
  <c r="I222" i="1"/>
  <c r="Q221" i="1"/>
  <c r="I221" i="1"/>
  <c r="Q220" i="1"/>
  <c r="I220" i="1"/>
  <c r="Q219" i="1"/>
  <c r="I219" i="1"/>
  <c r="Q218" i="1"/>
  <c r="I218" i="1"/>
  <c r="Q217" i="1"/>
  <c r="I217" i="1"/>
  <c r="Q216" i="1"/>
  <c r="I216" i="1"/>
  <c r="Q215" i="1"/>
  <c r="I215" i="1"/>
  <c r="Q214" i="1"/>
  <c r="I214" i="1"/>
  <c r="Q213" i="1"/>
  <c r="I213" i="1"/>
  <c r="Q212" i="1"/>
  <c r="I212" i="1"/>
  <c r="Q211" i="1"/>
  <c r="I211" i="1"/>
  <c r="Q210" i="1"/>
  <c r="I210" i="1"/>
  <c r="Q209" i="1"/>
  <c r="I209" i="1"/>
  <c r="Q208" i="1"/>
  <c r="I208" i="1"/>
  <c r="Q207" i="1"/>
  <c r="I207" i="1"/>
  <c r="Q206" i="1"/>
  <c r="I206" i="1"/>
  <c r="Q205" i="1"/>
  <c r="I205" i="1"/>
  <c r="Q204" i="1"/>
  <c r="I204" i="1"/>
  <c r="Q203" i="1"/>
  <c r="I203" i="1"/>
  <c r="Q202" i="1"/>
  <c r="I202" i="1"/>
  <c r="Q201" i="1"/>
  <c r="I201" i="1"/>
  <c r="Q200" i="1"/>
  <c r="I200" i="1"/>
  <c r="Q199" i="1"/>
  <c r="I199" i="1"/>
  <c r="Q198" i="1"/>
  <c r="I198" i="1"/>
  <c r="Q197" i="1"/>
  <c r="I197" i="1"/>
  <c r="Q196" i="1"/>
  <c r="I196" i="1"/>
  <c r="Q195" i="1"/>
  <c r="I195" i="1"/>
  <c r="Q194" i="1"/>
  <c r="I194" i="1"/>
  <c r="Q193" i="1"/>
  <c r="I193" i="1"/>
  <c r="Q192" i="1"/>
  <c r="I192" i="1"/>
  <c r="Q191" i="1"/>
  <c r="I191" i="1"/>
  <c r="Q190" i="1"/>
  <c r="I190" i="1"/>
  <c r="Q189" i="1"/>
  <c r="I189" i="1"/>
  <c r="Q188" i="1"/>
  <c r="I188" i="1"/>
  <c r="Q187" i="1"/>
  <c r="I187" i="1"/>
  <c r="Q186" i="1"/>
  <c r="I186" i="1"/>
  <c r="Q185" i="1"/>
  <c r="I185" i="1"/>
  <c r="Q184" i="1"/>
  <c r="I184" i="1"/>
  <c r="Q183" i="1"/>
  <c r="I183" i="1"/>
  <c r="Q182" i="1"/>
  <c r="I182" i="1"/>
  <c r="Q181" i="1"/>
  <c r="I181" i="1"/>
  <c r="Q180" i="1"/>
  <c r="I180" i="1"/>
  <c r="Q179" i="1"/>
  <c r="I179" i="1"/>
  <c r="Q178" i="1"/>
  <c r="I178" i="1"/>
  <c r="Q177" i="1"/>
  <c r="I177" i="1"/>
  <c r="Q176" i="1"/>
  <c r="I176" i="1"/>
  <c r="Q175" i="1"/>
  <c r="I175" i="1"/>
  <c r="Q174" i="1"/>
  <c r="I174" i="1"/>
  <c r="Q173" i="1"/>
  <c r="I173" i="1"/>
  <c r="Q172" i="1"/>
  <c r="I172" i="1"/>
  <c r="Q171" i="1"/>
  <c r="I171" i="1"/>
  <c r="Q170" i="1"/>
  <c r="I170" i="1"/>
  <c r="Q169" i="1"/>
  <c r="I169" i="1"/>
  <c r="Q168" i="1"/>
  <c r="I168" i="1"/>
  <c r="Q167" i="1"/>
  <c r="I167" i="1"/>
  <c r="Q166" i="1"/>
  <c r="I166" i="1"/>
  <c r="Q165" i="1"/>
  <c r="I165" i="1"/>
  <c r="Q164" i="1"/>
  <c r="I164" i="1"/>
  <c r="Q163" i="1"/>
  <c r="I163" i="1"/>
  <c r="Q162" i="1"/>
  <c r="I162" i="1"/>
  <c r="Q161" i="1"/>
  <c r="I161" i="1"/>
  <c r="Q160" i="1"/>
  <c r="I160" i="1"/>
  <c r="Q159" i="1"/>
  <c r="I159" i="1"/>
  <c r="Q158" i="1"/>
  <c r="I158" i="1"/>
  <c r="Q157" i="1"/>
  <c r="I157" i="1"/>
  <c r="Q156" i="1"/>
  <c r="I156" i="1"/>
  <c r="Q155" i="1"/>
  <c r="I155" i="1"/>
  <c r="Q154" i="1"/>
  <c r="I154" i="1"/>
  <c r="Q153" i="1"/>
  <c r="I153" i="1"/>
  <c r="Q152" i="1"/>
  <c r="I152" i="1"/>
  <c r="Q151" i="1"/>
  <c r="I151" i="1"/>
  <c r="Q150" i="1"/>
  <c r="I150" i="1"/>
  <c r="Q149" i="1"/>
  <c r="I149" i="1"/>
  <c r="Q148" i="1"/>
  <c r="I148" i="1"/>
  <c r="Q147" i="1"/>
  <c r="I147" i="1"/>
  <c r="Q146" i="1"/>
  <c r="I146" i="1"/>
  <c r="Q145" i="1"/>
  <c r="I145" i="1"/>
  <c r="Q144" i="1"/>
  <c r="I144" i="1"/>
  <c r="Q143" i="1"/>
  <c r="I143" i="1"/>
  <c r="Q142" i="1"/>
  <c r="I142" i="1"/>
  <c r="Q141" i="1"/>
  <c r="I141" i="1"/>
  <c r="Q140" i="1"/>
  <c r="I140" i="1"/>
  <c r="Q139" i="1"/>
  <c r="I139" i="1"/>
  <c r="Q138" i="1"/>
  <c r="I138" i="1"/>
  <c r="Q137" i="1"/>
  <c r="I137" i="1"/>
  <c r="Q136" i="1"/>
  <c r="I136" i="1"/>
  <c r="Q135" i="1"/>
  <c r="I135" i="1"/>
  <c r="Q134" i="1"/>
  <c r="I134" i="1"/>
  <c r="Q133" i="1"/>
  <c r="I133" i="1"/>
  <c r="Q132" i="1"/>
  <c r="I132" i="1"/>
  <c r="Q131" i="1"/>
  <c r="I131" i="1"/>
  <c r="Q130" i="1"/>
  <c r="I130" i="1"/>
  <c r="Q129" i="1"/>
  <c r="I129" i="1"/>
  <c r="Q128" i="1"/>
  <c r="I128" i="1"/>
  <c r="Q127" i="1"/>
  <c r="I127" i="1"/>
  <c r="Q126" i="1"/>
  <c r="I126" i="1"/>
  <c r="Q125" i="1"/>
  <c r="I125" i="1"/>
  <c r="Q124" i="1"/>
  <c r="I124" i="1"/>
  <c r="Q123" i="1"/>
  <c r="I123" i="1"/>
  <c r="Q122" i="1"/>
  <c r="I122" i="1"/>
  <c r="Q121" i="1"/>
  <c r="I121" i="1"/>
  <c r="Q120" i="1"/>
  <c r="I120" i="1"/>
  <c r="Q119" i="1"/>
  <c r="I119" i="1"/>
  <c r="Q118" i="1"/>
  <c r="I118" i="1"/>
  <c r="Q117" i="1"/>
  <c r="I117" i="1"/>
  <c r="Q116" i="1"/>
  <c r="I116" i="1"/>
  <c r="Q115" i="1"/>
  <c r="I115" i="1"/>
  <c r="Q114" i="1"/>
  <c r="I114" i="1"/>
  <c r="Q113" i="1"/>
  <c r="I113" i="1"/>
  <c r="Q112" i="1"/>
  <c r="I112" i="1"/>
  <c r="Q111" i="1"/>
  <c r="I111" i="1"/>
  <c r="Q110" i="1"/>
  <c r="I110" i="1"/>
  <c r="Q109" i="1"/>
  <c r="I109" i="1"/>
  <c r="Q108" i="1"/>
  <c r="I108" i="1"/>
  <c r="Q107" i="1"/>
  <c r="I107" i="1"/>
  <c r="Q106" i="1"/>
  <c r="I106" i="1"/>
  <c r="Q105" i="1"/>
  <c r="I105" i="1"/>
  <c r="Q104" i="1"/>
  <c r="I104" i="1"/>
  <c r="Q103" i="1"/>
  <c r="I103" i="1"/>
  <c r="Q102" i="1"/>
  <c r="I102" i="1"/>
  <c r="Q101" i="1"/>
  <c r="I101" i="1"/>
  <c r="Q100" i="1"/>
  <c r="I100" i="1"/>
  <c r="Q99" i="1"/>
  <c r="I99" i="1"/>
  <c r="Q98" i="1"/>
  <c r="I98" i="1"/>
  <c r="Q97" i="1"/>
  <c r="I97" i="1"/>
  <c r="Q96" i="1"/>
  <c r="I96" i="1"/>
  <c r="Q95" i="1"/>
  <c r="I95" i="1"/>
  <c r="Q94" i="1"/>
  <c r="I94" i="1"/>
  <c r="Q93" i="1"/>
  <c r="I93" i="1"/>
  <c r="Q92" i="1"/>
  <c r="I92" i="1"/>
  <c r="Q91" i="1"/>
  <c r="I91" i="1"/>
  <c r="Q90" i="1"/>
  <c r="I90" i="1"/>
  <c r="Q89" i="1"/>
  <c r="I89" i="1"/>
  <c r="Q88" i="1"/>
  <c r="I88" i="1"/>
  <c r="Q87" i="1"/>
  <c r="I87" i="1"/>
  <c r="Q86" i="1"/>
  <c r="I86" i="1"/>
  <c r="Q85" i="1"/>
  <c r="I85" i="1"/>
  <c r="Q84" i="1"/>
  <c r="I84" i="1"/>
  <c r="Q83" i="1"/>
  <c r="I83" i="1"/>
  <c r="Q82" i="1"/>
  <c r="I82" i="1"/>
  <c r="Q81" i="1"/>
  <c r="I81" i="1"/>
  <c r="Q80" i="1"/>
  <c r="I80" i="1"/>
  <c r="Q79" i="1"/>
  <c r="I79" i="1"/>
  <c r="Q78" i="1"/>
  <c r="I78" i="1"/>
  <c r="Q77" i="1"/>
  <c r="I77" i="1"/>
  <c r="Q76" i="1"/>
  <c r="I76" i="1"/>
  <c r="Q75" i="1"/>
  <c r="I75" i="1"/>
  <c r="Q74" i="1"/>
  <c r="I74" i="1"/>
  <c r="Q73" i="1"/>
  <c r="I73" i="1"/>
  <c r="Q72" i="1"/>
  <c r="I72" i="1"/>
  <c r="Q71" i="1"/>
  <c r="I71" i="1"/>
  <c r="Q70" i="1"/>
  <c r="I70" i="1"/>
  <c r="Q69" i="1"/>
  <c r="I69" i="1"/>
  <c r="Q68" i="1"/>
  <c r="I68" i="1"/>
  <c r="Q67" i="1"/>
  <c r="I67" i="1"/>
  <c r="Q66" i="1"/>
  <c r="I66" i="1"/>
  <c r="Q65" i="1"/>
  <c r="I65" i="1"/>
  <c r="Q64" i="1"/>
  <c r="I64" i="1"/>
  <c r="Q63" i="1"/>
  <c r="I63" i="1"/>
  <c r="Q62" i="1"/>
  <c r="I62" i="1"/>
  <c r="Q61" i="1"/>
  <c r="I61" i="1"/>
  <c r="Q60" i="1"/>
  <c r="I60" i="1"/>
  <c r="Q59" i="1"/>
  <c r="I59" i="1"/>
  <c r="Q58" i="1"/>
  <c r="I58" i="1"/>
  <c r="Q57" i="1"/>
  <c r="I57" i="1"/>
  <c r="Q56" i="1"/>
  <c r="I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Q45" i="1"/>
  <c r="I45" i="1"/>
  <c r="B45" i="1"/>
  <c r="Q44" i="1"/>
  <c r="I44" i="1"/>
  <c r="D44" i="1"/>
  <c r="C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Q34" i="1"/>
  <c r="I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E26" i="1"/>
  <c r="D26" i="1"/>
  <c r="Q25" i="1"/>
  <c r="I25" i="1"/>
  <c r="Q24" i="1"/>
  <c r="I24" i="1"/>
  <c r="E24" i="1"/>
  <c r="Q23" i="1"/>
  <c r="I23" i="1"/>
  <c r="Q22" i="1"/>
  <c r="I22" i="1"/>
  <c r="Q21" i="1"/>
  <c r="I21" i="1"/>
  <c r="Q20" i="1"/>
  <c r="I20" i="1"/>
  <c r="Q19" i="1"/>
  <c r="I19" i="1"/>
  <c r="Q18" i="1"/>
  <c r="I18" i="1"/>
  <c r="Q17" i="1"/>
  <c r="I17" i="1"/>
  <c r="Q16" i="1"/>
  <c r="I16" i="1"/>
  <c r="Q15" i="1"/>
  <c r="I15" i="1"/>
  <c r="Q14" i="1"/>
  <c r="I14" i="1"/>
  <c r="C14" i="1" s="1"/>
  <c r="E14" i="1"/>
  <c r="D14" i="1"/>
  <c r="Q13" i="1"/>
  <c r="I13" i="1"/>
  <c r="Q12" i="1"/>
  <c r="I12" i="1"/>
  <c r="Q11" i="1"/>
  <c r="I11" i="1"/>
  <c r="Q10" i="1"/>
  <c r="I10" i="1"/>
  <c r="Q9" i="1"/>
  <c r="I9" i="1"/>
  <c r="Q8" i="1"/>
  <c r="I8" i="1"/>
  <c r="C9" i="1" s="1"/>
  <c r="Q7" i="1"/>
  <c r="I7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Q6" i="1"/>
  <c r="I6" i="1"/>
  <c r="C6" i="1"/>
  <c r="B4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Q5" i="1"/>
  <c r="N5" i="1"/>
  <c r="I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V4" i="1"/>
  <c r="Q4" i="1"/>
  <c r="O4" i="1"/>
  <c r="O5" i="1" s="1"/>
  <c r="O6" i="1" s="1"/>
  <c r="N4" i="1"/>
  <c r="R4" i="1" s="1"/>
  <c r="I4" i="1"/>
  <c r="G3" i="1"/>
  <c r="W2" i="1"/>
  <c r="V2" i="1"/>
  <c r="N2" i="1"/>
  <c r="J2" i="1"/>
  <c r="R2" i="1" s="1"/>
  <c r="I2" i="1"/>
  <c r="M2" i="1" s="1"/>
  <c r="C34" i="5"/>
  <c r="S6" i="1" l="1"/>
  <c r="O7" i="1"/>
  <c r="D9" i="1"/>
  <c r="D27" i="1" s="1"/>
  <c r="C27" i="1"/>
  <c r="E9" i="1"/>
  <c r="E27" i="1" s="1"/>
  <c r="C47" i="1"/>
  <c r="C24" i="1"/>
  <c r="Q2" i="1"/>
  <c r="S4" i="1"/>
  <c r="S5" i="1"/>
  <c r="C10" i="1"/>
  <c r="C54" i="1"/>
  <c r="C55" i="1"/>
  <c r="B51" i="1"/>
  <c r="B56" i="1"/>
  <c r="B46" i="1"/>
  <c r="B50" i="1"/>
  <c r="B53" i="1"/>
  <c r="B49" i="1"/>
  <c r="B48" i="1"/>
  <c r="C26" i="1"/>
  <c r="B52" i="1"/>
  <c r="D45" i="1"/>
  <c r="C45" i="1"/>
  <c r="E45" i="1"/>
  <c r="N6" i="1"/>
  <c r="R5" i="1"/>
  <c r="A26" i="8"/>
  <c r="B26" i="8"/>
  <c r="C26" i="8"/>
  <c r="A27" i="8"/>
  <c r="B27" i="8"/>
  <c r="C27" i="8"/>
  <c r="A28" i="8"/>
  <c r="B28" i="8"/>
  <c r="C28" i="8"/>
  <c r="C50" i="1" l="1"/>
  <c r="D10" i="1"/>
  <c r="E10" i="1"/>
  <c r="C52" i="1"/>
  <c r="C51" i="1"/>
  <c r="N7" i="1"/>
  <c r="R6" i="1"/>
  <c r="C53" i="1"/>
  <c r="C46" i="1"/>
  <c r="C56" i="1"/>
  <c r="C48" i="1"/>
  <c r="S7" i="1"/>
  <c r="O8" i="1"/>
  <c r="C49" i="1"/>
  <c r="A13" i="11"/>
  <c r="B13" i="11"/>
  <c r="A23" i="8"/>
  <c r="B23" i="8"/>
  <c r="C23" i="8"/>
  <c r="A24" i="8"/>
  <c r="B24" i="8"/>
  <c r="C24" i="8"/>
  <c r="A25" i="8"/>
  <c r="B25" i="8"/>
  <c r="C25" i="8"/>
  <c r="C66" i="1" l="1"/>
  <c r="C62" i="1"/>
  <c r="C17" i="1" s="1"/>
  <c r="C65" i="1"/>
  <c r="C61" i="1"/>
  <c r="C16" i="1" s="1"/>
  <c r="C68" i="1"/>
  <c r="C64" i="1"/>
  <c r="C60" i="1"/>
  <c r="C15" i="1" s="1"/>
  <c r="C63" i="1"/>
  <c r="C19" i="1"/>
  <c r="C11" i="1"/>
  <c r="C12" i="1" s="1"/>
  <c r="C22" i="1" s="1"/>
  <c r="C18" i="1"/>
  <c r="C67" i="1"/>
  <c r="C13" i="1"/>
  <c r="C59" i="1"/>
  <c r="C20" i="1"/>
  <c r="N8" i="1"/>
  <c r="R7" i="1"/>
  <c r="C21" i="1"/>
  <c r="O9" i="1"/>
  <c r="S8" i="1"/>
  <c r="B4" i="9"/>
  <c r="C4" i="9"/>
  <c r="D4" i="9"/>
  <c r="E4" i="9"/>
  <c r="F4" i="9"/>
  <c r="G4" i="9"/>
  <c r="H4" i="9"/>
  <c r="A4" i="9"/>
  <c r="S9" i="1" l="1"/>
  <c r="O10" i="1"/>
  <c r="C23" i="1"/>
  <c r="N9" i="1"/>
  <c r="R8" i="1"/>
  <c r="B3" i="12"/>
  <c r="C3" i="12"/>
  <c r="B4" i="12"/>
  <c r="C4" i="12"/>
  <c r="B5" i="12"/>
  <c r="C5" i="12"/>
  <c r="C2" i="12"/>
  <c r="B2" i="12"/>
  <c r="A20" i="8"/>
  <c r="B20" i="8"/>
  <c r="C20" i="8"/>
  <c r="A21" i="8"/>
  <c r="B21" i="8"/>
  <c r="C21" i="8"/>
  <c r="A22" i="8"/>
  <c r="B22" i="8"/>
  <c r="C22" i="8"/>
  <c r="N10" i="1" l="1"/>
  <c r="R9" i="1"/>
  <c r="S10" i="1"/>
  <c r="O11" i="1"/>
  <c r="H3" i="9"/>
  <c r="A3" i="9"/>
  <c r="E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" i="8"/>
  <c r="O12" i="1" l="1"/>
  <c r="S11" i="1"/>
  <c r="N11" i="1"/>
  <c r="R10" i="1"/>
  <c r="A11" i="11"/>
  <c r="B11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2" i="11"/>
  <c r="B12" i="11"/>
  <c r="B2" i="11"/>
  <c r="A2" i="11"/>
  <c r="B11" i="10"/>
  <c r="A11" i="10"/>
  <c r="B10" i="10"/>
  <c r="A10" i="10"/>
  <c r="B9" i="10"/>
  <c r="A9" i="10"/>
  <c r="B8" i="10"/>
  <c r="A8" i="10"/>
  <c r="B7" i="10"/>
  <c r="A7" i="10"/>
  <c r="B6" i="10"/>
  <c r="B5" i="10"/>
  <c r="B4" i="10"/>
  <c r="B3" i="10"/>
  <c r="B2" i="10"/>
  <c r="A6" i="10"/>
  <c r="A5" i="10"/>
  <c r="A4" i="10"/>
  <c r="A3" i="10"/>
  <c r="A2" i="10"/>
  <c r="S12" i="1" l="1"/>
  <c r="O13" i="1"/>
  <c r="N12" i="1"/>
  <c r="R11" i="1"/>
  <c r="F2" i="9"/>
  <c r="G2" i="9"/>
  <c r="C2" i="9"/>
  <c r="D2" i="9"/>
  <c r="B2" i="9"/>
  <c r="N13" i="1" l="1"/>
  <c r="R12" i="1"/>
  <c r="S13" i="1"/>
  <c r="O14" i="1"/>
  <c r="H2" i="9"/>
  <c r="R13" i="1" l="1"/>
  <c r="N14" i="1"/>
  <c r="S14" i="1"/>
  <c r="O15" i="1"/>
  <c r="E3" i="9"/>
  <c r="F3" i="9"/>
  <c r="B3" i="9"/>
  <c r="D3" i="9"/>
  <c r="C3" i="9"/>
  <c r="G3" i="9"/>
  <c r="O16" i="1" l="1"/>
  <c r="S15" i="1"/>
  <c r="N15" i="1"/>
  <c r="R14" i="1"/>
  <c r="N16" i="1" l="1"/>
  <c r="R15" i="1"/>
  <c r="O17" i="1"/>
  <c r="S16" i="1"/>
  <c r="N17" i="1" l="1"/>
  <c r="R16" i="1"/>
  <c r="S17" i="1"/>
  <c r="O18" i="1"/>
  <c r="S18" i="1" l="1"/>
  <c r="O19" i="1"/>
  <c r="N18" i="1"/>
  <c r="R17" i="1"/>
  <c r="O20" i="1" l="1"/>
  <c r="S19" i="1"/>
  <c r="N19" i="1"/>
  <c r="R18" i="1"/>
  <c r="N20" i="1" l="1"/>
  <c r="R19" i="1"/>
  <c r="O21" i="1"/>
  <c r="S20" i="1"/>
  <c r="N21" i="1" l="1"/>
  <c r="R20" i="1"/>
  <c r="S21" i="1"/>
  <c r="O22" i="1"/>
  <c r="S22" i="1" l="1"/>
  <c r="O23" i="1"/>
  <c r="N22" i="1"/>
  <c r="R21" i="1"/>
  <c r="O24" i="1" l="1"/>
  <c r="S23" i="1"/>
  <c r="N23" i="1"/>
  <c r="R22" i="1"/>
  <c r="S24" i="1" l="1"/>
  <c r="O25" i="1"/>
  <c r="R23" i="1"/>
  <c r="N24" i="1"/>
  <c r="R24" i="1" l="1"/>
  <c r="N25" i="1"/>
  <c r="S25" i="1"/>
  <c r="O26" i="1"/>
  <c r="S26" i="1" l="1"/>
  <c r="O27" i="1"/>
  <c r="N26" i="1"/>
  <c r="R25" i="1"/>
  <c r="O28" i="1" l="1"/>
  <c r="S27" i="1"/>
  <c r="N27" i="1"/>
  <c r="R26" i="1"/>
  <c r="N28" i="1" l="1"/>
  <c r="R27" i="1"/>
  <c r="O29" i="1"/>
  <c r="S28" i="1"/>
  <c r="O30" i="1" l="1"/>
  <c r="S29" i="1"/>
  <c r="N29" i="1"/>
  <c r="R28" i="1"/>
  <c r="R29" i="1" l="1"/>
  <c r="N30" i="1"/>
  <c r="S30" i="1"/>
  <c r="O31" i="1"/>
  <c r="O32" i="1" l="1"/>
  <c r="S31" i="1"/>
  <c r="N31" i="1"/>
  <c r="R30" i="1"/>
  <c r="N32" i="1" l="1"/>
  <c r="R31" i="1"/>
  <c r="O33" i="1"/>
  <c r="S32" i="1"/>
  <c r="O34" i="1" l="1"/>
  <c r="S33" i="1"/>
  <c r="N33" i="1"/>
  <c r="R32" i="1"/>
  <c r="N34" i="1" l="1"/>
  <c r="R33" i="1"/>
  <c r="S34" i="1"/>
  <c r="O35" i="1"/>
  <c r="N35" i="1" l="1"/>
  <c r="R34" i="1"/>
  <c r="O36" i="1"/>
  <c r="S35" i="1"/>
  <c r="S36" i="1" l="1"/>
  <c r="O37" i="1"/>
  <c r="N36" i="1"/>
  <c r="R35" i="1"/>
  <c r="R36" i="1" l="1"/>
  <c r="N37" i="1"/>
  <c r="O38" i="1"/>
  <c r="S37" i="1"/>
  <c r="S38" i="1" l="1"/>
  <c r="O39" i="1"/>
  <c r="R37" i="1"/>
  <c r="N38" i="1"/>
  <c r="R38" i="1" l="1"/>
  <c r="N39" i="1"/>
  <c r="S39" i="1"/>
  <c r="O40" i="1"/>
  <c r="O41" i="1" l="1"/>
  <c r="S40" i="1"/>
  <c r="N40" i="1"/>
  <c r="R39" i="1"/>
  <c r="N41" i="1" l="1"/>
  <c r="R40" i="1"/>
  <c r="S41" i="1"/>
  <c r="O42" i="1"/>
  <c r="O43" i="1" l="1"/>
  <c r="S42" i="1"/>
  <c r="N42" i="1"/>
  <c r="R41" i="1"/>
  <c r="N43" i="1" l="1"/>
  <c r="R42" i="1"/>
  <c r="S43" i="1"/>
  <c r="O44" i="1"/>
  <c r="S44" i="1" l="1"/>
  <c r="O45" i="1"/>
  <c r="R43" i="1"/>
  <c r="N44" i="1"/>
  <c r="R44" i="1" l="1"/>
  <c r="N45" i="1"/>
  <c r="O46" i="1"/>
  <c r="S45" i="1"/>
  <c r="O47" i="1" l="1"/>
  <c r="S46" i="1"/>
  <c r="N46" i="1"/>
  <c r="R45" i="1"/>
  <c r="R46" i="1" l="1"/>
  <c r="N47" i="1"/>
  <c r="S47" i="1"/>
  <c r="O48" i="1"/>
  <c r="S48" i="1" l="1"/>
  <c r="O49" i="1"/>
  <c r="N48" i="1"/>
  <c r="R47" i="1"/>
  <c r="S49" i="1" l="1"/>
  <c r="O50" i="1"/>
  <c r="N49" i="1"/>
  <c r="R48" i="1"/>
  <c r="R49" i="1" l="1"/>
  <c r="N50" i="1"/>
  <c r="S50" i="1"/>
  <c r="O51" i="1"/>
  <c r="O52" i="1" l="1"/>
  <c r="S51" i="1"/>
  <c r="R50" i="1"/>
  <c r="N51" i="1"/>
  <c r="N52" i="1" l="1"/>
  <c r="R51" i="1"/>
  <c r="S52" i="1"/>
  <c r="O53" i="1"/>
  <c r="S53" i="1" l="1"/>
  <c r="O54" i="1"/>
  <c r="R52" i="1"/>
  <c r="N53" i="1"/>
  <c r="R53" i="1" l="1"/>
  <c r="N54" i="1"/>
  <c r="O55" i="1"/>
  <c r="S54" i="1"/>
  <c r="R54" i="1" l="1"/>
  <c r="N55" i="1"/>
  <c r="O56" i="1"/>
  <c r="S55" i="1"/>
  <c r="N56" i="1" l="1"/>
  <c r="R55" i="1"/>
  <c r="O57" i="1"/>
  <c r="S56" i="1"/>
  <c r="S57" i="1" l="1"/>
  <c r="O58" i="1"/>
  <c r="N57" i="1"/>
  <c r="R56" i="1"/>
  <c r="O59" i="1" l="1"/>
  <c r="S58" i="1"/>
  <c r="N58" i="1"/>
  <c r="R57" i="1"/>
  <c r="R58" i="1" l="1"/>
  <c r="N59" i="1"/>
  <c r="S59" i="1"/>
  <c r="O60" i="1"/>
  <c r="S60" i="1" l="1"/>
  <c r="O61" i="1"/>
  <c r="N60" i="1"/>
  <c r="R59" i="1"/>
  <c r="R60" i="1" l="1"/>
  <c r="N61" i="1"/>
  <c r="S61" i="1"/>
  <c r="O62" i="1"/>
  <c r="O63" i="1" l="1"/>
  <c r="S62" i="1"/>
  <c r="R61" i="1"/>
  <c r="N62" i="1"/>
  <c r="R62" i="1" l="1"/>
  <c r="N63" i="1"/>
  <c r="S63" i="1"/>
  <c r="O64" i="1"/>
  <c r="S64" i="1" l="1"/>
  <c r="O65" i="1"/>
  <c r="N64" i="1"/>
  <c r="R63" i="1"/>
  <c r="S65" i="1" l="1"/>
  <c r="O66" i="1"/>
  <c r="R64" i="1"/>
  <c r="N65" i="1"/>
  <c r="R65" i="1" l="1"/>
  <c r="N66" i="1"/>
  <c r="O67" i="1"/>
  <c r="S66" i="1"/>
  <c r="S67" i="1" l="1"/>
  <c r="O68" i="1"/>
  <c r="R66" i="1"/>
  <c r="N67" i="1"/>
  <c r="N68" i="1" l="1"/>
  <c r="R67" i="1"/>
  <c r="S68" i="1"/>
  <c r="O69" i="1"/>
  <c r="O70" i="1" l="1"/>
  <c r="S69" i="1"/>
  <c r="N69" i="1"/>
  <c r="R68" i="1"/>
  <c r="N70" i="1" l="1"/>
  <c r="R69" i="1"/>
  <c r="O71" i="1"/>
  <c r="S70" i="1"/>
  <c r="O72" i="1" l="1"/>
  <c r="S71" i="1"/>
  <c r="N71" i="1"/>
  <c r="R70" i="1"/>
  <c r="O73" i="1" l="1"/>
  <c r="S72" i="1"/>
  <c r="N72" i="1"/>
  <c r="R71" i="1"/>
  <c r="R72" i="1" l="1"/>
  <c r="N73" i="1"/>
  <c r="S73" i="1"/>
  <c r="O74" i="1"/>
  <c r="R73" i="1" l="1"/>
  <c r="N74" i="1"/>
  <c r="S74" i="1"/>
  <c r="O75" i="1"/>
  <c r="S75" i="1" l="1"/>
  <c r="O76" i="1"/>
  <c r="R74" i="1"/>
  <c r="N75" i="1"/>
  <c r="R75" i="1" l="1"/>
  <c r="N76" i="1"/>
  <c r="S76" i="1"/>
  <c r="O77" i="1"/>
  <c r="O78" i="1" l="1"/>
  <c r="S77" i="1"/>
  <c r="N77" i="1"/>
  <c r="R76" i="1"/>
  <c r="N78" i="1" l="1"/>
  <c r="R77" i="1"/>
  <c r="O79" i="1"/>
  <c r="S78" i="1"/>
  <c r="N79" i="1" l="1"/>
  <c r="R78" i="1"/>
  <c r="O80" i="1"/>
  <c r="S79" i="1"/>
  <c r="N80" i="1" l="1"/>
  <c r="R79" i="1"/>
  <c r="O81" i="1"/>
  <c r="S80" i="1"/>
  <c r="R80" i="1" l="1"/>
  <c r="N81" i="1"/>
  <c r="S81" i="1"/>
  <c r="O82" i="1"/>
  <c r="S82" i="1" l="1"/>
  <c r="O83" i="1"/>
  <c r="R81" i="1"/>
  <c r="N82" i="1"/>
  <c r="R82" i="1" l="1"/>
  <c r="N83" i="1"/>
  <c r="S83" i="1"/>
  <c r="O84" i="1"/>
  <c r="S84" i="1" l="1"/>
  <c r="O85" i="1"/>
  <c r="R83" i="1"/>
  <c r="N84" i="1"/>
  <c r="N85" i="1" l="1"/>
  <c r="R84" i="1"/>
  <c r="O86" i="1"/>
  <c r="S85" i="1"/>
  <c r="O87" i="1" l="1"/>
  <c r="S86" i="1"/>
  <c r="N86" i="1"/>
  <c r="R85" i="1"/>
  <c r="O88" i="1" l="1"/>
  <c r="S87" i="1"/>
  <c r="N87" i="1"/>
  <c r="R86" i="1"/>
  <c r="O89" i="1" l="1"/>
  <c r="S88" i="1"/>
  <c r="N88" i="1"/>
  <c r="R87" i="1"/>
  <c r="S89" i="1" l="1"/>
  <c r="O90" i="1"/>
  <c r="R88" i="1"/>
  <c r="N89" i="1"/>
  <c r="S90" i="1" l="1"/>
  <c r="O91" i="1"/>
  <c r="R89" i="1"/>
  <c r="N90" i="1"/>
  <c r="R90" i="1" l="1"/>
  <c r="N91" i="1"/>
  <c r="S91" i="1"/>
  <c r="O92" i="1"/>
  <c r="S92" i="1" l="1"/>
  <c r="O93" i="1"/>
  <c r="R91" i="1"/>
  <c r="N92" i="1"/>
  <c r="O94" i="1" l="1"/>
  <c r="S93" i="1"/>
  <c r="N93" i="1"/>
  <c r="R92" i="1"/>
  <c r="N94" i="1" l="1"/>
  <c r="R93" i="1"/>
  <c r="O95" i="1"/>
  <c r="S94" i="1"/>
  <c r="O96" i="1" l="1"/>
  <c r="S95" i="1"/>
  <c r="N95" i="1"/>
  <c r="R94" i="1"/>
  <c r="N96" i="1" l="1"/>
  <c r="R95" i="1"/>
  <c r="O97" i="1"/>
  <c r="S96" i="1"/>
  <c r="S97" i="1" l="1"/>
  <c r="O98" i="1"/>
  <c r="R96" i="1"/>
  <c r="N97" i="1"/>
  <c r="S98" i="1" l="1"/>
  <c r="O99" i="1"/>
  <c r="R97" i="1"/>
  <c r="N98" i="1"/>
  <c r="R98" i="1" l="1"/>
  <c r="N99" i="1"/>
  <c r="S99" i="1"/>
  <c r="O100" i="1"/>
  <c r="S100" i="1" l="1"/>
  <c r="O101" i="1"/>
  <c r="R99" i="1"/>
  <c r="N100" i="1"/>
  <c r="N101" i="1" l="1"/>
  <c r="R100" i="1"/>
  <c r="O102" i="1"/>
  <c r="S101" i="1"/>
  <c r="O103" i="1" l="1"/>
  <c r="S102" i="1"/>
  <c r="N102" i="1"/>
  <c r="R101" i="1"/>
  <c r="N103" i="1" l="1"/>
  <c r="R102" i="1"/>
  <c r="O104" i="1"/>
  <c r="S103" i="1"/>
  <c r="S104" i="1" l="1"/>
  <c r="O105" i="1"/>
  <c r="R103" i="1"/>
  <c r="N104" i="1"/>
  <c r="R104" i="1" l="1"/>
  <c r="N105" i="1"/>
  <c r="S105" i="1"/>
  <c r="O106" i="1"/>
  <c r="N106" i="1" l="1"/>
  <c r="R105" i="1"/>
  <c r="O107" i="1"/>
  <c r="S106" i="1"/>
  <c r="O108" i="1" l="1"/>
  <c r="S107" i="1"/>
  <c r="N107" i="1"/>
  <c r="R106" i="1"/>
  <c r="N108" i="1" l="1"/>
  <c r="R107" i="1"/>
  <c r="O109" i="1"/>
  <c r="S108" i="1"/>
  <c r="S109" i="1" l="1"/>
  <c r="O110" i="1"/>
  <c r="R108" i="1"/>
  <c r="N109" i="1"/>
  <c r="R109" i="1" l="1"/>
  <c r="N110" i="1"/>
  <c r="O111" i="1"/>
  <c r="S110" i="1"/>
  <c r="S111" i="1" l="1"/>
  <c r="O112" i="1"/>
  <c r="R110" i="1"/>
  <c r="N111" i="1"/>
  <c r="R111" i="1" l="1"/>
  <c r="N112" i="1"/>
  <c r="S112" i="1"/>
  <c r="O113" i="1"/>
  <c r="O114" i="1" l="1"/>
  <c r="S113" i="1"/>
  <c r="N113" i="1"/>
  <c r="R112" i="1"/>
  <c r="N114" i="1" l="1"/>
  <c r="R113" i="1"/>
  <c r="O115" i="1"/>
  <c r="S114" i="1"/>
  <c r="O116" i="1" l="1"/>
  <c r="S115" i="1"/>
  <c r="N115" i="1"/>
  <c r="R114" i="1"/>
  <c r="N116" i="1" l="1"/>
  <c r="R115" i="1"/>
  <c r="O117" i="1"/>
  <c r="S116" i="1"/>
  <c r="S117" i="1" l="1"/>
  <c r="O118" i="1"/>
  <c r="E46" i="1"/>
  <c r="R116" i="1"/>
  <c r="N117" i="1"/>
  <c r="R117" i="1" l="1"/>
  <c r="N118" i="1"/>
  <c r="D46" i="1"/>
  <c r="S118" i="1"/>
  <c r="O119" i="1"/>
  <c r="S119" i="1" l="1"/>
  <c r="O120" i="1"/>
  <c r="R118" i="1"/>
  <c r="N119" i="1"/>
  <c r="R119" i="1" l="1"/>
  <c r="N120" i="1"/>
  <c r="S120" i="1"/>
  <c r="O121" i="1"/>
  <c r="O122" i="1" l="1"/>
  <c r="S121" i="1"/>
  <c r="N121" i="1"/>
  <c r="R120" i="1"/>
  <c r="N122" i="1" l="1"/>
  <c r="R121" i="1"/>
  <c r="O123" i="1"/>
  <c r="S122" i="1"/>
  <c r="O124" i="1" l="1"/>
  <c r="S123" i="1"/>
  <c r="N123" i="1"/>
  <c r="R122" i="1"/>
  <c r="N124" i="1" l="1"/>
  <c r="R123" i="1"/>
  <c r="O125" i="1"/>
  <c r="S124" i="1"/>
  <c r="S125" i="1" l="1"/>
  <c r="O126" i="1"/>
  <c r="R124" i="1"/>
  <c r="N125" i="1"/>
  <c r="S126" i="1" l="1"/>
  <c r="O127" i="1"/>
  <c r="R125" i="1"/>
  <c r="N126" i="1"/>
  <c r="R126" i="1" l="1"/>
  <c r="N127" i="1"/>
  <c r="S127" i="1"/>
  <c r="O128" i="1"/>
  <c r="R127" i="1" l="1"/>
  <c r="N128" i="1"/>
  <c r="S128" i="1"/>
  <c r="O129" i="1"/>
  <c r="O130" i="1" l="1"/>
  <c r="S129" i="1"/>
  <c r="N129" i="1"/>
  <c r="R128" i="1"/>
  <c r="N130" i="1" l="1"/>
  <c r="R129" i="1"/>
  <c r="O131" i="1"/>
  <c r="S130" i="1"/>
  <c r="O132" i="1" l="1"/>
  <c r="S131" i="1"/>
  <c r="N131" i="1"/>
  <c r="R130" i="1"/>
  <c r="N132" i="1" l="1"/>
  <c r="R131" i="1"/>
  <c r="O133" i="1"/>
  <c r="S132" i="1"/>
  <c r="S133" i="1" l="1"/>
  <c r="O134" i="1"/>
  <c r="R132" i="1"/>
  <c r="N133" i="1"/>
  <c r="S134" i="1" l="1"/>
  <c r="O135" i="1"/>
  <c r="R133" i="1"/>
  <c r="N134" i="1"/>
  <c r="R134" i="1" l="1"/>
  <c r="N135" i="1"/>
  <c r="S135" i="1"/>
  <c r="O136" i="1"/>
  <c r="S136" i="1" l="1"/>
  <c r="O137" i="1"/>
  <c r="R135" i="1"/>
  <c r="N136" i="1"/>
  <c r="N137" i="1" l="1"/>
  <c r="R136" i="1"/>
  <c r="O138" i="1"/>
  <c r="S137" i="1"/>
  <c r="O139" i="1" l="1"/>
  <c r="S138" i="1"/>
  <c r="N138" i="1"/>
  <c r="R137" i="1"/>
  <c r="N139" i="1" l="1"/>
  <c r="R138" i="1"/>
  <c r="O140" i="1"/>
  <c r="S139" i="1"/>
  <c r="O141" i="1" l="1"/>
  <c r="S140" i="1"/>
  <c r="N140" i="1"/>
  <c r="R139" i="1"/>
  <c r="R140" i="1" l="1"/>
  <c r="N141" i="1"/>
  <c r="S141" i="1"/>
  <c r="O142" i="1"/>
  <c r="S142" i="1" l="1"/>
  <c r="O143" i="1"/>
  <c r="R141" i="1"/>
  <c r="N142" i="1"/>
  <c r="S143" i="1" l="1"/>
  <c r="O144" i="1"/>
  <c r="R142" i="1"/>
  <c r="N143" i="1"/>
  <c r="R143" i="1" l="1"/>
  <c r="N144" i="1"/>
  <c r="S144" i="1"/>
  <c r="O145" i="1"/>
  <c r="O146" i="1" l="1"/>
  <c r="S145" i="1"/>
  <c r="N145" i="1"/>
  <c r="R144" i="1"/>
  <c r="N146" i="1" l="1"/>
  <c r="R145" i="1"/>
  <c r="O147" i="1"/>
  <c r="S146" i="1"/>
  <c r="O148" i="1" l="1"/>
  <c r="S147" i="1"/>
  <c r="N147" i="1"/>
  <c r="R146" i="1"/>
  <c r="N148" i="1" l="1"/>
  <c r="R147" i="1"/>
  <c r="O149" i="1"/>
  <c r="S148" i="1"/>
  <c r="S149" i="1" l="1"/>
  <c r="O150" i="1"/>
  <c r="R148" i="1"/>
  <c r="N149" i="1"/>
  <c r="R149" i="1" l="1"/>
  <c r="N150" i="1"/>
  <c r="S150" i="1"/>
  <c r="O151" i="1"/>
  <c r="S151" i="1" l="1"/>
  <c r="O152" i="1"/>
  <c r="R150" i="1"/>
  <c r="N151" i="1"/>
  <c r="S152" i="1" l="1"/>
  <c r="O153" i="1"/>
  <c r="R151" i="1"/>
  <c r="N152" i="1"/>
  <c r="N153" i="1" l="1"/>
  <c r="R152" i="1"/>
  <c r="O154" i="1"/>
  <c r="S153" i="1"/>
  <c r="O155" i="1" l="1"/>
  <c r="S154" i="1"/>
  <c r="N154" i="1"/>
  <c r="R153" i="1"/>
  <c r="N155" i="1" l="1"/>
  <c r="R154" i="1"/>
  <c r="O156" i="1"/>
  <c r="S155" i="1"/>
  <c r="O157" i="1" l="1"/>
  <c r="S156" i="1"/>
  <c r="N156" i="1"/>
  <c r="R155" i="1"/>
  <c r="R156" i="1" l="1"/>
  <c r="N157" i="1"/>
  <c r="S157" i="1"/>
  <c r="O158" i="1"/>
  <c r="R157" i="1" l="1"/>
  <c r="N158" i="1"/>
  <c r="S158" i="1"/>
  <c r="O159" i="1"/>
  <c r="S159" i="1" l="1"/>
  <c r="O160" i="1"/>
  <c r="R158" i="1"/>
  <c r="N159" i="1"/>
  <c r="R159" i="1" l="1"/>
  <c r="N160" i="1"/>
  <c r="S160" i="1"/>
  <c r="O161" i="1"/>
  <c r="N161" i="1" l="1"/>
  <c r="R160" i="1"/>
  <c r="O162" i="1"/>
  <c r="S161" i="1"/>
  <c r="O163" i="1" l="1"/>
  <c r="S162" i="1"/>
  <c r="N162" i="1"/>
  <c r="R161" i="1"/>
  <c r="N163" i="1" l="1"/>
  <c r="R162" i="1"/>
  <c r="O164" i="1"/>
  <c r="S163" i="1"/>
  <c r="O165" i="1" l="1"/>
  <c r="S164" i="1"/>
  <c r="N164" i="1"/>
  <c r="R163" i="1"/>
  <c r="R164" i="1" l="1"/>
  <c r="N165" i="1"/>
  <c r="S165" i="1"/>
  <c r="O166" i="1"/>
  <c r="S166" i="1" l="1"/>
  <c r="O167" i="1"/>
  <c r="R165" i="1"/>
  <c r="N166" i="1"/>
  <c r="R166" i="1" l="1"/>
  <c r="N167" i="1"/>
  <c r="S167" i="1"/>
  <c r="O168" i="1"/>
  <c r="S168" i="1" l="1"/>
  <c r="O169" i="1"/>
  <c r="R167" i="1"/>
  <c r="N168" i="1"/>
  <c r="O170" i="1" l="1"/>
  <c r="S169" i="1"/>
  <c r="N169" i="1"/>
  <c r="R168" i="1"/>
  <c r="N170" i="1" l="1"/>
  <c r="R169" i="1"/>
  <c r="O171" i="1"/>
  <c r="S170" i="1"/>
  <c r="O172" i="1" l="1"/>
  <c r="S171" i="1"/>
  <c r="N171" i="1"/>
  <c r="R170" i="1"/>
  <c r="N172" i="1" l="1"/>
  <c r="R171" i="1"/>
  <c r="O173" i="1"/>
  <c r="S172" i="1"/>
  <c r="S173" i="1" l="1"/>
  <c r="O174" i="1"/>
  <c r="R172" i="1"/>
  <c r="N173" i="1"/>
  <c r="R173" i="1" l="1"/>
  <c r="N174" i="1"/>
  <c r="S174" i="1"/>
  <c r="O175" i="1"/>
  <c r="S175" i="1" l="1"/>
  <c r="O176" i="1"/>
  <c r="R174" i="1"/>
  <c r="N175" i="1"/>
  <c r="R175" i="1" l="1"/>
  <c r="N176" i="1"/>
  <c r="S176" i="1"/>
  <c r="O177" i="1"/>
  <c r="O178" i="1" l="1"/>
  <c r="S177" i="1"/>
  <c r="E47" i="1"/>
  <c r="N177" i="1"/>
  <c r="R176" i="1"/>
  <c r="N178" i="1" l="1"/>
  <c r="R177" i="1"/>
  <c r="D47" i="1"/>
  <c r="O179" i="1"/>
  <c r="S178" i="1"/>
  <c r="O180" i="1" l="1"/>
  <c r="S179" i="1"/>
  <c r="N179" i="1"/>
  <c r="R178" i="1"/>
  <c r="N180" i="1" l="1"/>
  <c r="R179" i="1"/>
  <c r="O181" i="1"/>
  <c r="S180" i="1"/>
  <c r="S181" i="1" l="1"/>
  <c r="O182" i="1"/>
  <c r="R180" i="1"/>
  <c r="N181" i="1"/>
  <c r="S182" i="1" l="1"/>
  <c r="O183" i="1"/>
  <c r="R181" i="1"/>
  <c r="N182" i="1"/>
  <c r="R182" i="1" l="1"/>
  <c r="N183" i="1"/>
  <c r="S183" i="1"/>
  <c r="O184" i="1"/>
  <c r="R183" i="1" l="1"/>
  <c r="N184" i="1"/>
  <c r="S184" i="1"/>
  <c r="O185" i="1"/>
  <c r="O186" i="1" l="1"/>
  <c r="S185" i="1"/>
  <c r="N185" i="1"/>
  <c r="R184" i="1"/>
  <c r="N186" i="1" l="1"/>
  <c r="R185" i="1"/>
  <c r="O187" i="1"/>
  <c r="S186" i="1"/>
  <c r="O188" i="1" l="1"/>
  <c r="S187" i="1"/>
  <c r="N187" i="1"/>
  <c r="R186" i="1"/>
  <c r="N188" i="1" l="1"/>
  <c r="R187" i="1"/>
  <c r="O189" i="1"/>
  <c r="S188" i="1"/>
  <c r="S189" i="1" l="1"/>
  <c r="O190" i="1"/>
  <c r="R188" i="1"/>
  <c r="N189" i="1"/>
  <c r="R189" i="1" l="1"/>
  <c r="N190" i="1"/>
  <c r="S190" i="1"/>
  <c r="O191" i="1"/>
  <c r="S191" i="1" l="1"/>
  <c r="O192" i="1"/>
  <c r="R190" i="1"/>
  <c r="N191" i="1"/>
  <c r="R191" i="1" l="1"/>
  <c r="N192" i="1"/>
  <c r="S192" i="1"/>
  <c r="O193" i="1"/>
  <c r="O194" i="1" l="1"/>
  <c r="S193" i="1"/>
  <c r="N193" i="1"/>
  <c r="R192" i="1"/>
  <c r="N194" i="1" l="1"/>
  <c r="R193" i="1"/>
  <c r="O195" i="1"/>
  <c r="S194" i="1"/>
  <c r="O196" i="1" l="1"/>
  <c r="S195" i="1"/>
  <c r="N195" i="1"/>
  <c r="R194" i="1"/>
  <c r="N196" i="1" l="1"/>
  <c r="R195" i="1"/>
  <c r="O197" i="1"/>
  <c r="S196" i="1"/>
  <c r="S197" i="1" l="1"/>
  <c r="O198" i="1"/>
  <c r="R196" i="1"/>
  <c r="N197" i="1"/>
  <c r="R197" i="1" l="1"/>
  <c r="N198" i="1"/>
  <c r="S198" i="1"/>
  <c r="O199" i="1"/>
  <c r="S199" i="1" l="1"/>
  <c r="O200" i="1"/>
  <c r="R198" i="1"/>
  <c r="N199" i="1"/>
  <c r="R199" i="1" l="1"/>
  <c r="N200" i="1"/>
  <c r="S200" i="1"/>
  <c r="O201" i="1"/>
  <c r="O202" i="1" l="1"/>
  <c r="S201" i="1"/>
  <c r="E48" i="1"/>
  <c r="N201" i="1"/>
  <c r="R200" i="1"/>
  <c r="N202" i="1" l="1"/>
  <c r="R201" i="1"/>
  <c r="D48" i="1"/>
  <c r="O203" i="1"/>
  <c r="S202" i="1"/>
  <c r="O204" i="1" l="1"/>
  <c r="S203" i="1"/>
  <c r="N203" i="1"/>
  <c r="R202" i="1"/>
  <c r="N204" i="1" l="1"/>
  <c r="R203" i="1"/>
  <c r="O205" i="1"/>
  <c r="S204" i="1"/>
  <c r="S205" i="1" l="1"/>
  <c r="O206" i="1"/>
  <c r="R204" i="1"/>
  <c r="N205" i="1"/>
  <c r="R205" i="1" l="1"/>
  <c r="N206" i="1"/>
  <c r="S206" i="1"/>
  <c r="O207" i="1"/>
  <c r="S207" i="1" l="1"/>
  <c r="O208" i="1"/>
  <c r="R206" i="1"/>
  <c r="N207" i="1"/>
  <c r="R207" i="1" l="1"/>
  <c r="N208" i="1"/>
  <c r="S208" i="1"/>
  <c r="O209" i="1"/>
  <c r="E55" i="1"/>
  <c r="O210" i="1" l="1"/>
  <c r="S209" i="1"/>
  <c r="N209" i="1"/>
  <c r="R208" i="1"/>
  <c r="D55" i="1"/>
  <c r="N210" i="1" l="1"/>
  <c r="R209" i="1"/>
  <c r="O211" i="1"/>
  <c r="S210" i="1"/>
  <c r="O212" i="1" l="1"/>
  <c r="S211" i="1"/>
  <c r="N211" i="1"/>
  <c r="R210" i="1"/>
  <c r="O213" i="1" l="1"/>
  <c r="S212" i="1"/>
  <c r="N212" i="1"/>
  <c r="R211" i="1"/>
  <c r="R212" i="1" l="1"/>
  <c r="N213" i="1"/>
  <c r="S213" i="1"/>
  <c r="O214" i="1"/>
  <c r="E49" i="1"/>
  <c r="S214" i="1" l="1"/>
  <c r="O215" i="1"/>
  <c r="R213" i="1"/>
  <c r="N214" i="1"/>
  <c r="D49" i="1"/>
  <c r="R214" i="1" l="1"/>
  <c r="N215" i="1"/>
  <c r="S215" i="1"/>
  <c r="O216" i="1"/>
  <c r="S216" i="1" l="1"/>
  <c r="O217" i="1"/>
  <c r="R215" i="1"/>
  <c r="N216" i="1"/>
  <c r="O218" i="1" l="1"/>
  <c r="S217" i="1"/>
  <c r="N217" i="1"/>
  <c r="R216" i="1"/>
  <c r="N218" i="1" l="1"/>
  <c r="R217" i="1"/>
  <c r="O219" i="1"/>
  <c r="S218" i="1"/>
  <c r="O220" i="1" l="1"/>
  <c r="S219" i="1"/>
  <c r="N219" i="1"/>
  <c r="R218" i="1"/>
  <c r="N220" i="1" l="1"/>
  <c r="R219" i="1"/>
  <c r="O221" i="1"/>
  <c r="S220" i="1"/>
  <c r="S221" i="1" l="1"/>
  <c r="O222" i="1"/>
  <c r="R220" i="1"/>
  <c r="N221" i="1"/>
  <c r="R221" i="1" l="1"/>
  <c r="N222" i="1"/>
  <c r="S222" i="1"/>
  <c r="O223" i="1"/>
  <c r="S223" i="1" l="1"/>
  <c r="O224" i="1"/>
  <c r="R222" i="1"/>
  <c r="N223" i="1"/>
  <c r="R223" i="1" l="1"/>
  <c r="N224" i="1"/>
  <c r="S224" i="1"/>
  <c r="O225" i="1"/>
  <c r="O226" i="1" l="1"/>
  <c r="S225" i="1"/>
  <c r="E50" i="1"/>
  <c r="N225" i="1"/>
  <c r="R224" i="1"/>
  <c r="N226" i="1" l="1"/>
  <c r="R225" i="1"/>
  <c r="D50" i="1"/>
  <c r="O227" i="1"/>
  <c r="S226" i="1"/>
  <c r="O228" i="1" l="1"/>
  <c r="S227" i="1"/>
  <c r="N227" i="1"/>
  <c r="R226" i="1"/>
  <c r="O229" i="1" l="1"/>
  <c r="S228" i="1"/>
  <c r="N228" i="1"/>
  <c r="R227" i="1"/>
  <c r="R228" i="1" l="1"/>
  <c r="N229" i="1"/>
  <c r="S229" i="1"/>
  <c r="O230" i="1"/>
  <c r="S230" i="1" l="1"/>
  <c r="O231" i="1"/>
  <c r="R229" i="1"/>
  <c r="N230" i="1"/>
  <c r="R230" i="1" l="1"/>
  <c r="N231" i="1"/>
  <c r="S231" i="1"/>
  <c r="O232" i="1"/>
  <c r="E51" i="1"/>
  <c r="R231" i="1" l="1"/>
  <c r="N232" i="1"/>
  <c r="D51" i="1"/>
  <c r="S232" i="1"/>
  <c r="O233" i="1"/>
  <c r="O234" i="1" l="1"/>
  <c r="S233" i="1"/>
  <c r="N233" i="1"/>
  <c r="R232" i="1"/>
  <c r="N234" i="1" l="1"/>
  <c r="R233" i="1"/>
  <c r="O235" i="1"/>
  <c r="S234" i="1"/>
  <c r="E54" i="1"/>
  <c r="E52" i="1"/>
  <c r="O236" i="1" l="1"/>
  <c r="S235" i="1"/>
  <c r="N235" i="1"/>
  <c r="R234" i="1"/>
  <c r="D54" i="1"/>
  <c r="D52" i="1"/>
  <c r="N236" i="1" l="1"/>
  <c r="R235" i="1"/>
  <c r="O237" i="1"/>
  <c r="S236" i="1"/>
  <c r="E53" i="1"/>
  <c r="S237" i="1" l="1"/>
  <c r="E56" i="1"/>
  <c r="R236" i="1"/>
  <c r="N237" i="1"/>
  <c r="D53" i="1"/>
  <c r="E65" i="1" l="1"/>
  <c r="E61" i="1"/>
  <c r="E16" i="1" s="1"/>
  <c r="E68" i="1"/>
  <c r="E64" i="1"/>
  <c r="E60" i="1"/>
  <c r="E15" i="1" s="1"/>
  <c r="E67" i="1"/>
  <c r="E63" i="1"/>
  <c r="E59" i="1"/>
  <c r="E66" i="1"/>
  <c r="E62" i="1"/>
  <c r="E17" i="1" s="1"/>
  <c r="E11" i="1"/>
  <c r="E12" i="1" s="1"/>
  <c r="E22" i="1" s="1"/>
  <c r="E20" i="1"/>
  <c r="E18" i="1"/>
  <c r="E13" i="1"/>
  <c r="E19" i="1"/>
  <c r="E21" i="1"/>
  <c r="R237" i="1"/>
  <c r="D56" i="1"/>
  <c r="D65" i="1" l="1"/>
  <c r="D61" i="1"/>
  <c r="D16" i="1" s="1"/>
  <c r="D68" i="1"/>
  <c r="D64" i="1"/>
  <c r="D60" i="1"/>
  <c r="D15" i="1" s="1"/>
  <c r="D67" i="1"/>
  <c r="D63" i="1"/>
  <c r="D59" i="1"/>
  <c r="D66" i="1"/>
  <c r="D62" i="1"/>
  <c r="D17" i="1" s="1"/>
  <c r="D13" i="1"/>
  <c r="D18" i="1"/>
  <c r="D19" i="1"/>
  <c r="D11" i="1"/>
  <c r="D12" i="1" s="1"/>
  <c r="D22" i="1" s="1"/>
  <c r="D20" i="1"/>
  <c r="D21" i="1"/>
  <c r="E23" i="1"/>
  <c r="D23" i="1" l="1"/>
  <c r="C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9" authorId="0" shapeId="0" xr:uid="{C3F55F5D-D3BF-4A9B-B26B-0A806A2B0D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One cash positions</t>
        </r>
      </text>
    </comment>
  </commentList>
</comments>
</file>

<file path=xl/sharedStrings.xml><?xml version="1.0" encoding="utf-8"?>
<sst xmlns="http://schemas.openxmlformats.org/spreadsheetml/2006/main" count="478" uniqueCount="317">
  <si>
    <t>Current</t>
  </si>
  <si>
    <t>1MOS</t>
  </si>
  <si>
    <t>3MOS</t>
  </si>
  <si>
    <t>6MOS</t>
  </si>
  <si>
    <t>1YR</t>
  </si>
  <si>
    <t>2YRS</t>
  </si>
  <si>
    <t>3YRS</t>
  </si>
  <si>
    <t>5YRS</t>
  </si>
  <si>
    <t>Inception</t>
  </si>
  <si>
    <t>BENCH</t>
  </si>
  <si>
    <t>% Positive Months</t>
  </si>
  <si>
    <t>Correlation vs. Benchmark</t>
  </si>
  <si>
    <t>Alpha vs. Benchmark</t>
  </si>
  <si>
    <t>Beta vs. Benchmark</t>
  </si>
  <si>
    <t>Semi-Variance</t>
  </si>
  <si>
    <t>Sharpe Ratio</t>
  </si>
  <si>
    <r>
      <t>Sortino Ratio</t>
    </r>
    <r>
      <rPr>
        <b/>
        <sz val="9"/>
        <color theme="1"/>
        <rFont val="Calibri"/>
        <family val="2"/>
      </rPr>
      <t>¹</t>
    </r>
  </si>
  <si>
    <t>Active Return vs. Benchmark</t>
  </si>
  <si>
    <t>Maximum Drawdown</t>
  </si>
  <si>
    <t>Monthly Geo. Average</t>
  </si>
  <si>
    <t>Monthly Arith. Average</t>
  </si>
  <si>
    <t>Avg. Excess Return</t>
  </si>
  <si>
    <t>Excess Return</t>
  </si>
  <si>
    <t>Downside Risk</t>
  </si>
  <si>
    <t>Cumulative Return*</t>
  </si>
  <si>
    <t>Annualized Return*</t>
  </si>
  <si>
    <t>Inception*</t>
  </si>
  <si>
    <t>Total Months</t>
  </si>
  <si>
    <t>Risk Free Rate</t>
  </si>
  <si>
    <t>MAR</t>
  </si>
  <si>
    <t>PERFORMANCE DATE</t>
  </si>
  <si>
    <t>INCEPTION DATE</t>
  </si>
  <si>
    <t>BENCHMARK</t>
  </si>
  <si>
    <t>CUMULATIVE %</t>
  </si>
  <si>
    <t>CUMULATIVE $</t>
  </si>
  <si>
    <t>MONTHLY RETURNS</t>
  </si>
  <si>
    <t>10 YRS</t>
  </si>
  <si>
    <t>Std. Dev (S.I.)</t>
  </si>
  <si>
    <t>S&amp;P 500 Value Index</t>
  </si>
  <si>
    <t>10yr</t>
  </si>
  <si>
    <t>5yr</t>
  </si>
  <si>
    <t>3yr</t>
  </si>
  <si>
    <t>2yr</t>
  </si>
  <si>
    <t>1yr</t>
  </si>
  <si>
    <t>YTD</t>
  </si>
  <si>
    <t>SP500</t>
  </si>
  <si>
    <t xml:space="preserve">TOP 10 HOLDINGS </t>
  </si>
  <si>
    <t>Portfolio</t>
  </si>
  <si>
    <t>PORTFOLIO STATISTICS</t>
  </si>
  <si>
    <t xml:space="preserve">PERFORMANCE SUMMARY </t>
  </si>
  <si>
    <t>Institutional Class</t>
  </si>
  <si>
    <t>Number of Holdings</t>
  </si>
  <si>
    <t>Top 10 Holdings (%)</t>
  </si>
  <si>
    <t>P/E Ratio (Trailing)</t>
  </si>
  <si>
    <t>S&amp;P 500 Index</t>
  </si>
  <si>
    <t>SECTOR ALLOCATION</t>
  </si>
  <si>
    <t>Beta vs. S&amp;P 500</t>
  </si>
  <si>
    <t>Alpha vs. S&amp;P 500</t>
  </si>
  <si>
    <t>Correlation vs. S&amp;P 500</t>
  </si>
  <si>
    <t>R-Squared vs Benchmark</t>
  </si>
  <si>
    <t>GROWTH OF $10,000 - CHART</t>
  </si>
  <si>
    <t>PAGE 1</t>
  </si>
  <si>
    <t>Mean Total Mkt Cap ($mil)</t>
  </si>
  <si>
    <t>PAGE 2</t>
  </si>
  <si>
    <t>AS OF DATE</t>
  </si>
  <si>
    <t>Name</t>
  </si>
  <si>
    <t>%</t>
  </si>
  <si>
    <t>Top 10 Holdings</t>
  </si>
  <si>
    <r>
      <t xml:space="preserve">SECTOR ALLOCATION </t>
    </r>
    <r>
      <rPr>
        <b/>
        <sz val="10"/>
        <color rgb="FFFF0000"/>
        <rFont val="Calibri"/>
        <family val="2"/>
        <scheme val="minor"/>
      </rPr>
      <t>(Sort small to large for chart)</t>
    </r>
  </si>
  <si>
    <t>Metric</t>
  </si>
  <si>
    <t>YES</t>
  </si>
  <si>
    <t>FACT SHEET?</t>
  </si>
  <si>
    <t>OTHER BENCHMARK (FACT SHEET)</t>
  </si>
  <si>
    <t>2016YTD</t>
  </si>
  <si>
    <t>S&amp;P 500 TR Index</t>
  </si>
  <si>
    <t>Financials</t>
  </si>
  <si>
    <t>Consumer Staples</t>
  </si>
  <si>
    <t>Consumer Discretionary</t>
  </si>
  <si>
    <t>Industrials</t>
  </si>
  <si>
    <t>Utilities</t>
  </si>
  <si>
    <t>Information Technology</t>
  </si>
  <si>
    <t>Health Care</t>
  </si>
  <si>
    <t>Cash</t>
  </si>
  <si>
    <t>Materials</t>
  </si>
  <si>
    <t>Energy</t>
  </si>
  <si>
    <t>Real Estate</t>
  </si>
  <si>
    <t>ETF/ETN</t>
  </si>
  <si>
    <t>Communication Services</t>
  </si>
  <si>
    <t>Median</t>
  </si>
  <si>
    <t>Portfolio Valuation</t>
  </si>
  <si>
    <t>RATIONAL TREND AGGREGATION VA FUND (3287)</t>
  </si>
  <si>
    <t>Quoted in U.S. Dollar</t>
  </si>
  <si>
    <t>Security Id</t>
  </si>
  <si>
    <t>Ticker</t>
  </si>
  <si>
    <t>Quantity</t>
  </si>
  <si>
    <t>Price</t>
  </si>
  <si>
    <t>Book Value</t>
  </si>
  <si>
    <t>Market Value</t>
  </si>
  <si>
    <t>GICS Sector</t>
  </si>
  <si>
    <t>Market Cap ($MM)</t>
  </si>
  <si>
    <t>Trailing P/E</t>
  </si>
  <si>
    <t>Top 10 Rank</t>
  </si>
  <si>
    <t>Summary</t>
  </si>
  <si>
    <t>RATIONAL TREND AGGREGATION VA FUND</t>
  </si>
  <si>
    <t>Mean</t>
  </si>
  <si>
    <t>Wtd Avg</t>
  </si>
  <si>
    <t>Trailing P/E Ratio</t>
  </si>
  <si>
    <t>Sector Allocation</t>
  </si>
  <si>
    <t>REIT</t>
  </si>
  <si>
    <t>TOTAL - REIT</t>
  </si>
  <si>
    <t>TOTAL - RATIONAL TREND AGGREGATION VA FUND</t>
  </si>
  <si>
    <t>VHAD</t>
  </si>
  <si>
    <t>SP600</t>
  </si>
  <si>
    <t>Strategy Change</t>
  </si>
  <si>
    <t>Strategy Change Cumulative $</t>
  </si>
  <si>
    <t>Yes</t>
  </si>
  <si>
    <t>Strategy Chage</t>
  </si>
  <si>
    <t>QTD</t>
  </si>
  <si>
    <t>S&amp;P 500</t>
  </si>
  <si>
    <t>Total Months Since Strategy Change</t>
  </si>
  <si>
    <t>SP500V</t>
  </si>
  <si>
    <t>RTAVF</t>
  </si>
  <si>
    <t>Date</t>
  </si>
  <si>
    <t>Label</t>
  </si>
  <si>
    <t>1 Year</t>
  </si>
  <si>
    <t>5 Years</t>
  </si>
  <si>
    <t>10 Years</t>
  </si>
  <si>
    <t>Since Inception</t>
  </si>
  <si>
    <t>Class I</t>
  </si>
  <si>
    <t>ID</t>
  </si>
  <si>
    <t>Value</t>
  </si>
  <si>
    <t>Futures</t>
  </si>
  <si>
    <t>COMMON STOCKS</t>
  </si>
  <si>
    <t>TOTAL - COMMON STOCKS</t>
  </si>
  <si>
    <t>EXCHANGE-TRADED FUNDS</t>
  </si>
  <si>
    <t>TOTAL - EXCHANGE-TRADED FUNDS</t>
  </si>
  <si>
    <t>MONEY MARKET FUNDS</t>
  </si>
  <si>
    <t>31846V211</t>
  </si>
  <si>
    <t>FGUXX</t>
  </si>
  <si>
    <t>TOTAL - MONEY MARKET FUNDS</t>
  </si>
  <si>
    <t>Mean Total Market Cap ($ Millions)</t>
  </si>
  <si>
    <t>P/E Ratio</t>
  </si>
  <si>
    <t>First American Government Obligations Fund Class U</t>
  </si>
  <si>
    <t>SPDR S&amp;P 500 ETF Trust</t>
  </si>
  <si>
    <t>SP500V (TR)</t>
  </si>
  <si>
    <t>983919101</t>
  </si>
  <si>
    <t>XLNX</t>
  </si>
  <si>
    <t>29530P102</t>
  </si>
  <si>
    <t>ERIE</t>
  </si>
  <si>
    <t>Erie Indemnity Company</t>
  </si>
  <si>
    <t>67066G104</t>
  </si>
  <si>
    <t>NVDA</t>
  </si>
  <si>
    <t>02376R102</t>
  </si>
  <si>
    <t>AAL</t>
  </si>
  <si>
    <t>#N/A N/A</t>
  </si>
  <si>
    <t>61945C103</t>
  </si>
  <si>
    <t>MOS</t>
  </si>
  <si>
    <t>Mosaic Company (The)</t>
  </si>
  <si>
    <t>571903202</t>
  </si>
  <si>
    <t>Marriott International Inc.</t>
  </si>
  <si>
    <t>053611109</t>
  </si>
  <si>
    <t>AVY</t>
  </si>
  <si>
    <t>Avery Dennison Corporation</t>
  </si>
  <si>
    <t>770323103</t>
  </si>
  <si>
    <t>RHI</t>
  </si>
  <si>
    <t>Robert Half International Inc.</t>
  </si>
  <si>
    <t>892672106</t>
  </si>
  <si>
    <t>TW</t>
  </si>
  <si>
    <t>Tradeweb Markets Inc.</t>
  </si>
  <si>
    <t>73278L105</t>
  </si>
  <si>
    <t>POOL</t>
  </si>
  <si>
    <t>Pool Corporation</t>
  </si>
  <si>
    <t>57060D108</t>
  </si>
  <si>
    <t>MKTX</t>
  </si>
  <si>
    <t>MarketAxess Holdings Inc.</t>
  </si>
  <si>
    <t>DEPOSITARY RECEIPTS</t>
  </si>
  <si>
    <t>#N/A Field Not Applicable</t>
  </si>
  <si>
    <t>TOTAL - DEPOSITARY RECEIPTS</t>
  </si>
  <si>
    <t>78462F103</t>
  </si>
  <si>
    <t>SPY</t>
  </si>
  <si>
    <t>74347W171</t>
  </si>
  <si>
    <t>VIXY</t>
  </si>
  <si>
    <t>iShares Core S&amp;P 500 ETF</t>
  </si>
  <si>
    <t>ProShares VIX Short-Term Futur</t>
  </si>
  <si>
    <t>Cash and Equivalents</t>
  </si>
  <si>
    <t>Walgreens Boots Alliance Inc</t>
  </si>
  <si>
    <t>VEON Ltd</t>
  </si>
  <si>
    <t>H&amp;R Block Inc</t>
  </si>
  <si>
    <t>American Airlines Group Inc</t>
  </si>
  <si>
    <t>NVIDIA Corp</t>
  </si>
  <si>
    <t>CenterPoint Energy Inc</t>
  </si>
  <si>
    <t>As of Date: 3/31/2021</t>
  </si>
  <si>
    <t>Security Description</t>
  </si>
  <si>
    <t>931427108</t>
  </si>
  <si>
    <t>WBA</t>
  </si>
  <si>
    <t>093671105</t>
  </si>
  <si>
    <t>HRB</t>
  </si>
  <si>
    <t>15189T107</t>
  </si>
  <si>
    <t>CNP</t>
  </si>
  <si>
    <t>00287Y109</t>
  </si>
  <si>
    <t>ABBV</t>
  </si>
  <si>
    <t>AbbVie Inc.</t>
  </si>
  <si>
    <t>461202103</t>
  </si>
  <si>
    <t>INTU</t>
  </si>
  <si>
    <t>Intuit Inc.</t>
  </si>
  <si>
    <t>761152107</t>
  </si>
  <si>
    <t>RMD</t>
  </si>
  <si>
    <t>ResMed Inc.</t>
  </si>
  <si>
    <t>550241103</t>
  </si>
  <si>
    <t>LUMN</t>
  </si>
  <si>
    <t>Lumen Technologies Inc.</t>
  </si>
  <si>
    <t>Xilinx Inc.</t>
  </si>
  <si>
    <t>244199105</t>
  </si>
  <si>
    <t>DE</t>
  </si>
  <si>
    <t>Deere &amp; Company</t>
  </si>
  <si>
    <t>25659T107</t>
  </si>
  <si>
    <t>DLB</t>
  </si>
  <si>
    <t>Dolby Laboratories Inc.</t>
  </si>
  <si>
    <t>01973R101</t>
  </si>
  <si>
    <t>ALSN</t>
  </si>
  <si>
    <t>Allison Transmission Holdings Inc.</t>
  </si>
  <si>
    <t>466032109</t>
  </si>
  <si>
    <t>JJSF</t>
  </si>
  <si>
    <t>J &amp; J Snack Foods Corporation</t>
  </si>
  <si>
    <t>G54050102</t>
  </si>
  <si>
    <t>LAZ</t>
  </si>
  <si>
    <t>Lazard Ltd.</t>
  </si>
  <si>
    <t>617700109</t>
  </si>
  <si>
    <t>MORN</t>
  </si>
  <si>
    <t>Morningstar Inc.</t>
  </si>
  <si>
    <t>693718108</t>
  </si>
  <si>
    <t>PCAR</t>
  </si>
  <si>
    <t>PACCAR Inc.</t>
  </si>
  <si>
    <t>553530106</t>
  </si>
  <si>
    <t>MSM</t>
  </si>
  <si>
    <t>MSC Industrial Direct Company Inc.</t>
  </si>
  <si>
    <t>913903100</t>
  </si>
  <si>
    <t>UHS</t>
  </si>
  <si>
    <t>Universal Health Services Inc.</t>
  </si>
  <si>
    <t>458140100</t>
  </si>
  <si>
    <t>INTC</t>
  </si>
  <si>
    <t>Intel Corporation</t>
  </si>
  <si>
    <t>00507V109</t>
  </si>
  <si>
    <t>ATVI</t>
  </si>
  <si>
    <t>Activision Blizzard Inc.</t>
  </si>
  <si>
    <t>74915M100</t>
  </si>
  <si>
    <t>QRTEA</t>
  </si>
  <si>
    <t>Qurate Retail Inc.</t>
  </si>
  <si>
    <t>20030N101</t>
  </si>
  <si>
    <t>CMCSA</t>
  </si>
  <si>
    <t>Comcast Corporation</t>
  </si>
  <si>
    <t>G6095L109</t>
  </si>
  <si>
    <t>APTV</t>
  </si>
  <si>
    <t>Aptiv plc</t>
  </si>
  <si>
    <t>172908105</t>
  </si>
  <si>
    <t>CTAS</t>
  </si>
  <si>
    <t>Cintas Corporation</t>
  </si>
  <si>
    <t>172062101</t>
  </si>
  <si>
    <t>CINF</t>
  </si>
  <si>
    <t>Cincinnati Financial Corporation</t>
  </si>
  <si>
    <t>443510607</t>
  </si>
  <si>
    <t>HUBB</t>
  </si>
  <si>
    <t>Hubbell Inc.</t>
  </si>
  <si>
    <t>05722G100</t>
  </si>
  <si>
    <t>BKR</t>
  </si>
  <si>
    <t>Baker Hughes Company</t>
  </si>
  <si>
    <t>G97822103</t>
  </si>
  <si>
    <t>PRGO</t>
  </si>
  <si>
    <t>Perrigo Company plc</t>
  </si>
  <si>
    <t>422806109</t>
  </si>
  <si>
    <t>HEI</t>
  </si>
  <si>
    <t>HEICO Corporation</t>
  </si>
  <si>
    <t>115637209</t>
  </si>
  <si>
    <t>BF/B</t>
  </si>
  <si>
    <t>Brown-Forman Corporation</t>
  </si>
  <si>
    <t>644393100</t>
  </si>
  <si>
    <t>NFE</t>
  </si>
  <si>
    <t>New Fortress Energy Inc.</t>
  </si>
  <si>
    <t>384802104</t>
  </si>
  <si>
    <t>GWW</t>
  </si>
  <si>
    <t>WW Grainger Inc.</t>
  </si>
  <si>
    <t>35137L105</t>
  </si>
  <si>
    <t>FOXA</t>
  </si>
  <si>
    <t>Fox Corporation</t>
  </si>
  <si>
    <t>231021106</t>
  </si>
  <si>
    <t>CMI</t>
  </si>
  <si>
    <t>Cummins Inc.</t>
  </si>
  <si>
    <t>91822M106</t>
  </si>
  <si>
    <t>VEON</t>
  </si>
  <si>
    <t>64110W102</t>
  </si>
  <si>
    <t>NTES</t>
  </si>
  <si>
    <t>NetEase Inc.</t>
  </si>
  <si>
    <t>87854Y109</t>
  </si>
  <si>
    <t>THNPY</t>
  </si>
  <si>
    <t>Technip Energies N.V.</t>
  </si>
  <si>
    <t>464287200</t>
  </si>
  <si>
    <t>IVV</t>
  </si>
  <si>
    <t>EXCHANGE-TRADED NOTES</t>
  </si>
  <si>
    <t>06746P621</t>
  </si>
  <si>
    <t>VXX</t>
  </si>
  <si>
    <t>iPath Series B S&amp;P 500 VIX Short-Term Futures ETN</t>
  </si>
  <si>
    <t>TOTAL - EXCHANGE-TRADED NOTES</t>
  </si>
  <si>
    <t>74460D109</t>
  </si>
  <si>
    <t>PSA</t>
  </si>
  <si>
    <t>Public Storage</t>
  </si>
  <si>
    <t>30225T102</t>
  </si>
  <si>
    <t>EXR</t>
  </si>
  <si>
    <t>Extra Space Storage Inc.</t>
  </si>
  <si>
    <t>11282X103</t>
  </si>
  <si>
    <t>BPYU</t>
  </si>
  <si>
    <t>Brookfield Property REIT Inc.</t>
  </si>
  <si>
    <t>78573L106</t>
  </si>
  <si>
    <t>SBRA</t>
  </si>
  <si>
    <t>Sabra Health Care REIT Inc.</t>
  </si>
  <si>
    <t>105368203</t>
  </si>
  <si>
    <t>BDN</t>
  </si>
  <si>
    <t>Brandywine Realty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</si>
</sst>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[$-1009]d/mmm/yy;@"/>
    <numFmt numFmtId="168" formatCode="0.0%"/>
    <numFmt numFmtId="169" formatCode="0.000%"/>
    <numFmt numFmtId="170" formatCode="_-* #,##0_-;\-* #,##0_-;_-* &quot;-&quot;??_-;_-@_-"/>
    <numFmt numFmtId="171" formatCode="0.0000%"/>
    <numFmt numFmtId="172" formatCode="[$-10409]#,##0.00;\(#,##0.00\)"/>
    <numFmt numFmtId="173" formatCode="[$-10409]#,##0;\(#,##0\);0"/>
    <numFmt numFmtId="174" formatCode="[$-10409]#,##0.000;\(#,##0.000\);0.000"/>
    <numFmt numFmtId="175" formatCode="[$-10409]#,##0.000;\-#,##0.000"/>
    <numFmt numFmtId="176" formatCode="[$-10409]#,##0.00;\(#,##0.00\);0.00"/>
    <numFmt numFmtId="177" formatCode="[$-10409]#,##0.00;"/>
    <numFmt numFmtId="178" formatCode="_-* #,##0.0_-;\-* #,##0.0_-;_-* &quot;-&quot;??_-;_-@_-"/>
    <numFmt numFmtId="179" formatCode="0.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i/>
      <sz val="9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5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000000"/>
      <name val="Trade Gothic LT Std Light"/>
      <family val="3"/>
    </font>
    <font>
      <b/>
      <sz val="7"/>
      <color theme="0"/>
      <name val="Helvetica LT Std"/>
      <family val="2"/>
    </font>
    <font>
      <sz val="8"/>
      <color rgb="FF000000"/>
      <name val="Trade Gothic LT Std Light"/>
      <family val="3"/>
    </font>
    <font>
      <sz val="7.5"/>
      <name val="Trade Gothic LT Std Light"/>
      <family val="3"/>
    </font>
    <font>
      <sz val="8"/>
      <color rgb="FF000000"/>
      <name val="Proxima Nova Lt"/>
      <family val="3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8"/>
      <color rgb="FF000000"/>
      <name val="Source Sans Pro Light"/>
      <family val="2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rgb="FFFF0000"/>
      <name val="Arial"/>
      <family val="2"/>
    </font>
    <font>
      <sz val="8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9D9D9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67955565050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</cellStyleXfs>
  <cellXfs count="365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2" fillId="2" borderId="1" xfId="2" applyNumberFormat="1" applyFont="1" applyFill="1" applyBorder="1"/>
    <xf numFmtId="10" fontId="2" fillId="2" borderId="2" xfId="2" applyNumberFormat="1" applyFont="1" applyFill="1" applyBorder="1"/>
    <xf numFmtId="166" fontId="2" fillId="2" borderId="1" xfId="2" applyNumberFormat="1" applyFont="1" applyFill="1" applyBorder="1"/>
    <xf numFmtId="166" fontId="2" fillId="2" borderId="2" xfId="2" applyNumberFormat="1" applyFont="1" applyFill="1" applyBorder="1"/>
    <xf numFmtId="0" fontId="0" fillId="2" borderId="0" xfId="0" applyFill="1"/>
    <xf numFmtId="10" fontId="2" fillId="2" borderId="1" xfId="3" applyNumberFormat="1" applyFont="1" applyFill="1" applyBorder="1" applyAlignment="1">
      <alignment horizontal="center"/>
    </xf>
    <xf numFmtId="10" fontId="2" fillId="2" borderId="0" xfId="3" applyNumberFormat="1" applyFont="1" applyFill="1" applyAlignment="1">
      <alignment horizontal="center"/>
    </xf>
    <xf numFmtId="10" fontId="2" fillId="2" borderId="2" xfId="3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10" fontId="2" fillId="0" borderId="0" xfId="3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/>
    <xf numFmtId="0" fontId="0" fillId="0" borderId="4" xfId="0" applyBorder="1"/>
    <xf numFmtId="10" fontId="2" fillId="0" borderId="1" xfId="3" applyNumberFormat="1" applyFont="1" applyBorder="1" applyAlignment="1">
      <alignment horizontal="center"/>
    </xf>
    <xf numFmtId="10" fontId="2" fillId="0" borderId="2" xfId="3" applyNumberFormat="1" applyFont="1" applyBorder="1" applyAlignment="1">
      <alignment horizontal="center"/>
    </xf>
    <xf numFmtId="0" fontId="3" fillId="0" borderId="5" xfId="0" applyFont="1" applyBorder="1"/>
    <xf numFmtId="10" fontId="2" fillId="0" borderId="1" xfId="2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2" xfId="2" applyNumberFormat="1" applyFont="1" applyBorder="1" applyAlignment="1">
      <alignment horizontal="center"/>
    </xf>
    <xf numFmtId="0" fontId="3" fillId="0" borderId="3" xfId="0" applyFont="1" applyBorder="1"/>
    <xf numFmtId="167" fontId="4" fillId="3" borderId="3" xfId="0" applyNumberFormat="1" applyFont="1" applyFill="1" applyBorder="1" applyAlignment="1">
      <alignment horizontal="right" vertical="center"/>
    </xf>
    <xf numFmtId="164" fontId="2" fillId="0" borderId="7" xfId="2" applyFont="1" applyBorder="1"/>
    <xf numFmtId="15" fontId="5" fillId="4" borderId="7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right"/>
    </xf>
    <xf numFmtId="15" fontId="6" fillId="5" borderId="7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right" vertical="center"/>
    </xf>
    <xf numFmtId="10" fontId="7" fillId="6" borderId="7" xfId="3" applyNumberFormat="1" applyFont="1" applyFill="1" applyBorder="1" applyAlignment="1">
      <alignment horizontal="center" vertical="center" wrapText="1"/>
    </xf>
    <xf numFmtId="10" fontId="7" fillId="7" borderId="7" xfId="3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10" fontId="3" fillId="0" borderId="0" xfId="3" applyNumberFormat="1" applyFont="1" applyAlignment="1">
      <alignment horizontal="center"/>
    </xf>
    <xf numFmtId="167" fontId="8" fillId="0" borderId="3" xfId="0" applyNumberFormat="1" applyFont="1" applyBorder="1" applyAlignment="1">
      <alignment horizontal="right" vertical="center"/>
    </xf>
    <xf numFmtId="167" fontId="4" fillId="0" borderId="7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67" fontId="4" fillId="5" borderId="7" xfId="0" applyNumberFormat="1" applyFont="1" applyFill="1" applyBorder="1" applyAlignment="1">
      <alignment horizontal="left" vertical="center"/>
    </xf>
    <xf numFmtId="2" fontId="3" fillId="0" borderId="7" xfId="1" applyNumberFormat="1" applyFon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wrapText="1"/>
    </xf>
    <xf numFmtId="167" fontId="4" fillId="8" borderId="7" xfId="0" applyNumberFormat="1" applyFont="1" applyFill="1" applyBorder="1" applyAlignment="1">
      <alignment horizontal="right" vertical="center"/>
    </xf>
    <xf numFmtId="0" fontId="11" fillId="8" borderId="7" xfId="0" applyFont="1" applyFill="1" applyBorder="1" applyAlignment="1">
      <alignment horizontal="right"/>
    </xf>
    <xf numFmtId="10" fontId="4" fillId="0" borderId="0" xfId="3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0" fontId="4" fillId="0" borderId="2" xfId="3" applyNumberFormat="1" applyFont="1" applyBorder="1" applyAlignment="1">
      <alignment horizontal="center" wrapText="1"/>
    </xf>
    <xf numFmtId="167" fontId="6" fillId="8" borderId="3" xfId="0" applyNumberFormat="1" applyFont="1" applyFill="1" applyBorder="1" applyAlignment="1">
      <alignment horizontal="right" vertical="center"/>
    </xf>
    <xf numFmtId="0" fontId="3" fillId="2" borderId="0" xfId="0" applyFont="1" applyFill="1"/>
    <xf numFmtId="167" fontId="8" fillId="2" borderId="3" xfId="0" applyNumberFormat="1" applyFont="1" applyFill="1" applyBorder="1" applyAlignment="1">
      <alignment horizontal="right" vertical="center"/>
    </xf>
    <xf numFmtId="167" fontId="4" fillId="3" borderId="11" xfId="0" applyNumberFormat="1" applyFont="1" applyFill="1" applyBorder="1" applyAlignment="1">
      <alignment horizontal="right" vertical="center"/>
    </xf>
    <xf numFmtId="15" fontId="10" fillId="0" borderId="7" xfId="3" applyNumberFormat="1" applyFont="1" applyBorder="1" applyAlignment="1">
      <alignment vertical="center"/>
    </xf>
    <xf numFmtId="167" fontId="8" fillId="0" borderId="5" xfId="0" applyNumberFormat="1" applyFont="1" applyBorder="1" applyAlignment="1">
      <alignment horizontal="right" vertical="center"/>
    </xf>
    <xf numFmtId="0" fontId="3" fillId="0" borderId="13" xfId="0" applyFont="1" applyBorder="1"/>
    <xf numFmtId="167" fontId="8" fillId="0" borderId="13" xfId="0" applyNumberFormat="1" applyFont="1" applyBorder="1" applyAlignment="1">
      <alignment horizontal="right" vertical="center"/>
    </xf>
    <xf numFmtId="10" fontId="3" fillId="0" borderId="0" xfId="3" applyNumberFormat="1" applyFont="1"/>
    <xf numFmtId="10" fontId="12" fillId="7" borderId="10" xfId="0" applyNumberFormat="1" applyFont="1" applyFill="1" applyBorder="1" applyAlignment="1">
      <alignment horizontal="center" vertical="center"/>
    </xf>
    <xf numFmtId="10" fontId="12" fillId="10" borderId="9" xfId="0" applyNumberFormat="1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167" fontId="4" fillId="8" borderId="13" xfId="0" applyNumberFormat="1" applyFont="1" applyFill="1" applyBorder="1" applyAlignment="1">
      <alignment horizontal="right" vertical="center"/>
    </xf>
    <xf numFmtId="0" fontId="0" fillId="0" borderId="9" xfId="0" applyBorder="1"/>
    <xf numFmtId="0" fontId="2" fillId="0" borderId="9" xfId="0" applyFont="1" applyBorder="1"/>
    <xf numFmtId="10" fontId="7" fillId="7" borderId="9" xfId="3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right" vertical="center" wrapText="1"/>
    </xf>
    <xf numFmtId="167" fontId="8" fillId="2" borderId="7" xfId="0" applyNumberFormat="1" applyFont="1" applyFill="1" applyBorder="1" applyAlignment="1">
      <alignment horizontal="right" vertical="center" wrapText="1"/>
    </xf>
    <xf numFmtId="10" fontId="12" fillId="7" borderId="10" xfId="3" applyNumberFormat="1" applyFont="1" applyFill="1" applyBorder="1" applyAlignment="1">
      <alignment horizontal="center" vertical="center"/>
    </xf>
    <xf numFmtId="10" fontId="12" fillId="10" borderId="9" xfId="3" applyNumberFormat="1" applyFont="1" applyFill="1" applyBorder="1" applyAlignment="1">
      <alignment horizontal="center" vertical="center"/>
    </xf>
    <xf numFmtId="10" fontId="12" fillId="6" borderId="8" xfId="3" applyNumberFormat="1" applyFont="1" applyFill="1" applyBorder="1" applyAlignment="1">
      <alignment horizontal="center" vertical="center" wrapText="1"/>
    </xf>
    <xf numFmtId="0" fontId="0" fillId="2" borderId="9" xfId="0" applyFill="1" applyBorder="1"/>
    <xf numFmtId="10" fontId="12" fillId="6" borderId="8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0" fontId="12" fillId="11" borderId="9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right"/>
    </xf>
    <xf numFmtId="15" fontId="5" fillId="4" borderId="11" xfId="0" applyNumberFormat="1" applyFont="1" applyFill="1" applyBorder="1" applyAlignment="1">
      <alignment horizontal="center"/>
    </xf>
    <xf numFmtId="0" fontId="0" fillId="0" borderId="14" xfId="0" applyBorder="1"/>
    <xf numFmtId="15" fontId="2" fillId="0" borderId="14" xfId="0" applyNumberFormat="1" applyFont="1" applyBorder="1" applyAlignment="1">
      <alignment horizontal="center"/>
    </xf>
    <xf numFmtId="164" fontId="2" fillId="0" borderId="14" xfId="2" applyFont="1" applyBorder="1"/>
    <xf numFmtId="168" fontId="3" fillId="0" borderId="7" xfId="3" applyNumberFormat="1" applyFont="1" applyBorder="1" applyAlignment="1">
      <alignment horizontal="center"/>
    </xf>
    <xf numFmtId="10" fontId="10" fillId="0" borderId="17" xfId="3" applyNumberFormat="1" applyFont="1" applyBorder="1" applyAlignment="1">
      <alignment horizontal="center" vertical="center"/>
    </xf>
    <xf numFmtId="10" fontId="7" fillId="10" borderId="14" xfId="3" applyNumberFormat="1" applyFont="1" applyFill="1" applyBorder="1" applyAlignment="1">
      <alignment horizontal="center" vertical="center"/>
    </xf>
    <xf numFmtId="10" fontId="7" fillId="6" borderId="14" xfId="3" applyNumberFormat="1" applyFont="1" applyFill="1" applyBorder="1" applyAlignment="1">
      <alignment horizontal="center" vertical="center" wrapText="1"/>
    </xf>
    <xf numFmtId="15" fontId="10" fillId="0" borderId="13" xfId="3" applyNumberFormat="1" applyFont="1" applyBorder="1" applyAlignment="1">
      <alignment vertical="center"/>
    </xf>
    <xf numFmtId="10" fontId="10" fillId="0" borderId="12" xfId="3" applyNumberFormat="1" applyFont="1" applyBorder="1" applyAlignment="1">
      <alignment vertical="center"/>
    </xf>
    <xf numFmtId="10" fontId="10" fillId="0" borderId="15" xfId="3" applyNumberFormat="1" applyFont="1" applyBorder="1" applyAlignment="1">
      <alignment vertical="center"/>
    </xf>
    <xf numFmtId="10" fontId="10" fillId="0" borderId="16" xfId="3" applyNumberFormat="1" applyFont="1" applyBorder="1" applyAlignment="1">
      <alignment horizontal="center" vertical="center"/>
    </xf>
    <xf numFmtId="0" fontId="13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3" fillId="2" borderId="0" xfId="0" applyFont="1" applyFill="1" applyAlignment="1">
      <alignment vertical="center"/>
    </xf>
    <xf numFmtId="167" fontId="11" fillId="0" borderId="7" xfId="0" applyNumberFormat="1" applyFont="1" applyBorder="1" applyAlignment="1">
      <alignment horizontal="left" vertical="center"/>
    </xf>
    <xf numFmtId="167" fontId="15" fillId="12" borderId="7" xfId="0" applyNumberFormat="1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4" fontId="17" fillId="2" borderId="0" xfId="3" applyNumberFormat="1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10" fontId="18" fillId="2" borderId="0" xfId="3" applyNumberFormat="1" applyFont="1" applyFill="1" applyAlignment="1">
      <alignment horizontal="center" vertical="center"/>
    </xf>
    <xf numFmtId="9" fontId="19" fillId="0" borderId="40" xfId="3" applyFont="1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9" fontId="19" fillId="0" borderId="44" xfId="3" applyFont="1" applyBorder="1" applyAlignment="1">
      <alignment vertical="center"/>
    </xf>
    <xf numFmtId="9" fontId="20" fillId="0" borderId="63" xfId="3" applyFont="1" applyBorder="1" applyAlignment="1">
      <alignment vertical="center"/>
    </xf>
    <xf numFmtId="9" fontId="20" fillId="0" borderId="64" xfId="3" applyFont="1" applyBorder="1" applyAlignment="1">
      <alignment vertical="center"/>
    </xf>
    <xf numFmtId="9" fontId="19" fillId="0" borderId="46" xfId="3" applyFont="1" applyBorder="1" applyAlignment="1">
      <alignment horizontal="center" vertical="center"/>
    </xf>
    <xf numFmtId="9" fontId="19" fillId="0" borderId="18" xfId="3" applyFont="1" applyBorder="1" applyAlignment="1">
      <alignment horizontal="center" vertical="center"/>
    </xf>
    <xf numFmtId="170" fontId="2" fillId="2" borderId="7" xfId="1" applyNumberFormat="1" applyFont="1" applyFill="1" applyBorder="1" applyAlignment="1">
      <alignment horizontal="center" vertical="center"/>
    </xf>
    <xf numFmtId="0" fontId="23" fillId="0" borderId="0" xfId="0" applyFont="1"/>
    <xf numFmtId="0" fontId="2" fillId="0" borderId="7" xfId="0" applyFont="1" applyBorder="1" applyAlignment="1">
      <alignment horizontal="center"/>
    </xf>
    <xf numFmtId="0" fontId="24" fillId="2" borderId="0" xfId="0" applyFont="1" applyFill="1" applyAlignment="1">
      <alignment horizontal="left" vertical="center"/>
    </xf>
    <xf numFmtId="169" fontId="3" fillId="0" borderId="7" xfId="3" applyNumberFormat="1" applyFont="1" applyBorder="1" applyAlignment="1">
      <alignment horizontal="center"/>
    </xf>
    <xf numFmtId="10" fontId="7" fillId="0" borderId="0" xfId="3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0" fontId="20" fillId="0" borderId="68" xfId="3" applyNumberFormat="1" applyFont="1" applyBorder="1" applyAlignment="1">
      <alignment horizontal="center" vertical="center"/>
    </xf>
    <xf numFmtId="10" fontId="20" fillId="0" borderId="68" xfId="3" applyNumberFormat="1" applyFont="1" applyBorder="1" applyAlignment="1">
      <alignment horizontal="center"/>
    </xf>
    <xf numFmtId="10" fontId="13" fillId="2" borderId="0" xfId="0" applyNumberFormat="1" applyFont="1" applyFill="1"/>
    <xf numFmtId="2" fontId="8" fillId="3" borderId="7" xfId="1" applyNumberFormat="1" applyFont="1" applyFill="1" applyBorder="1" applyAlignment="1">
      <alignment horizontal="center"/>
    </xf>
    <xf numFmtId="2" fontId="8" fillId="3" borderId="7" xfId="0" applyNumberFormat="1" applyFont="1" applyFill="1" applyBorder="1" applyAlignment="1">
      <alignment horizontal="center"/>
    </xf>
    <xf numFmtId="10" fontId="8" fillId="3" borderId="7" xfId="0" applyNumberFormat="1" applyFont="1" applyFill="1" applyBorder="1" applyAlignment="1">
      <alignment horizontal="center"/>
    </xf>
    <xf numFmtId="10" fontId="8" fillId="3" borderId="7" xfId="3" applyNumberFormat="1" applyFont="1" applyFill="1" applyBorder="1" applyAlignment="1">
      <alignment horizontal="center"/>
    </xf>
    <xf numFmtId="0" fontId="25" fillId="3" borderId="0" xfId="0" applyFont="1" applyFill="1"/>
    <xf numFmtId="10" fontId="26" fillId="2" borderId="0" xfId="0" applyNumberFormat="1" applyFont="1" applyFill="1" applyAlignment="1">
      <alignment horizontal="center" vertical="top"/>
    </xf>
    <xf numFmtId="165" fontId="3" fillId="0" borderId="7" xfId="1" applyFont="1" applyBorder="1" applyAlignment="1">
      <alignment horizontal="center"/>
    </xf>
    <xf numFmtId="4" fontId="13" fillId="2" borderId="0" xfId="0" applyNumberFormat="1" applyFont="1" applyFill="1"/>
    <xf numFmtId="10" fontId="14" fillId="2" borderId="0" xfId="0" applyNumberFormat="1" applyFont="1" applyFill="1" applyAlignment="1">
      <alignment vertical="center"/>
    </xf>
    <xf numFmtId="0" fontId="5" fillId="0" borderId="7" xfId="0" applyFont="1" applyBorder="1" applyAlignment="1">
      <alignment horizontal="center"/>
    </xf>
    <xf numFmtId="167" fontId="6" fillId="5" borderId="7" xfId="0" applyNumberFormat="1" applyFont="1" applyFill="1" applyBorder="1" applyAlignment="1">
      <alignment horizontal="left" vertical="center"/>
    </xf>
    <xf numFmtId="0" fontId="0" fillId="0" borderId="1" xfId="0" applyBorder="1"/>
    <xf numFmtId="0" fontId="20" fillId="0" borderId="67" xfId="3" applyNumberFormat="1" applyFont="1" applyBorder="1" applyAlignment="1">
      <alignment horizontal="left" vertical="center"/>
    </xf>
    <xf numFmtId="0" fontId="20" fillId="0" borderId="67" xfId="3" applyNumberFormat="1" applyFont="1" applyBorder="1" applyAlignment="1">
      <alignment horizontal="left"/>
    </xf>
    <xf numFmtId="0" fontId="20" fillId="0" borderId="62" xfId="3" applyNumberFormat="1" applyFont="1" applyBorder="1" applyAlignment="1">
      <alignment vertical="center"/>
    </xf>
    <xf numFmtId="0" fontId="20" fillId="0" borderId="63" xfId="3" applyNumberFormat="1" applyFont="1" applyBorder="1" applyAlignment="1">
      <alignment vertical="center"/>
    </xf>
    <xf numFmtId="0" fontId="20" fillId="0" borderId="64" xfId="3" applyNumberFormat="1" applyFont="1" applyBorder="1" applyAlignment="1">
      <alignment vertical="center"/>
    </xf>
    <xf numFmtId="172" fontId="4" fillId="0" borderId="2" xfId="2" applyNumberFormat="1" applyFont="1" applyBorder="1" applyAlignment="1">
      <alignment horizontal="center"/>
    </xf>
    <xf numFmtId="172" fontId="2" fillId="0" borderId="2" xfId="2" applyNumberFormat="1" applyFont="1" applyBorder="1" applyAlignment="1">
      <alignment horizontal="center"/>
    </xf>
    <xf numFmtId="172" fontId="2" fillId="8" borderId="2" xfId="2" applyNumberFormat="1" applyFont="1" applyFill="1" applyBorder="1" applyAlignment="1">
      <alignment horizontal="center"/>
    </xf>
    <xf numFmtId="172" fontId="4" fillId="0" borderId="1" xfId="2" applyNumberFormat="1" applyFont="1" applyBorder="1" applyAlignment="1">
      <alignment horizontal="center"/>
    </xf>
    <xf numFmtId="172" fontId="2" fillId="0" borderId="1" xfId="2" applyNumberFormat="1" applyFont="1" applyBorder="1" applyAlignment="1">
      <alignment horizontal="center"/>
    </xf>
    <xf numFmtId="172" fontId="4" fillId="0" borderId="0" xfId="3" applyNumberFormat="1" applyFont="1" applyAlignment="1">
      <alignment horizontal="center" wrapText="1"/>
    </xf>
    <xf numFmtId="172" fontId="2" fillId="0" borderId="0" xfId="2" applyNumberFormat="1" applyFont="1" applyAlignment="1">
      <alignment horizontal="center"/>
    </xf>
    <xf numFmtId="165" fontId="3" fillId="5" borderId="7" xfId="1" applyFont="1" applyFill="1" applyBorder="1" applyAlignment="1">
      <alignment horizontal="center"/>
    </xf>
    <xf numFmtId="10" fontId="3" fillId="17" borderId="7" xfId="3" applyNumberFormat="1" applyFont="1" applyFill="1" applyBorder="1" applyAlignment="1">
      <alignment horizontal="center"/>
    </xf>
    <xf numFmtId="10" fontId="3" fillId="17" borderId="7" xfId="0" applyNumberFormat="1" applyFont="1" applyFill="1" applyBorder="1" applyAlignment="1">
      <alignment horizontal="center"/>
    </xf>
    <xf numFmtId="0" fontId="3" fillId="17" borderId="7" xfId="0" applyFont="1" applyFill="1" applyBorder="1"/>
    <xf numFmtId="2" fontId="3" fillId="17" borderId="7" xfId="3" applyNumberFormat="1" applyFont="1" applyFill="1" applyBorder="1" applyAlignment="1">
      <alignment horizontal="center"/>
    </xf>
    <xf numFmtId="2" fontId="3" fillId="17" borderId="7" xfId="1" applyNumberFormat="1" applyFont="1" applyFill="1" applyBorder="1" applyAlignment="1">
      <alignment horizontal="center"/>
    </xf>
    <xf numFmtId="2" fontId="3" fillId="17" borderId="7" xfId="0" applyNumberFormat="1" applyFont="1" applyFill="1" applyBorder="1" applyAlignment="1">
      <alignment horizontal="center"/>
    </xf>
    <xf numFmtId="2" fontId="28" fillId="17" borderId="7" xfId="1" applyNumberFormat="1" applyFont="1" applyFill="1" applyBorder="1" applyAlignment="1">
      <alignment horizontal="center"/>
    </xf>
    <xf numFmtId="2" fontId="3" fillId="17" borderId="7" xfId="0" applyNumberFormat="1" applyFont="1" applyFill="1" applyBorder="1"/>
    <xf numFmtId="0" fontId="3" fillId="17" borderId="7" xfId="0" applyFont="1" applyFill="1" applyBorder="1" applyAlignment="1">
      <alignment horizontal="center"/>
    </xf>
    <xf numFmtId="10" fontId="32" fillId="2" borderId="22" xfId="0" applyNumberFormat="1" applyFont="1" applyFill="1" applyBorder="1" applyAlignment="1">
      <alignment horizontal="center" vertical="center"/>
    </xf>
    <xf numFmtId="10" fontId="32" fillId="2" borderId="23" xfId="0" applyNumberFormat="1" applyFont="1" applyFill="1" applyBorder="1" applyAlignment="1">
      <alignment horizontal="center" vertical="center"/>
    </xf>
    <xf numFmtId="10" fontId="32" fillId="2" borderId="24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6" fontId="33" fillId="2" borderId="7" xfId="2" applyNumberFormat="1" applyFont="1" applyFill="1" applyBorder="1" applyAlignment="1">
      <alignment horizontal="center" vertical="center"/>
    </xf>
    <xf numFmtId="9" fontId="34" fillId="2" borderId="58" xfId="0" applyNumberFormat="1" applyFont="1" applyFill="1" applyBorder="1" applyAlignment="1">
      <alignment vertical="center"/>
    </xf>
    <xf numFmtId="168" fontId="34" fillId="2" borderId="59" xfId="0" applyNumberFormat="1" applyFont="1" applyFill="1" applyBorder="1" applyAlignment="1">
      <alignment horizontal="right" vertical="center"/>
    </xf>
    <xf numFmtId="9" fontId="34" fillId="2" borderId="59" xfId="0" applyNumberFormat="1" applyFont="1" applyFill="1" applyBorder="1" applyAlignment="1">
      <alignment horizontal="left" vertical="center"/>
    </xf>
    <xf numFmtId="168" fontId="34" fillId="2" borderId="60" xfId="0" applyNumberFormat="1" applyFont="1" applyFill="1" applyBorder="1" applyAlignment="1">
      <alignment horizontal="right" vertical="center"/>
    </xf>
    <xf numFmtId="0" fontId="35" fillId="2" borderId="0" xfId="0" applyFont="1" applyFill="1" applyAlignment="1">
      <alignment horizontal="center" vertical="center"/>
    </xf>
    <xf numFmtId="0" fontId="34" fillId="2" borderId="47" xfId="0" applyFont="1" applyFill="1" applyBorder="1" applyAlignment="1">
      <alignment horizontal="left" vertical="center"/>
    </xf>
    <xf numFmtId="168" fontId="34" fillId="2" borderId="52" xfId="0" applyNumberFormat="1" applyFont="1" applyFill="1" applyBorder="1" applyAlignment="1">
      <alignment horizontal="right" vertical="center"/>
    </xf>
    <xf numFmtId="0" fontId="34" fillId="2" borderId="52" xfId="0" applyFont="1" applyFill="1" applyBorder="1" applyAlignment="1">
      <alignment horizontal="left" vertical="center"/>
    </xf>
    <xf numFmtId="168" fontId="34" fillId="2" borderId="48" xfId="0" applyNumberFormat="1" applyFont="1" applyFill="1" applyBorder="1" applyAlignment="1">
      <alignment horizontal="right" vertical="center"/>
    </xf>
    <xf numFmtId="0" fontId="34" fillId="2" borderId="49" xfId="0" applyFont="1" applyFill="1" applyBorder="1" applyAlignment="1">
      <alignment horizontal="left" vertical="center"/>
    </xf>
    <xf numFmtId="168" fontId="34" fillId="2" borderId="53" xfId="0" applyNumberFormat="1" applyFont="1" applyFill="1" applyBorder="1" applyAlignment="1">
      <alignment horizontal="right" vertical="center"/>
    </xf>
    <xf numFmtId="0" fontId="34" fillId="2" borderId="53" xfId="0" applyFont="1" applyFill="1" applyBorder="1" applyAlignment="1">
      <alignment horizontal="left" vertical="center"/>
    </xf>
    <xf numFmtId="168" fontId="34" fillId="2" borderId="50" xfId="0" applyNumberFormat="1" applyFont="1" applyFill="1" applyBorder="1" applyAlignment="1">
      <alignment horizontal="right" vertical="center"/>
    </xf>
    <xf numFmtId="0" fontId="30" fillId="0" borderId="30" xfId="0" applyFont="1" applyBorder="1" applyAlignment="1">
      <alignment horizontal="left" vertical="center" wrapText="1" readingOrder="1"/>
    </xf>
    <xf numFmtId="0" fontId="36" fillId="8" borderId="31" xfId="0" applyFont="1" applyFill="1" applyBorder="1" applyAlignment="1">
      <alignment horizontal="center" vertical="center"/>
    </xf>
    <xf numFmtId="0" fontId="37" fillId="14" borderId="32" xfId="0" applyFont="1" applyFill="1" applyBorder="1" applyAlignment="1">
      <alignment horizontal="center" vertical="center"/>
    </xf>
    <xf numFmtId="9" fontId="38" fillId="2" borderId="7" xfId="0" applyNumberFormat="1" applyFont="1" applyFill="1" applyBorder="1" applyAlignment="1">
      <alignment horizontal="left" vertical="center"/>
    </xf>
    <xf numFmtId="168" fontId="38" fillId="2" borderId="7" xfId="3" applyNumberFormat="1" applyFont="1" applyFill="1" applyBorder="1" applyAlignment="1">
      <alignment horizontal="right" vertical="center"/>
    </xf>
    <xf numFmtId="0" fontId="33" fillId="2" borderId="33" xfId="0" applyFont="1" applyFill="1" applyBorder="1" applyAlignment="1">
      <alignment horizontal="left" vertical="center"/>
    </xf>
    <xf numFmtId="10" fontId="33" fillId="2" borderId="34" xfId="0" applyNumberFormat="1" applyFont="1" applyFill="1" applyBorder="1" applyAlignment="1">
      <alignment horizontal="left" vertical="center"/>
    </xf>
    <xf numFmtId="2" fontId="39" fillId="2" borderId="19" xfId="0" applyNumberFormat="1" applyFont="1" applyFill="1" applyBorder="1" applyAlignment="1">
      <alignment horizontal="center" vertical="center"/>
    </xf>
    <xf numFmtId="10" fontId="40" fillId="2" borderId="41" xfId="0" applyNumberFormat="1" applyFont="1" applyFill="1" applyBorder="1" applyAlignment="1">
      <alignment horizontal="center" vertical="center" wrapText="1" readingOrder="1"/>
    </xf>
    <xf numFmtId="0" fontId="40" fillId="0" borderId="37" xfId="0" applyFont="1" applyBorder="1" applyAlignment="1">
      <alignment vertical="center"/>
    </xf>
    <xf numFmtId="1" fontId="38" fillId="0" borderId="20" xfId="0" applyNumberFormat="1" applyFont="1" applyBorder="1" applyAlignment="1">
      <alignment vertical="center"/>
    </xf>
    <xf numFmtId="1" fontId="38" fillId="0" borderId="27" xfId="0" applyNumberFormat="1" applyFont="1" applyBorder="1" applyAlignment="1">
      <alignment vertical="center"/>
    </xf>
    <xf numFmtId="0" fontId="42" fillId="13" borderId="0" xfId="0" applyFont="1" applyFill="1" applyAlignment="1">
      <alignment vertical="center" wrapText="1"/>
    </xf>
    <xf numFmtId="168" fontId="38" fillId="0" borderId="20" xfId="3" applyNumberFormat="1" applyFont="1" applyBorder="1" applyAlignment="1">
      <alignment vertical="center"/>
    </xf>
    <xf numFmtId="168" fontId="38" fillId="0" borderId="27" xfId="3" applyNumberFormat="1" applyFont="1" applyBorder="1" applyAlignment="1">
      <alignment vertical="center"/>
    </xf>
    <xf numFmtId="3" fontId="38" fillId="0" borderId="20" xfId="1" applyNumberFormat="1" applyFont="1" applyBorder="1" applyAlignment="1">
      <alignment vertical="center"/>
    </xf>
    <xf numFmtId="3" fontId="38" fillId="0" borderId="27" xfId="1" applyNumberFormat="1" applyFont="1" applyBorder="1" applyAlignment="1">
      <alignment vertical="center"/>
    </xf>
    <xf numFmtId="0" fontId="40" fillId="0" borderId="38" xfId="0" applyFont="1" applyBorder="1" applyAlignment="1">
      <alignment vertical="center"/>
    </xf>
    <xf numFmtId="2" fontId="38" fillId="0" borderId="28" xfId="0" applyNumberFormat="1" applyFont="1" applyBorder="1" applyAlignment="1">
      <alignment vertical="center"/>
    </xf>
    <xf numFmtId="2" fontId="38" fillId="0" borderId="29" xfId="0" applyNumberFormat="1" applyFont="1" applyBorder="1" applyAlignment="1">
      <alignment vertical="center"/>
    </xf>
    <xf numFmtId="0" fontId="41" fillId="2" borderId="42" xfId="0" applyFont="1" applyFill="1" applyBorder="1" applyAlignment="1">
      <alignment vertical="center" textRotation="90"/>
    </xf>
    <xf numFmtId="0" fontId="43" fillId="2" borderId="4" xfId="0" applyFont="1" applyFill="1" applyBorder="1" applyAlignment="1">
      <alignment horizontal="left" vertical="center"/>
    </xf>
    <xf numFmtId="0" fontId="44" fillId="2" borderId="4" xfId="0" applyFont="1" applyFill="1" applyBorder="1" applyAlignment="1">
      <alignment horizontal="center" vertical="center"/>
    </xf>
    <xf numFmtId="17" fontId="45" fillId="2" borderId="7" xfId="0" applyNumberFormat="1" applyFont="1" applyFill="1" applyBorder="1" applyAlignment="1">
      <alignment vertical="center"/>
    </xf>
    <xf numFmtId="10" fontId="46" fillId="2" borderId="7" xfId="0" applyNumberFormat="1" applyFont="1" applyFill="1" applyBorder="1" applyAlignment="1">
      <alignment horizontal="left" vertical="center"/>
    </xf>
    <xf numFmtId="168" fontId="2" fillId="2" borderId="7" xfId="3" applyNumberFormat="1" applyFont="1" applyFill="1" applyBorder="1" applyAlignment="1">
      <alignment horizontal="center" vertical="center"/>
    </xf>
    <xf numFmtId="170" fontId="2" fillId="0" borderId="26" xfId="1" applyNumberFormat="1" applyFont="1" applyBorder="1" applyAlignment="1">
      <alignment horizontal="center" vertical="center"/>
    </xf>
    <xf numFmtId="0" fontId="24" fillId="0" borderId="0" xfId="0" applyFont="1"/>
    <xf numFmtId="172" fontId="2" fillId="0" borderId="0" xfId="2" applyNumberFormat="1" applyFont="1"/>
    <xf numFmtId="172" fontId="2" fillId="0" borderId="0" xfId="0" applyNumberFormat="1" applyFont="1" applyAlignment="1">
      <alignment horizontal="center"/>
    </xf>
    <xf numFmtId="0" fontId="49" fillId="5" borderId="0" xfId="4" applyFont="1" applyFill="1" applyAlignment="1" applyProtection="1">
      <alignment vertical="top" readingOrder="1"/>
      <protection locked="0"/>
    </xf>
    <xf numFmtId="9" fontId="19" fillId="0" borderId="73" xfId="3" applyFont="1" applyBorder="1" applyAlignment="1">
      <alignment horizontal="center" vertical="center"/>
    </xf>
    <xf numFmtId="10" fontId="2" fillId="2" borderId="74" xfId="3" applyNumberFormat="1" applyFont="1" applyFill="1" applyBorder="1" applyAlignment="1">
      <alignment horizontal="center" vertical="center"/>
    </xf>
    <xf numFmtId="10" fontId="2" fillId="2" borderId="75" xfId="3" applyNumberFormat="1" applyFont="1" applyFill="1" applyBorder="1" applyAlignment="1">
      <alignment horizontal="center" vertical="center"/>
    </xf>
    <xf numFmtId="10" fontId="2" fillId="2" borderId="76" xfId="3" applyNumberFormat="1" applyFont="1" applyFill="1" applyBorder="1" applyAlignment="1">
      <alignment horizontal="center" vertical="center"/>
    </xf>
    <xf numFmtId="10" fontId="10" fillId="0" borderId="10" xfId="3" applyNumberFormat="1" applyFont="1" applyBorder="1" applyAlignment="1">
      <alignment vertical="center"/>
    </xf>
    <xf numFmtId="17" fontId="3" fillId="2" borderId="7" xfId="0" applyNumberFormat="1" applyFont="1" applyFill="1" applyBorder="1" applyAlignment="1">
      <alignment vertical="center"/>
    </xf>
    <xf numFmtId="0" fontId="30" fillId="0" borderId="36" xfId="0" applyFont="1" applyBorder="1" applyAlignment="1">
      <alignment horizontal="center" vertical="center" wrapText="1" readingOrder="1"/>
    </xf>
    <xf numFmtId="0" fontId="30" fillId="0" borderId="6" xfId="0" applyFont="1" applyBorder="1" applyAlignment="1">
      <alignment horizontal="center" vertical="center" wrapText="1" readingOrder="1"/>
    </xf>
    <xf numFmtId="0" fontId="30" fillId="0" borderId="54" xfId="0" applyFont="1" applyBorder="1" applyAlignment="1">
      <alignment horizontal="left" vertical="center" readingOrder="1"/>
    </xf>
    <xf numFmtId="0" fontId="32" fillId="12" borderId="77" xfId="0" applyFont="1" applyFill="1" applyBorder="1" applyAlignment="1">
      <alignment horizontal="center" vertical="center"/>
    </xf>
    <xf numFmtId="2" fontId="34" fillId="2" borderId="78" xfId="0" applyNumberFormat="1" applyFont="1" applyFill="1" applyBorder="1" applyAlignment="1">
      <alignment horizontal="center" vertical="center"/>
    </xf>
    <xf numFmtId="2" fontId="39" fillId="2" borderId="79" xfId="0" applyNumberFormat="1" applyFont="1" applyFill="1" applyBorder="1" applyAlignment="1">
      <alignment horizontal="center" vertical="center"/>
    </xf>
    <xf numFmtId="2" fontId="39" fillId="2" borderId="80" xfId="0" applyNumberFormat="1" applyFont="1" applyFill="1" applyBorder="1" applyAlignment="1">
      <alignment horizontal="center" vertical="center"/>
    </xf>
    <xf numFmtId="0" fontId="47" fillId="0" borderId="71" xfId="0" applyFont="1" applyBorder="1" applyAlignment="1" applyProtection="1">
      <alignment horizontal="center" readingOrder="1"/>
      <protection locked="0"/>
    </xf>
    <xf numFmtId="0" fontId="47" fillId="0" borderId="71" xfId="0" applyFont="1" applyBorder="1" applyAlignment="1" applyProtection="1">
      <alignment horizontal="center" wrapText="1" readingOrder="1"/>
      <protection locked="0"/>
    </xf>
    <xf numFmtId="0" fontId="47" fillId="0" borderId="71" xfId="0" applyFont="1" applyBorder="1" applyAlignment="1" applyProtection="1">
      <alignment horizontal="left" wrapText="1" readingOrder="1"/>
      <protection locked="0"/>
    </xf>
    <xf numFmtId="0" fontId="48" fillId="0" borderId="0" xfId="0" applyFont="1" applyAlignment="1" applyProtection="1">
      <alignment horizontal="left" wrapText="1" readingOrder="1"/>
      <protection locked="0"/>
    </xf>
    <xf numFmtId="0" fontId="47" fillId="0" borderId="71" xfId="0" applyFont="1" applyBorder="1" applyAlignment="1" applyProtection="1">
      <alignment vertical="top" readingOrder="1"/>
      <protection locked="0"/>
    </xf>
    <xf numFmtId="0" fontId="0" fillId="0" borderId="71" xfId="0" applyBorder="1" applyAlignment="1" applyProtection="1">
      <alignment vertical="top"/>
      <protection locked="0"/>
    </xf>
    <xf numFmtId="0" fontId="49" fillId="0" borderId="0" xfId="0" applyFont="1" applyAlignment="1" applyProtection="1">
      <alignment vertical="top" readingOrder="1"/>
      <protection locked="0"/>
    </xf>
    <xf numFmtId="0" fontId="49" fillId="0" borderId="0" xfId="0" applyFont="1" applyAlignment="1" applyProtection="1">
      <alignment vertical="top" wrapText="1" readingOrder="1"/>
      <protection locked="0"/>
    </xf>
    <xf numFmtId="173" fontId="49" fillId="0" borderId="0" xfId="0" applyNumberFormat="1" applyFont="1" applyAlignment="1" applyProtection="1">
      <alignment horizontal="right" vertical="top" wrapText="1" readingOrder="1"/>
      <protection locked="0"/>
    </xf>
    <xf numFmtId="174" fontId="49" fillId="0" borderId="0" xfId="0" applyNumberFormat="1" applyFont="1" applyAlignment="1" applyProtection="1">
      <alignment horizontal="right" vertical="top" readingOrder="1"/>
      <protection locked="0"/>
    </xf>
    <xf numFmtId="175" fontId="49" fillId="0" borderId="0" xfId="0" applyNumberFormat="1" applyFont="1" applyAlignment="1" applyProtection="1">
      <alignment horizontal="right" vertical="top" readingOrder="1"/>
      <protection locked="0"/>
    </xf>
    <xf numFmtId="176" fontId="49" fillId="0" borderId="0" xfId="0" applyNumberFormat="1" applyFont="1" applyAlignment="1" applyProtection="1">
      <alignment horizontal="right" vertical="top" readingOrder="1"/>
      <protection locked="0"/>
    </xf>
    <xf numFmtId="0" fontId="49" fillId="0" borderId="0" xfId="0" applyFont="1" applyAlignment="1" applyProtection="1">
      <alignment horizontal="left" vertical="top" wrapText="1" readingOrder="1"/>
      <protection locked="0"/>
    </xf>
    <xf numFmtId="176" fontId="49" fillId="0" borderId="0" xfId="0" applyNumberFormat="1" applyFont="1" applyAlignment="1" applyProtection="1">
      <alignment horizontal="right" vertical="top" wrapText="1" readingOrder="1"/>
      <protection locked="0"/>
    </xf>
    <xf numFmtId="177" fontId="49" fillId="0" borderId="0" xfId="0" applyNumberFormat="1" applyFont="1" applyAlignment="1" applyProtection="1">
      <alignment horizontal="right" vertical="top" wrapText="1" readingOrder="1"/>
      <protection locked="0"/>
    </xf>
    <xf numFmtId="0" fontId="47" fillId="18" borderId="0" xfId="0" applyFont="1" applyFill="1" applyAlignment="1" applyProtection="1">
      <alignment vertical="top" readingOrder="1"/>
      <protection locked="0"/>
    </xf>
    <xf numFmtId="174" fontId="49" fillId="18" borderId="72" xfId="0" applyNumberFormat="1" applyFont="1" applyFill="1" applyBorder="1" applyAlignment="1" applyProtection="1">
      <alignment vertical="top" readingOrder="1"/>
      <protection locked="0"/>
    </xf>
    <xf numFmtId="0" fontId="49" fillId="18" borderId="0" xfId="0" applyFont="1" applyFill="1" applyAlignment="1" applyProtection="1">
      <alignment vertical="top" readingOrder="1"/>
      <protection locked="0"/>
    </xf>
    <xf numFmtId="176" fontId="49" fillId="18" borderId="72" xfId="0" applyNumberFormat="1" applyFont="1" applyFill="1" applyBorder="1" applyAlignment="1" applyProtection="1">
      <alignment vertical="top" readingOrder="1"/>
      <protection locked="0"/>
    </xf>
    <xf numFmtId="0" fontId="49" fillId="0" borderId="0" xfId="0" applyFont="1" applyAlignment="1" applyProtection="1">
      <alignment horizontal="center" vertical="top" wrapText="1" readingOrder="1"/>
      <protection locked="0"/>
    </xf>
    <xf numFmtId="176" fontId="49" fillId="0" borderId="0" xfId="0" applyNumberFormat="1" applyFont="1" applyAlignment="1" applyProtection="1">
      <alignment horizontal="center" vertical="top" wrapText="1" readingOrder="1"/>
      <protection locked="0"/>
    </xf>
    <xf numFmtId="0" fontId="49" fillId="5" borderId="0" xfId="0" applyFont="1" applyFill="1" applyAlignment="1" applyProtection="1">
      <alignment horizontal="left" vertical="top" wrapText="1" readingOrder="1"/>
      <protection locked="0"/>
    </xf>
    <xf numFmtId="176" fontId="49" fillId="5" borderId="0" xfId="0" applyNumberFormat="1" applyFont="1" applyFill="1" applyAlignment="1" applyProtection="1">
      <alignment horizontal="right" vertical="top" wrapText="1" readingOrder="1"/>
      <protection locked="0"/>
    </xf>
    <xf numFmtId="173" fontId="49" fillId="5" borderId="0" xfId="0" applyNumberFormat="1" applyFont="1" applyFill="1" applyAlignment="1" applyProtection="1">
      <alignment horizontal="right" vertical="top" wrapText="1" readingOrder="1"/>
      <protection locked="0"/>
    </xf>
    <xf numFmtId="0" fontId="47" fillId="0" borderId="0" xfId="0" applyFont="1" applyAlignment="1" applyProtection="1">
      <alignment vertical="top" wrapText="1" readingOrder="1"/>
      <protection locked="0"/>
    </xf>
    <xf numFmtId="0" fontId="47" fillId="0" borderId="0" xfId="0" applyFont="1" applyAlignment="1" applyProtection="1">
      <alignment horizontal="center" vertical="top" wrapText="1" readingOrder="1"/>
      <protection locked="0"/>
    </xf>
    <xf numFmtId="174" fontId="49" fillId="18" borderId="0" xfId="0" applyNumberFormat="1" applyFont="1" applyFill="1" applyAlignment="1" applyProtection="1">
      <alignment vertical="top" readingOrder="1"/>
      <protection locked="0"/>
    </xf>
    <xf numFmtId="176" fontId="49" fillId="18" borderId="0" xfId="0" applyNumberFormat="1" applyFont="1" applyFill="1" applyAlignment="1" applyProtection="1">
      <alignment vertical="top" readingOrder="1"/>
      <protection locked="0"/>
    </xf>
    <xf numFmtId="0" fontId="47" fillId="0" borderId="0" xfId="0" applyFont="1" applyAlignment="1" applyProtection="1">
      <alignment vertical="top" readingOrder="1"/>
      <protection locked="0"/>
    </xf>
    <xf numFmtId="10" fontId="33" fillId="2" borderId="81" xfId="0" applyNumberFormat="1" applyFont="1" applyFill="1" applyBorder="1" applyAlignment="1">
      <alignment horizontal="left" vertical="center"/>
    </xf>
    <xf numFmtId="2" fontId="39" fillId="2" borderId="82" xfId="0" applyNumberFormat="1" applyFont="1" applyFill="1" applyBorder="1" applyAlignment="1">
      <alignment horizontal="center" vertical="center"/>
    </xf>
    <xf numFmtId="2" fontId="39" fillId="2" borderId="34" xfId="0" applyNumberFormat="1" applyFont="1" applyFill="1" applyBorder="1" applyAlignment="1">
      <alignment horizontal="center" vertical="center"/>
    </xf>
    <xf numFmtId="2" fontId="39" fillId="2" borderId="81" xfId="0" applyNumberFormat="1" applyFont="1" applyFill="1" applyBorder="1" applyAlignment="1">
      <alignment horizontal="center" vertical="center"/>
    </xf>
    <xf numFmtId="172" fontId="4" fillId="0" borderId="12" xfId="2" applyNumberFormat="1" applyFont="1" applyBorder="1" applyAlignment="1">
      <alignment horizontal="center"/>
    </xf>
    <xf numFmtId="172" fontId="4" fillId="0" borderId="14" xfId="3" applyNumberFormat="1" applyFont="1" applyBorder="1" applyAlignment="1">
      <alignment horizontal="center" wrapText="1"/>
    </xf>
    <xf numFmtId="172" fontId="4" fillId="0" borderId="15" xfId="2" applyNumberFormat="1" applyFont="1" applyBorder="1" applyAlignment="1">
      <alignment horizontal="center"/>
    </xf>
    <xf numFmtId="172" fontId="2" fillId="0" borderId="0" xfId="2" applyNumberFormat="1" applyFont="1" applyBorder="1" applyAlignment="1">
      <alignment horizontal="center"/>
    </xf>
    <xf numFmtId="0" fontId="32" fillId="12" borderId="84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24" xfId="0" applyFont="1" applyFill="1" applyBorder="1" applyAlignment="1">
      <alignment horizontal="center" vertical="center"/>
    </xf>
    <xf numFmtId="2" fontId="34" fillId="2" borderId="85" xfId="0" applyNumberFormat="1" applyFont="1" applyFill="1" applyBorder="1" applyAlignment="1">
      <alignment horizontal="center" vertical="center"/>
    </xf>
    <xf numFmtId="2" fontId="39" fillId="2" borderId="35" xfId="0" applyNumberFormat="1" applyFont="1" applyFill="1" applyBorder="1" applyAlignment="1">
      <alignment horizontal="center" vertical="center"/>
    </xf>
    <xf numFmtId="178" fontId="2" fillId="0" borderId="57" xfId="1" applyNumberFormat="1" applyFont="1" applyBorder="1" applyAlignment="1">
      <alignment horizontal="center" vertical="center"/>
    </xf>
    <xf numFmtId="3" fontId="2" fillId="8" borderId="2" xfId="2" applyNumberFormat="1" applyFont="1" applyFill="1" applyBorder="1" applyAlignment="1">
      <alignment horizontal="center"/>
    </xf>
    <xf numFmtId="10" fontId="2" fillId="8" borderId="0" xfId="3" applyNumberFormat="1" applyFont="1" applyFill="1" applyAlignment="1">
      <alignment horizontal="center"/>
    </xf>
    <xf numFmtId="10" fontId="2" fillId="8" borderId="1" xfId="3" applyNumberFormat="1" applyFont="1" applyFill="1" applyBorder="1" applyAlignment="1">
      <alignment horizontal="center"/>
    </xf>
    <xf numFmtId="2" fontId="39" fillId="8" borderId="83" xfId="0" applyNumberFormat="1" applyFont="1" applyFill="1" applyBorder="1" applyAlignment="1">
      <alignment horizontal="center" vertical="center"/>
    </xf>
    <xf numFmtId="10" fontId="47" fillId="0" borderId="71" xfId="5" applyNumberFormat="1" applyFont="1" applyBorder="1" applyAlignment="1" applyProtection="1">
      <alignment horizontal="center" wrapText="1" readingOrder="1"/>
      <protection locked="0"/>
    </xf>
    <xf numFmtId="10" fontId="49" fillId="5" borderId="0" xfId="5" applyNumberFormat="1" applyFont="1" applyFill="1" applyAlignment="1" applyProtection="1">
      <alignment horizontal="center" vertical="top" wrapText="1" readingOrder="1"/>
      <protection locked="0"/>
    </xf>
    <xf numFmtId="10" fontId="49" fillId="0" borderId="0" xfId="5" applyNumberFormat="1" applyFont="1" applyFill="1" applyAlignment="1" applyProtection="1">
      <alignment horizontal="center" vertical="top" wrapText="1" readingOrder="1"/>
      <protection locked="0"/>
    </xf>
    <xf numFmtId="10" fontId="49" fillId="0" borderId="0" xfId="5" applyNumberFormat="1" applyFont="1" applyAlignment="1" applyProtection="1">
      <alignment horizontal="center" vertical="top" wrapText="1" readingOrder="1"/>
      <protection locked="0"/>
    </xf>
    <xf numFmtId="14" fontId="0" fillId="0" borderId="0" xfId="0" applyNumberFormat="1"/>
    <xf numFmtId="2" fontId="0" fillId="0" borderId="0" xfId="0" applyNumberFormat="1"/>
    <xf numFmtId="17" fontId="0" fillId="0" borderId="0" xfId="0" applyNumberFormat="1"/>
    <xf numFmtId="9" fontId="0" fillId="0" borderId="0" xfId="0" applyNumberFormat="1"/>
    <xf numFmtId="179" fontId="0" fillId="0" borderId="0" xfId="0" applyNumberFormat="1"/>
    <xf numFmtId="0" fontId="20" fillId="0" borderId="65" xfId="3" applyNumberFormat="1" applyFont="1" applyBorder="1" applyAlignment="1">
      <alignment horizontal="left"/>
    </xf>
    <xf numFmtId="10" fontId="20" fillId="0" borderId="66" xfId="3" applyNumberFormat="1" applyFont="1" applyBorder="1" applyAlignment="1">
      <alignment horizontal="center"/>
    </xf>
    <xf numFmtId="0" fontId="20" fillId="0" borderId="69" xfId="3" applyNumberFormat="1" applyFont="1" applyBorder="1" applyAlignment="1">
      <alignment horizontal="left" vertical="center"/>
    </xf>
    <xf numFmtId="10" fontId="20" fillId="0" borderId="70" xfId="3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13" fillId="2" borderId="21" xfId="0" applyFont="1" applyFill="1" applyBorder="1"/>
    <xf numFmtId="0" fontId="1" fillId="2" borderId="36" xfId="0" applyFont="1" applyFill="1" applyBorder="1" applyAlignment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3" fillId="2" borderId="39" xfId="0" applyFont="1" applyFill="1" applyBorder="1"/>
    <xf numFmtId="0" fontId="13" fillId="2" borderId="40" xfId="0" applyFont="1" applyFill="1" applyBorder="1"/>
    <xf numFmtId="0" fontId="14" fillId="2" borderId="41" xfId="0" applyFont="1" applyFill="1" applyBorder="1" applyAlignment="1">
      <alignment vertical="center"/>
    </xf>
    <xf numFmtId="0" fontId="13" fillId="2" borderId="41" xfId="0" applyFont="1" applyFill="1" applyBorder="1"/>
    <xf numFmtId="0" fontId="1" fillId="2" borderId="41" xfId="0" applyFont="1" applyFill="1" applyBorder="1" applyAlignment="1">
      <alignment horizontal="right" vertical="center"/>
    </xf>
    <xf numFmtId="17" fontId="13" fillId="2" borderId="0" xfId="0" applyNumberFormat="1" applyFont="1" applyFill="1" applyAlignment="1">
      <alignment vertical="center"/>
    </xf>
    <xf numFmtId="10" fontId="13" fillId="2" borderId="0" xfId="3" applyNumberFormat="1" applyFont="1" applyFill="1" applyAlignment="1">
      <alignment horizontal="center" vertical="center"/>
    </xf>
    <xf numFmtId="17" fontId="1" fillId="2" borderId="0" xfId="0" applyNumberFormat="1" applyFont="1" applyFill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43" xfId="0" applyFont="1" applyFill="1" applyBorder="1"/>
    <xf numFmtId="10" fontId="8" fillId="3" borderId="7" xfId="3" applyNumberFormat="1" applyFont="1" applyFill="1" applyBorder="1" applyAlignment="1">
      <alignment horizontal="center" vertical="center"/>
    </xf>
    <xf numFmtId="10" fontId="13" fillId="2" borderId="7" xfId="3" applyNumberFormat="1" applyFont="1" applyFill="1" applyBorder="1" applyAlignment="1">
      <alignment horizontal="center" vertical="center"/>
    </xf>
    <xf numFmtId="10" fontId="13" fillId="0" borderId="7" xfId="3" applyNumberFormat="1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4" fontId="1" fillId="2" borderId="0" xfId="2" applyFont="1" applyFill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0" fontId="13" fillId="2" borderId="40" xfId="0" applyFont="1" applyFill="1" applyBorder="1" applyAlignment="1">
      <alignment vertical="center"/>
    </xf>
    <xf numFmtId="0" fontId="13" fillId="2" borderId="42" xfId="0" applyFont="1" applyFill="1" applyBorder="1"/>
    <xf numFmtId="0" fontId="14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43" xfId="0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10" fontId="14" fillId="2" borderId="0" xfId="3" applyNumberFormat="1" applyFont="1" applyFill="1" applyAlignment="1">
      <alignment vertical="center"/>
    </xf>
    <xf numFmtId="1" fontId="0" fillId="0" borderId="0" xfId="0" applyNumberFormat="1"/>
    <xf numFmtId="170" fontId="0" fillId="0" borderId="0" xfId="1" applyNumberFormat="1" applyFont="1"/>
    <xf numFmtId="168" fontId="0" fillId="0" borderId="0" xfId="3" applyNumberFormat="1" applyFont="1"/>
    <xf numFmtId="10" fontId="0" fillId="0" borderId="0" xfId="0" applyNumberFormat="1"/>
    <xf numFmtId="4" fontId="3" fillId="0" borderId="0" xfId="0" applyNumberFormat="1" applyFont="1"/>
    <xf numFmtId="2" fontId="34" fillId="8" borderId="85" xfId="0" applyNumberFormat="1" applyFont="1" applyFill="1" applyBorder="1" applyAlignment="1">
      <alignment horizontal="center" vertical="center"/>
    </xf>
    <xf numFmtId="0" fontId="47" fillId="0" borderId="0" xfId="0" applyFont="1" applyAlignment="1" applyProtection="1">
      <alignment horizontal="center" vertical="top" readingOrder="1"/>
      <protection locked="0"/>
    </xf>
    <xf numFmtId="173" fontId="49" fillId="19" borderId="0" xfId="0" applyNumberFormat="1" applyFont="1" applyFill="1" applyAlignment="1" applyProtection="1">
      <alignment horizontal="right" vertical="top" wrapText="1" readingOrder="1"/>
      <protection locked="0"/>
    </xf>
    <xf numFmtId="10" fontId="49" fillId="19" borderId="0" xfId="5" applyNumberFormat="1" applyFont="1" applyFill="1" applyAlignment="1" applyProtection="1">
      <alignment horizontal="right" vertical="top" wrapText="1" readingOrder="1"/>
      <protection locked="0"/>
    </xf>
    <xf numFmtId="0" fontId="10" fillId="3" borderId="44" xfId="0" applyFont="1" applyFill="1" applyBorder="1" applyAlignment="1">
      <alignment horizontal="left" vertical="center"/>
    </xf>
    <xf numFmtId="0" fontId="10" fillId="3" borderId="46" xfId="0" applyFont="1" applyFill="1" applyBorder="1" applyAlignment="1">
      <alignment horizontal="left" vertical="center"/>
    </xf>
    <xf numFmtId="10" fontId="20" fillId="2" borderId="68" xfId="3" applyNumberFormat="1" applyFont="1" applyFill="1" applyBorder="1" applyAlignment="1">
      <alignment horizontal="center"/>
    </xf>
    <xf numFmtId="168" fontId="2" fillId="2" borderId="26" xfId="3" applyNumberFormat="1" applyFont="1" applyFill="1" applyBorder="1" applyAlignment="1">
      <alignment horizontal="center" vertical="center"/>
    </xf>
    <xf numFmtId="44" fontId="2" fillId="2" borderId="7" xfId="2" applyNumberFormat="1" applyFont="1" applyFill="1" applyBorder="1" applyAlignment="1">
      <alignment horizontal="center" vertical="center"/>
    </xf>
    <xf numFmtId="164" fontId="2" fillId="2" borderId="26" xfId="2" applyFont="1" applyFill="1" applyBorder="1" applyAlignment="1">
      <alignment horizontal="center" vertical="center"/>
    </xf>
    <xf numFmtId="178" fontId="2" fillId="2" borderId="56" xfId="1" applyNumberFormat="1" applyFont="1" applyFill="1" applyBorder="1" applyAlignment="1">
      <alignment horizontal="center" vertical="center"/>
    </xf>
    <xf numFmtId="10" fontId="49" fillId="0" borderId="0" xfId="5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Alignment="1" applyProtection="1">
      <alignment vertical="top"/>
      <protection locked="0"/>
    </xf>
    <xf numFmtId="14" fontId="17" fillId="15" borderId="10" xfId="3" applyNumberFormat="1" applyFont="1" applyFill="1" applyBorder="1" applyAlignment="1">
      <alignment horizontal="center" vertical="center" wrapText="1"/>
    </xf>
    <xf numFmtId="14" fontId="17" fillId="15" borderId="8" xfId="3" applyNumberFormat="1" applyFont="1" applyFill="1" applyBorder="1" applyAlignment="1">
      <alignment horizontal="center" vertical="center" wrapText="1"/>
    </xf>
    <xf numFmtId="0" fontId="10" fillId="3" borderId="44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left" vertical="center"/>
    </xf>
    <xf numFmtId="0" fontId="10" fillId="3" borderId="45" xfId="0" applyFont="1" applyFill="1" applyBorder="1" applyAlignment="1">
      <alignment horizontal="left" vertical="center"/>
    </xf>
    <xf numFmtId="0" fontId="10" fillId="3" borderId="46" xfId="0" applyFont="1" applyFill="1" applyBorder="1" applyAlignment="1">
      <alignment horizontal="left" vertical="center"/>
    </xf>
    <xf numFmtId="166" fontId="19" fillId="5" borderId="2" xfId="2" applyNumberFormat="1" applyFont="1" applyFill="1" applyBorder="1" applyAlignment="1">
      <alignment horizontal="center"/>
    </xf>
    <xf numFmtId="166" fontId="19" fillId="5" borderId="0" xfId="2" applyNumberFormat="1" applyFont="1" applyFill="1" applyAlignment="1">
      <alignment horizontal="center"/>
    </xf>
    <xf numFmtId="0" fontId="22" fillId="16" borderId="7" xfId="0" applyFont="1" applyFill="1" applyBorder="1" applyAlignment="1">
      <alignment horizontal="center" wrapText="1"/>
    </xf>
    <xf numFmtId="10" fontId="12" fillId="9" borderId="2" xfId="3" applyNumberFormat="1" applyFont="1" applyFill="1" applyBorder="1" applyAlignment="1">
      <alignment horizontal="center"/>
    </xf>
    <xf numFmtId="10" fontId="12" fillId="9" borderId="0" xfId="3" applyNumberFormat="1" applyFont="1" applyFill="1" applyAlignment="1">
      <alignment horizontal="center"/>
    </xf>
    <xf numFmtId="166" fontId="12" fillId="9" borderId="2" xfId="2" applyNumberFormat="1" applyFont="1" applyFill="1" applyBorder="1" applyAlignment="1">
      <alignment horizontal="center"/>
    </xf>
    <xf numFmtId="166" fontId="12" fillId="9" borderId="0" xfId="2" applyNumberFormat="1" applyFont="1" applyFill="1" applyAlignment="1">
      <alignment horizontal="center"/>
    </xf>
    <xf numFmtId="166" fontId="12" fillId="9" borderId="1" xfId="2" applyNumberFormat="1" applyFont="1" applyFill="1" applyBorder="1" applyAlignment="1">
      <alignment horizontal="center"/>
    </xf>
    <xf numFmtId="15" fontId="10" fillId="5" borderId="7" xfId="3" applyNumberFormat="1" applyFont="1" applyFill="1" applyBorder="1" applyAlignment="1">
      <alignment horizontal="center" vertical="center"/>
    </xf>
    <xf numFmtId="10" fontId="10" fillId="5" borderId="7" xfId="3" applyNumberFormat="1" applyFont="1" applyFill="1" applyBorder="1" applyAlignment="1">
      <alignment horizontal="center" vertical="center"/>
    </xf>
    <xf numFmtId="10" fontId="10" fillId="0" borderId="10" xfId="3" applyNumberFormat="1" applyFont="1" applyBorder="1" applyAlignment="1">
      <alignment horizontal="center" vertical="center"/>
    </xf>
    <xf numFmtId="10" fontId="10" fillId="0" borderId="9" xfId="3" applyNumberFormat="1" applyFont="1" applyBorder="1" applyAlignment="1">
      <alignment horizontal="center" vertical="center"/>
    </xf>
    <xf numFmtId="10" fontId="10" fillId="0" borderId="8" xfId="3" applyNumberFormat="1" applyFont="1" applyBorder="1" applyAlignment="1">
      <alignment horizontal="center" vertical="center"/>
    </xf>
    <xf numFmtId="171" fontId="10" fillId="5" borderId="10" xfId="3" applyNumberFormat="1" applyFont="1" applyFill="1" applyBorder="1" applyAlignment="1">
      <alignment horizontal="center" vertical="center"/>
    </xf>
    <xf numFmtId="171" fontId="10" fillId="5" borderId="9" xfId="3" applyNumberFormat="1" applyFont="1" applyFill="1" applyBorder="1" applyAlignment="1">
      <alignment horizontal="center" vertical="center"/>
    </xf>
    <xf numFmtId="171" fontId="10" fillId="5" borderId="8" xfId="3" applyNumberFormat="1" applyFont="1" applyFill="1" applyBorder="1" applyAlignment="1">
      <alignment horizontal="center" vertical="center"/>
    </xf>
    <xf numFmtId="0" fontId="29" fillId="6" borderId="44" xfId="0" applyFont="1" applyFill="1" applyBorder="1" applyAlignment="1">
      <alignment horizontal="center"/>
    </xf>
    <xf numFmtId="0" fontId="29" fillId="6" borderId="45" xfId="0" applyFont="1" applyFill="1" applyBorder="1" applyAlignment="1">
      <alignment horizontal="center"/>
    </xf>
    <xf numFmtId="0" fontId="29" fillId="6" borderId="46" xfId="0" applyFont="1" applyFill="1" applyBorder="1" applyAlignment="1">
      <alignment horizontal="center"/>
    </xf>
    <xf numFmtId="0" fontId="29" fillId="6" borderId="21" xfId="0" applyFont="1" applyFill="1" applyBorder="1" applyAlignment="1">
      <alignment horizontal="center"/>
    </xf>
    <xf numFmtId="0" fontId="29" fillId="6" borderId="36" xfId="0" applyFont="1" applyFill="1" applyBorder="1" applyAlignment="1">
      <alignment horizontal="center"/>
    </xf>
    <xf numFmtId="0" fontId="29" fillId="6" borderId="39" xfId="0" applyFont="1" applyFill="1" applyBorder="1" applyAlignment="1">
      <alignment horizontal="center"/>
    </xf>
    <xf numFmtId="0" fontId="30" fillId="0" borderId="21" xfId="0" applyFont="1" applyBorder="1" applyAlignment="1">
      <alignment horizontal="center" vertical="center" wrapText="1" readingOrder="1"/>
    </xf>
    <xf numFmtId="0" fontId="30" fillId="0" borderId="25" xfId="0" applyFont="1" applyBorder="1" applyAlignment="1">
      <alignment horizontal="center" vertical="center" wrapText="1" readingOrder="1"/>
    </xf>
    <xf numFmtId="15" fontId="31" fillId="2" borderId="22" xfId="0" applyNumberFormat="1" applyFont="1" applyFill="1" applyBorder="1" applyAlignment="1">
      <alignment horizontal="center" vertical="center"/>
    </xf>
    <xf numFmtId="15" fontId="31" fillId="2" borderId="13" xfId="0" applyNumberFormat="1" applyFont="1" applyFill="1" applyBorder="1" applyAlignment="1">
      <alignment horizontal="center" vertical="center"/>
    </xf>
    <xf numFmtId="0" fontId="30" fillId="0" borderId="54" xfId="0" applyFont="1" applyBorder="1" applyAlignment="1">
      <alignment horizontal="left" vertical="center" wrapText="1" readingOrder="1"/>
    </xf>
    <xf numFmtId="0" fontId="30" fillId="0" borderId="51" xfId="0" applyFont="1" applyBorder="1" applyAlignment="1">
      <alignment horizontal="left" vertical="center" wrapText="1" readingOrder="1"/>
    </xf>
    <xf numFmtId="0" fontId="30" fillId="0" borderId="55" xfId="0" applyFont="1" applyBorder="1" applyAlignment="1">
      <alignment horizontal="left" vertical="center" wrapText="1" readingOrder="1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4000000}"/>
    <cellStyle name="Percent" xfId="3" builtinId="5"/>
    <cellStyle name="Percent 2" xfId="5" xr:uid="{00000000-0005-0000-0000-000006000000}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72887</xdr:rowOff>
    </xdr:from>
    <xdr:to>
      <xdr:col>22</xdr:col>
      <xdr:colOff>134105</xdr:colOff>
      <xdr:row>17</xdr:row>
      <xdr:rowOff>19878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38AAA2-9E63-487E-A0D4-6F50CBB35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5340" y="255767"/>
          <a:ext cx="9902946" cy="2819731"/>
        </a:xfrm>
        <a:prstGeom prst="rect">
          <a:avLst/>
        </a:prstGeom>
      </xdr:spPr>
    </xdr:pic>
    <xdr:clientData/>
  </xdr:twoCellAnchor>
  <xdr:twoCellAnchor editAs="oneCell">
    <xdr:from>
      <xdr:col>6</xdr:col>
      <xdr:colOff>59634</xdr:colOff>
      <xdr:row>17</xdr:row>
      <xdr:rowOff>46383</xdr:rowOff>
    </xdr:from>
    <xdr:to>
      <xdr:col>20</xdr:col>
      <xdr:colOff>380994</xdr:colOff>
      <xdr:row>24</xdr:row>
      <xdr:rowOff>49051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78DDC6-51EB-4064-8A7D-764C5141D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4974" y="3102003"/>
          <a:ext cx="8871001" cy="12980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F0D2B6E8-0083-4485-A417-C2D1DC740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992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17E1A16E-839B-453E-949E-9C44DDD35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992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1211580</xdr:colOff>
      <xdr:row>0</xdr:row>
      <xdr:rowOff>480060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844AF5F8-2278-46F0-8D98-13C28540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297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8FB8E169-6558-4F31-B64F-10C7CE72A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992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1211580</xdr:colOff>
      <xdr:row>0</xdr:row>
      <xdr:rowOff>480060</xdr:rowOff>
    </xdr:to>
    <xdr:pic>
      <xdr:nvPicPr>
        <xdr:cNvPr id="6" name="Picture 0">
          <a:extLst>
            <a:ext uri="{FF2B5EF4-FFF2-40B4-BE49-F238E27FC236}">
              <a16:creationId xmlns:a16="http://schemas.microsoft.com/office/drawing/2014/main" id="{8FB27EF4-FDA5-4F5D-B575-00855916D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297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9E8E777B-9230-44B9-97AE-7706E179A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992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1211580</xdr:colOff>
      <xdr:row>0</xdr:row>
      <xdr:rowOff>480060</xdr:rowOff>
    </xdr:to>
    <xdr:pic>
      <xdr:nvPicPr>
        <xdr:cNvPr id="8" name="Picture 0">
          <a:extLst>
            <a:ext uri="{FF2B5EF4-FFF2-40B4-BE49-F238E27FC236}">
              <a16:creationId xmlns:a16="http://schemas.microsoft.com/office/drawing/2014/main" id="{959427F8-3972-4449-940E-FB8619DEB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297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1211580</xdr:colOff>
      <xdr:row>0</xdr:row>
      <xdr:rowOff>480060</xdr:rowOff>
    </xdr:to>
    <xdr:pic>
      <xdr:nvPicPr>
        <xdr:cNvPr id="9" name="Picture 0">
          <a:extLst>
            <a:ext uri="{FF2B5EF4-FFF2-40B4-BE49-F238E27FC236}">
              <a16:creationId xmlns:a16="http://schemas.microsoft.com/office/drawing/2014/main" id="{5269C0D8-F3B4-4638-B7ED-B81AF0236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297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1-Q1\Rational%20Trend%20Aggregation%20VA%20Fund\FACT%20SHEET%20BACKUP%20DATA%20-%20TREND%20AGGREGATION%20VA%2003-3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ATA"/>
      <sheetName val="Fact Sheet"/>
      <sheetName val="VHAD"/>
    </sheetNames>
    <sheetDataSet>
      <sheetData sheetId="0">
        <row r="2">
          <cell r="C2">
            <v>44286</v>
          </cell>
        </row>
        <row r="7">
          <cell r="B7" t="str">
            <v>SPDR S&amp;P 500 ETF Trust</v>
          </cell>
          <cell r="C7">
            <v>0.19334001612813612</v>
          </cell>
        </row>
        <row r="8">
          <cell r="B8" t="str">
            <v>iShares Core S&amp;P 500 ETF</v>
          </cell>
          <cell r="C8">
            <v>6.8046825082851745E-2</v>
          </cell>
        </row>
        <row r="9">
          <cell r="B9" t="str">
            <v>ProShares VIX Short-Term Futur</v>
          </cell>
          <cell r="C9">
            <v>3.165145790366844E-2</v>
          </cell>
        </row>
        <row r="10">
          <cell r="B10" t="str">
            <v>Cash and Equivalents</v>
          </cell>
          <cell r="C10">
            <v>1.9735237613578652E-2</v>
          </cell>
        </row>
        <row r="11">
          <cell r="B11" t="str">
            <v>Walgreens Boots Alliance Inc</v>
          </cell>
          <cell r="C11">
            <v>1.4389722022983348E-2</v>
          </cell>
        </row>
        <row r="12">
          <cell r="B12" t="str">
            <v>VEON Ltd</v>
          </cell>
          <cell r="C12">
            <v>1.4371915289714921E-2</v>
          </cell>
        </row>
        <row r="13">
          <cell r="B13" t="str">
            <v>H&amp;R Block Inc</v>
          </cell>
          <cell r="C13">
            <v>1.4248321283783482E-2</v>
          </cell>
        </row>
        <row r="14">
          <cell r="B14" t="str">
            <v>American Airlines Group Inc</v>
          </cell>
          <cell r="C14">
            <v>1.4218094192653531E-2</v>
          </cell>
        </row>
        <row r="15">
          <cell r="B15" t="str">
            <v>NVIDIA Corp</v>
          </cell>
          <cell r="C15">
            <v>1.4146939368590562E-2</v>
          </cell>
        </row>
        <row r="16">
          <cell r="B16" t="str">
            <v>CenterPoint Energy Inc</v>
          </cell>
          <cell r="C16">
            <v>1.4063206553014683E-2</v>
          </cell>
        </row>
        <row r="20">
          <cell r="B20" t="str">
            <v>ETF/ETN</v>
          </cell>
          <cell r="C20">
            <v>0.29955059803088202</v>
          </cell>
        </row>
        <row r="21">
          <cell r="B21" t="str">
            <v>Industrials</v>
          </cell>
          <cell r="C21">
            <v>0.14741626321004378</v>
          </cell>
        </row>
        <row r="22">
          <cell r="B22" t="str">
            <v>Communication Services</v>
          </cell>
          <cell r="C22">
            <v>8.1567385337265208E-2</v>
          </cell>
        </row>
        <row r="23">
          <cell r="B23" t="str">
            <v>Financials</v>
          </cell>
          <cell r="C23">
            <v>7.9976350323899936E-2</v>
          </cell>
        </row>
        <row r="24">
          <cell r="B24" t="str">
            <v>Information Technology</v>
          </cell>
          <cell r="C24">
            <v>6.8906366167825917E-2</v>
          </cell>
        </row>
        <row r="25">
          <cell r="B25" t="str">
            <v>Consumer Discretionary</v>
          </cell>
          <cell r="C25">
            <v>6.852606827604453E-2</v>
          </cell>
        </row>
        <row r="26">
          <cell r="B26" t="str">
            <v>Real Estate</v>
          </cell>
          <cell r="C26">
            <v>6.677791527456868E-2</v>
          </cell>
        </row>
        <row r="27">
          <cell r="B27" t="str">
            <v>Health Care</v>
          </cell>
          <cell r="C27">
            <v>5.4382834136738389E-2</v>
          </cell>
        </row>
        <row r="28">
          <cell r="B28" t="str">
            <v>Consumer Staples</v>
          </cell>
          <cell r="C28">
            <v>4.1064527918774366E-2</v>
          </cell>
        </row>
        <row r="29">
          <cell r="B29" t="str">
            <v>Energy</v>
          </cell>
          <cell r="C29">
            <v>3.0857514218069038E-2</v>
          </cell>
        </row>
        <row r="30">
          <cell r="B30" t="str">
            <v>Materials</v>
          </cell>
          <cell r="C30">
            <v>2.717573293929482E-2</v>
          </cell>
        </row>
        <row r="31">
          <cell r="B31" t="str">
            <v>Cash</v>
          </cell>
          <cell r="C31">
            <v>1.9735237613578652E-2</v>
          </cell>
        </row>
        <row r="32">
          <cell r="B32" t="str">
            <v>Utilities</v>
          </cell>
          <cell r="C32">
            <v>1.4063206553014683E-2</v>
          </cell>
        </row>
        <row r="33">
          <cell r="B33" t="str">
            <v>Futures</v>
          </cell>
          <cell r="C33">
            <v>0</v>
          </cell>
        </row>
        <row r="37">
          <cell r="C37">
            <v>56</v>
          </cell>
          <cell r="D37">
            <v>505</v>
          </cell>
        </row>
        <row r="38">
          <cell r="C38">
            <v>0.3982</v>
          </cell>
          <cell r="D38">
            <v>0.26300000000000001</v>
          </cell>
        </row>
        <row r="39">
          <cell r="C39">
            <v>42520.824754266381</v>
          </cell>
          <cell r="D39">
            <v>29132.67</v>
          </cell>
        </row>
        <row r="40">
          <cell r="C40">
            <v>74.78665104362166</v>
          </cell>
          <cell r="D40">
            <v>39.9</v>
          </cell>
        </row>
      </sheetData>
      <sheetData sheetId="1">
        <row r="1">
          <cell r="V1" t="str">
            <v>Strategy Change Cumulative $</v>
          </cell>
        </row>
        <row r="2">
          <cell r="C2" t="str">
            <v>VHAD</v>
          </cell>
          <cell r="V2" t="str">
            <v>VHAD</v>
          </cell>
          <cell r="W2" t="str">
            <v>SP500</v>
          </cell>
          <cell r="X2" t="str">
            <v>SP500V</v>
          </cell>
        </row>
        <row r="3">
          <cell r="U3">
            <v>43404</v>
          </cell>
          <cell r="V3">
            <v>10000</v>
          </cell>
          <cell r="W3">
            <v>10000</v>
          </cell>
          <cell r="X3">
            <v>10000</v>
          </cell>
        </row>
        <row r="4">
          <cell r="U4">
            <v>43434</v>
          </cell>
          <cell r="V4">
            <v>10163.654049134955</v>
          </cell>
          <cell r="W4">
            <v>10203.780992235763</v>
          </cell>
          <cell r="X4">
            <v>10263.346419300409</v>
          </cell>
        </row>
        <row r="5">
          <cell r="U5">
            <v>43465</v>
          </cell>
          <cell r="V5">
            <v>9682.7531618525918</v>
          </cell>
          <cell r="W5">
            <v>9282.4830663619832</v>
          </cell>
          <cell r="X5">
            <v>9290.6571187900445</v>
          </cell>
        </row>
        <row r="6">
          <cell r="C6">
            <v>44286</v>
          </cell>
          <cell r="U6">
            <v>43496</v>
          </cell>
          <cell r="V6">
            <v>10070.425022722342</v>
          </cell>
          <cell r="W6">
            <v>10026.333972127706</v>
          </cell>
          <cell r="X6">
            <v>10087.215404801955</v>
          </cell>
        </row>
        <row r="7">
          <cell r="U7">
            <v>43524</v>
          </cell>
          <cell r="V7">
            <v>10295.813961261298</v>
          </cell>
          <cell r="W7">
            <v>10348.26398782752</v>
          </cell>
          <cell r="X7">
            <v>10313.93838941614</v>
          </cell>
        </row>
        <row r="8">
          <cell r="U8">
            <v>43555</v>
          </cell>
          <cell r="V8">
            <v>10223.687373973125</v>
          </cell>
          <cell r="W8">
            <v>10549.344537376919</v>
          </cell>
          <cell r="X8">
            <v>10423.576073672773</v>
          </cell>
        </row>
        <row r="9">
          <cell r="B9" t="str">
            <v>Total Months</v>
          </cell>
          <cell r="C9">
            <v>233.93548387096774</v>
          </cell>
          <cell r="D9">
            <v>233.93548387096774</v>
          </cell>
          <cell r="E9">
            <v>233.93548387096774</v>
          </cell>
          <cell r="U9">
            <v>43585</v>
          </cell>
          <cell r="V9">
            <v>10449.080110647274</v>
          </cell>
          <cell r="W9">
            <v>10976.480075388909</v>
          </cell>
          <cell r="X9">
            <v>10853.542572638846</v>
          </cell>
        </row>
        <row r="10">
          <cell r="B10" t="str">
            <v>Total Months Since Strategy Change</v>
          </cell>
          <cell r="C10">
            <v>29</v>
          </cell>
          <cell r="D10">
            <v>29</v>
          </cell>
          <cell r="E10">
            <v>29</v>
          </cell>
          <cell r="U10">
            <v>43616</v>
          </cell>
          <cell r="V10">
            <v>9935.1886210908142</v>
          </cell>
          <cell r="W10">
            <v>10278.946417629977</v>
          </cell>
          <cell r="X10">
            <v>10031.573882885954</v>
          </cell>
        </row>
        <row r="11">
          <cell r="B11" t="str">
            <v>Inception*</v>
          </cell>
          <cell r="C11">
            <v>5.7538664536806783E-2</v>
          </cell>
          <cell r="D11">
            <v>9.0219263839004027E-2</v>
          </cell>
          <cell r="E11">
            <v>7.7313514100522562E-2</v>
          </cell>
          <cell r="U11">
            <v>43646</v>
          </cell>
          <cell r="V11">
            <v>10286.797188316479</v>
          </cell>
          <cell r="W11">
            <v>11003.37275979655</v>
          </cell>
          <cell r="X11">
            <v>10842.391951884392</v>
          </cell>
        </row>
        <row r="12">
          <cell r="B12" t="str">
            <v>Annualized Return*</v>
          </cell>
          <cell r="C12">
            <v>5.7538664536806783E-2</v>
          </cell>
          <cell r="D12">
            <v>9.0219263839004027E-2</v>
          </cell>
          <cell r="E12">
            <v>7.7313514100522562E-2</v>
          </cell>
          <cell r="U12">
            <v>43677</v>
          </cell>
          <cell r="V12">
            <v>10449.080110647272</v>
          </cell>
          <cell r="W12">
            <v>11161.525582504106</v>
          </cell>
          <cell r="X12">
            <v>11033.378483008732</v>
          </cell>
        </row>
        <row r="13">
          <cell r="B13" t="str">
            <v>Cumulative Return*</v>
          </cell>
          <cell r="C13">
            <v>1.9722</v>
          </cell>
          <cell r="D13">
            <v>4.3757732362383548</v>
          </cell>
          <cell r="E13">
            <v>3.2632491325203037</v>
          </cell>
          <cell r="U13">
            <v>43708</v>
          </cell>
          <cell r="V13">
            <v>10277.780415371657</v>
          </cell>
          <cell r="W13">
            <v>10984.711769646645</v>
          </cell>
          <cell r="X13">
            <v>10747.831056748264</v>
          </cell>
        </row>
        <row r="14">
          <cell r="B14" t="str">
            <v>Std. Dev (S.I.)</v>
          </cell>
          <cell r="C14">
            <v>0.12612521148502845</v>
          </cell>
          <cell r="D14">
            <v>0.14738322592325609</v>
          </cell>
          <cell r="E14">
            <v>0.15855954463972416</v>
          </cell>
          <cell r="U14">
            <v>43738</v>
          </cell>
          <cell r="V14">
            <v>10286.797188316477</v>
          </cell>
          <cell r="W14">
            <v>11190.243393692879</v>
          </cell>
          <cell r="X14">
            <v>11149.728099602127</v>
          </cell>
        </row>
        <row r="15">
          <cell r="B15" t="str">
            <v>10yr</v>
          </cell>
          <cell r="C15">
            <v>5.3479881169987475E-2</v>
          </cell>
          <cell r="D15">
            <v>0.13912338106903843</v>
          </cell>
          <cell r="E15">
            <v>0.11145307901394075</v>
          </cell>
          <cell r="U15">
            <v>43769</v>
          </cell>
          <cell r="V15">
            <v>10259.902593024874</v>
          </cell>
          <cell r="W15">
            <v>11432.612780729636</v>
          </cell>
          <cell r="X15">
            <v>11445.176051583348</v>
          </cell>
        </row>
        <row r="16">
          <cell r="B16" t="str">
            <v>5yr</v>
          </cell>
          <cell r="C16">
            <v>2.3020024186251264E-2</v>
          </cell>
          <cell r="D16">
            <v>0.16294038412866541</v>
          </cell>
          <cell r="E16">
            <v>0.12313889235198561</v>
          </cell>
          <cell r="U16">
            <v>43799</v>
          </cell>
          <cell r="V16">
            <v>10322.95163720516</v>
          </cell>
          <cell r="W16">
            <v>11847.605638524326</v>
          </cell>
          <cell r="X16">
            <v>11886.469054568826</v>
          </cell>
        </row>
        <row r="17">
          <cell r="B17" t="str">
            <v>3yr</v>
          </cell>
          <cell r="C17">
            <v>5.2538787974629297E-2</v>
          </cell>
          <cell r="D17">
            <v>0.1677849863795664</v>
          </cell>
          <cell r="E17">
            <v>0.11830921107113035</v>
          </cell>
          <cell r="U17">
            <v>43830</v>
          </cell>
          <cell r="V17">
            <v>10389.419003057874</v>
          </cell>
          <cell r="W17">
            <v>12205.200121426797</v>
          </cell>
          <cell r="X17">
            <v>12257.074006004241</v>
          </cell>
        </row>
        <row r="18">
          <cell r="B18" t="str">
            <v>1yr</v>
          </cell>
          <cell r="C18">
            <v>0.34172986637775371</v>
          </cell>
          <cell r="D18">
            <v>0.56351628330676384</v>
          </cell>
          <cell r="E18">
            <v>0.50373885301526189</v>
          </cell>
          <cell r="U18">
            <v>43861</v>
          </cell>
          <cell r="V18">
            <v>10333.586415741594</v>
          </cell>
          <cell r="W18">
            <v>12200.413819562002</v>
          </cell>
          <cell r="X18">
            <v>11933.620899319505</v>
          </cell>
        </row>
        <row r="19">
          <cell r="B19" t="str">
            <v>YTD</v>
          </cell>
          <cell r="C19">
            <v>7.3732885372638265E-2</v>
          </cell>
          <cell r="D19">
            <v>6.1748728952811763E-2</v>
          </cell>
          <cell r="E19">
            <v>0.10766553917255545</v>
          </cell>
          <cell r="U19">
            <v>43890</v>
          </cell>
          <cell r="V19">
            <v>9637.7680486434729</v>
          </cell>
          <cell r="W19">
            <v>11196.091248889554</v>
          </cell>
          <cell r="X19">
            <v>10798.73129538214</v>
          </cell>
        </row>
        <row r="20">
          <cell r="B20" t="str">
            <v>QTD</v>
          </cell>
          <cell r="C20">
            <v>7.3732885372638265E-2</v>
          </cell>
          <cell r="D20">
            <v>6.1748728952811763E-2</v>
          </cell>
          <cell r="E20">
            <v>0.10766553917255545</v>
          </cell>
          <cell r="U20">
            <v>43921</v>
          </cell>
          <cell r="V20">
            <v>8413.6290763960678</v>
          </cell>
          <cell r="W20">
            <v>9813.2224848169881</v>
          </cell>
          <cell r="X20">
            <v>9151.4937406361078</v>
          </cell>
        </row>
        <row r="21">
          <cell r="B21" t="str">
            <v>Strategy Chage</v>
          </cell>
          <cell r="C21">
            <v>5.1442590907457397E-2</v>
          </cell>
          <cell r="D21">
            <v>0.19379554349071637</v>
          </cell>
          <cell r="E21">
            <v>0.14124365430243624</v>
          </cell>
          <cell r="U21">
            <v>43951</v>
          </cell>
          <cell r="V21">
            <v>9146.2893548525517</v>
          </cell>
          <cell r="W21">
            <v>11071.219054323588</v>
          </cell>
          <cell r="X21">
            <v>10131.235392705725</v>
          </cell>
        </row>
        <row r="22">
          <cell r="B22" t="str">
            <v>Excess Return</v>
          </cell>
          <cell r="C22">
            <v>5.7361664536806786E-2</v>
          </cell>
          <cell r="D22">
            <v>9.004226383900403E-2</v>
          </cell>
          <cell r="E22">
            <v>7.7136514100522566E-2</v>
          </cell>
          <cell r="U22">
            <v>43982</v>
          </cell>
          <cell r="V22">
            <v>9396.5864639779138</v>
          </cell>
          <cell r="W22">
            <v>11598.513080385654</v>
          </cell>
          <cell r="X22">
            <v>10454.368883564901</v>
          </cell>
        </row>
        <row r="23">
          <cell r="B23" t="str">
            <v>Sharpe Ratio</v>
          </cell>
          <cell r="C23">
            <v>0.45339598533473879</v>
          </cell>
          <cell r="D23">
            <v>0.60973874927800653</v>
          </cell>
          <cell r="E23">
            <v>0.48536664428110238</v>
          </cell>
          <cell r="U23">
            <v>44012</v>
          </cell>
          <cell r="V23">
            <v>9341.1336901807936</v>
          </cell>
          <cell r="W23">
            <v>11829.186757029058</v>
          </cell>
          <cell r="X23">
            <v>10354.720612270448</v>
          </cell>
        </row>
        <row r="24">
          <cell r="B24" t="str">
            <v>Beta vs. S&amp;P 500</v>
          </cell>
          <cell r="C24">
            <v>0.7180658987510613</v>
          </cell>
          <cell r="E24">
            <v>1.0418000808310421</v>
          </cell>
          <cell r="U24">
            <v>44043</v>
          </cell>
          <cell r="V24">
            <v>9739.9378852970749</v>
          </cell>
          <cell r="W24">
            <v>12496.177476818088</v>
          </cell>
          <cell r="X24">
            <v>10733.285699858425</v>
          </cell>
        </row>
        <row r="25">
          <cell r="B25" t="str">
            <v>Alpha vs. S&amp;P 500</v>
          </cell>
          <cell r="C25">
            <v>-7.2946145723278288E-3</v>
          </cell>
          <cell r="E25">
            <v>-1.666952364516186E-2</v>
          </cell>
          <cell r="U25">
            <v>44074</v>
          </cell>
          <cell r="V25">
            <v>9990.234994422437</v>
          </cell>
          <cell r="W25">
            <v>13394.400585530459</v>
          </cell>
          <cell r="X25">
            <v>11117.581177691649</v>
          </cell>
        </row>
        <row r="26">
          <cell r="B26" t="str">
            <v>Correlation vs. S&amp;P 500</v>
          </cell>
          <cell r="C26">
            <v>0.84269494630294095</v>
          </cell>
          <cell r="D26">
            <v>1.0000000000000002</v>
          </cell>
          <cell r="E26">
            <v>0.97252324695886827</v>
          </cell>
          <cell r="U26">
            <v>44104</v>
          </cell>
          <cell r="V26">
            <v>9777.1596101745945</v>
          </cell>
          <cell r="W26">
            <v>12885.450945992998</v>
          </cell>
          <cell r="X26">
            <v>10851.089663019013</v>
          </cell>
        </row>
        <row r="27">
          <cell r="B27" t="str">
            <v>% Positive Months</v>
          </cell>
          <cell r="C27">
            <v>0.65830115830115832</v>
          </cell>
          <cell r="D27">
            <v>0.67112520683949251</v>
          </cell>
          <cell r="E27">
            <v>0.64547710976282402</v>
          </cell>
          <cell r="U27">
            <v>44135</v>
          </cell>
          <cell r="V27">
            <v>9654.8596570056015</v>
          </cell>
          <cell r="W27">
            <v>12542.792704707512</v>
          </cell>
          <cell r="X27">
            <v>10634.067869758632</v>
          </cell>
        </row>
        <row r="28">
          <cell r="B28" t="str">
            <v>Maximum Drawdown</v>
          </cell>
          <cell r="U28">
            <v>44165</v>
          </cell>
          <cell r="V28">
            <v>10177.483059367511</v>
          </cell>
          <cell r="W28">
            <v>13915.772261425189</v>
          </cell>
          <cell r="X28">
            <v>12003.735811383543</v>
          </cell>
        </row>
        <row r="29">
          <cell r="B29" t="str">
            <v>2yr</v>
          </cell>
          <cell r="U29">
            <v>44196</v>
          </cell>
          <cell r="V29">
            <v>10513.618023822663</v>
          </cell>
          <cell r="W29">
            <v>14450.813764435718</v>
          </cell>
          <cell r="X29">
            <v>12423.837534207774</v>
          </cell>
        </row>
        <row r="30">
          <cell r="B30" t="str">
            <v>6MOS</v>
          </cell>
          <cell r="U30">
            <v>44227</v>
          </cell>
          <cell r="V30">
            <v>10588.441287096859</v>
          </cell>
          <cell r="W30">
            <v>14304.91536440145</v>
          </cell>
          <cell r="X30">
            <v>12227.356338582647</v>
          </cell>
        </row>
        <row r="31">
          <cell r="B31" t="str">
            <v>3MOS</v>
          </cell>
          <cell r="U31">
            <v>44255</v>
          </cell>
          <cell r="V31">
            <v>10775.309538522773</v>
          </cell>
          <cell r="W31">
            <v>14699.366234037112</v>
          </cell>
          <cell r="X31">
            <v>12950.907939528466</v>
          </cell>
        </row>
        <row r="32">
          <cell r="B32" t="str">
            <v>1MOS</v>
          </cell>
          <cell r="U32">
            <v>44286</v>
          </cell>
          <cell r="V32">
            <v>11288.817416424879</v>
          </cell>
          <cell r="W32">
            <v>15343.133146723418</v>
          </cell>
          <cell r="X32">
            <v>13761.456700920486</v>
          </cell>
        </row>
        <row r="33">
          <cell r="B33" t="str">
            <v>Downside Risk</v>
          </cell>
        </row>
        <row r="34">
          <cell r="B34" t="str">
            <v>Avg. Excess Return</v>
          </cell>
        </row>
        <row r="35">
          <cell r="B35" t="str">
            <v>Monthly Arith. Average</v>
          </cell>
        </row>
        <row r="36">
          <cell r="B36" t="str">
            <v>Monthly Geo. Average</v>
          </cell>
        </row>
        <row r="37">
          <cell r="B37" t="str">
            <v>Active Return vs. Benchmark</v>
          </cell>
        </row>
        <row r="38">
          <cell r="B38" t="str">
            <v>Sortino Ratio¹</v>
          </cell>
        </row>
        <row r="39">
          <cell r="B39" t="str">
            <v>R-Squared vs Benchmark</v>
          </cell>
        </row>
        <row r="40">
          <cell r="B40" t="str">
            <v>Semi-Variance</v>
          </cell>
        </row>
        <row r="41">
          <cell r="B41" t="str">
            <v>Beta vs. Benchmark</v>
          </cell>
        </row>
        <row r="42">
          <cell r="B42" t="str">
            <v>Alpha vs. Benchmark</v>
          </cell>
        </row>
        <row r="43">
          <cell r="B43" t="str">
            <v>Correlation vs. Benchmark</v>
          </cell>
        </row>
      </sheetData>
      <sheetData sheetId="2">
        <row r="14">
          <cell r="D14" t="str">
            <v>Strategy Chage</v>
          </cell>
          <cell r="E14" t="str">
            <v>QTD</v>
          </cell>
          <cell r="F14" t="str">
            <v>YTD</v>
          </cell>
          <cell r="G14" t="str">
            <v>1yr</v>
          </cell>
          <cell r="H14" t="str">
            <v>5yr</v>
          </cell>
          <cell r="I14" t="str">
            <v>10yr</v>
          </cell>
          <cell r="J14" t="str">
            <v>Inception*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zoomScale="115" zoomScaleNormal="115" workbookViewId="0">
      <selection activeCell="C29" sqref="C29"/>
    </sheetView>
  </sheetViews>
  <sheetFormatPr defaultColWidth="8.85546875" defaultRowHeight="15"/>
  <cols>
    <col min="1" max="1" width="3" style="7" customWidth="1"/>
    <col min="2" max="2" width="30.7109375" style="94" customWidth="1"/>
    <col min="3" max="3" width="11.85546875" style="95" customWidth="1"/>
    <col min="4" max="4" width="10.42578125" style="96" customWidth="1"/>
    <col min="5" max="8" width="8.42578125" style="96" customWidth="1"/>
    <col min="9" max="9" width="8.85546875" style="96"/>
    <col min="10" max="11" width="8.85546875" style="94"/>
    <col min="12" max="12" width="10" style="94" bestFit="1" customWidth="1"/>
    <col min="13" max="16" width="8.85546875" style="97"/>
    <col min="17" max="20" width="8.85546875" style="98"/>
    <col min="21" max="21" width="8.85546875" style="95"/>
    <col min="22" max="22" width="8.85546875" style="98"/>
    <col min="23" max="16384" width="8.85546875" style="7"/>
  </cols>
  <sheetData>
    <row r="1" spans="1:16">
      <c r="A1" s="204"/>
    </row>
    <row r="2" spans="1:16">
      <c r="B2" s="102" t="s">
        <v>64</v>
      </c>
      <c r="C2" s="329">
        <v>44286</v>
      </c>
      <c r="D2" s="330"/>
      <c r="E2" s="106"/>
      <c r="F2" s="106"/>
      <c r="G2" s="106"/>
    </row>
    <row r="3" spans="1:16" ht="8.25" customHeight="1">
      <c r="B3" s="103"/>
      <c r="C3" s="104"/>
      <c r="D3" s="105"/>
      <c r="E3" s="106"/>
      <c r="F3" s="106"/>
      <c r="G3" s="106"/>
    </row>
    <row r="4" spans="1:16" ht="15.75" thickBot="1">
      <c r="C4" s="96"/>
      <c r="K4" s="124"/>
      <c r="M4" s="99"/>
      <c r="N4" s="99"/>
      <c r="O4" s="99"/>
      <c r="P4" s="99"/>
    </row>
    <row r="5" spans="1:16" ht="15.75" thickBot="1">
      <c r="B5" s="331" t="s">
        <v>67</v>
      </c>
      <c r="C5" s="332"/>
    </row>
    <row r="6" spans="1:16">
      <c r="B6" s="107" t="s">
        <v>65</v>
      </c>
      <c r="C6" s="108" t="s">
        <v>66</v>
      </c>
    </row>
    <row r="7" spans="1:16">
      <c r="B7" s="277" t="s">
        <v>143</v>
      </c>
      <c r="C7" s="278">
        <v>0.19334001612813612</v>
      </c>
    </row>
    <row r="8" spans="1:16">
      <c r="B8" s="137" t="s">
        <v>182</v>
      </c>
      <c r="C8" s="122">
        <v>6.8046825082851745E-2</v>
      </c>
      <c r="J8" s="132"/>
      <c r="L8" s="132"/>
      <c r="M8" s="133"/>
    </row>
    <row r="9" spans="1:16">
      <c r="B9" s="138" t="s">
        <v>183</v>
      </c>
      <c r="C9" s="123">
        <v>3.165145790366844E-2</v>
      </c>
      <c r="J9" s="132"/>
      <c r="L9" s="132"/>
      <c r="M9" s="133"/>
    </row>
    <row r="10" spans="1:16">
      <c r="B10" s="138" t="s">
        <v>184</v>
      </c>
      <c r="C10" s="322">
        <v>1.9735237613578652E-2</v>
      </c>
      <c r="J10" s="132"/>
      <c r="L10" s="132"/>
      <c r="M10" s="133"/>
    </row>
    <row r="11" spans="1:16">
      <c r="B11" s="137" t="s">
        <v>185</v>
      </c>
      <c r="C11" s="122">
        <v>1.4389722022983348E-2</v>
      </c>
      <c r="J11" s="132"/>
      <c r="L11" s="132"/>
      <c r="M11" s="133"/>
    </row>
    <row r="12" spans="1:16">
      <c r="B12" s="138" t="s">
        <v>186</v>
      </c>
      <c r="C12" s="123">
        <v>1.4371915289714921E-2</v>
      </c>
      <c r="J12" s="132"/>
      <c r="L12" s="132"/>
      <c r="M12" s="133"/>
    </row>
    <row r="13" spans="1:16">
      <c r="B13" s="137" t="s">
        <v>187</v>
      </c>
      <c r="C13" s="122">
        <v>1.4248321283783482E-2</v>
      </c>
      <c r="J13" s="132"/>
      <c r="L13" s="132"/>
      <c r="M13" s="133"/>
    </row>
    <row r="14" spans="1:16">
      <c r="B14" s="138" t="s">
        <v>188</v>
      </c>
      <c r="C14" s="123">
        <v>1.4218094192653531E-2</v>
      </c>
      <c r="J14" s="132"/>
      <c r="L14" s="132"/>
      <c r="M14" s="133"/>
    </row>
    <row r="15" spans="1:16">
      <c r="B15" s="138" t="s">
        <v>189</v>
      </c>
      <c r="C15" s="123">
        <v>1.4146939368590562E-2</v>
      </c>
      <c r="J15" s="132"/>
      <c r="L15" s="132"/>
      <c r="M15" s="133"/>
    </row>
    <row r="16" spans="1:16" ht="15.75" thickBot="1">
      <c r="B16" s="279" t="s">
        <v>190</v>
      </c>
      <c r="C16" s="280">
        <v>1.4063206553014683E-2</v>
      </c>
      <c r="J16" s="132"/>
      <c r="L16" s="132"/>
      <c r="M16" s="133"/>
    </row>
    <row r="17" spans="2:22" ht="15.75" thickBot="1"/>
    <row r="18" spans="2:22" ht="15.75" thickBot="1">
      <c r="B18" s="320" t="s">
        <v>68</v>
      </c>
      <c r="C18" s="321"/>
      <c r="H18" s="94"/>
      <c r="I18" s="94"/>
      <c r="K18" s="97"/>
      <c r="L18" s="97"/>
      <c r="O18" s="98"/>
      <c r="P18" s="98"/>
      <c r="S18" s="95"/>
      <c r="U18" s="7"/>
      <c r="V18" s="7"/>
    </row>
    <row r="19" spans="2:22" ht="15.75" thickBot="1">
      <c r="B19" s="109" t="s">
        <v>65</v>
      </c>
      <c r="C19" s="208" t="s">
        <v>47</v>
      </c>
      <c r="H19" s="94"/>
      <c r="I19" s="94"/>
      <c r="K19" s="97"/>
      <c r="L19" s="97"/>
      <c r="O19" s="98"/>
      <c r="P19" s="98"/>
      <c r="S19" s="95"/>
      <c r="U19" s="7"/>
      <c r="V19" s="7"/>
    </row>
    <row r="20" spans="2:22">
      <c r="B20" s="139" t="s">
        <v>86</v>
      </c>
      <c r="C20" s="209">
        <v>0.29955059803088202</v>
      </c>
      <c r="H20" s="94"/>
      <c r="I20" s="94"/>
      <c r="K20" s="97"/>
      <c r="L20" s="97"/>
      <c r="O20" s="98"/>
      <c r="P20" s="98"/>
      <c r="S20" s="95"/>
      <c r="U20" s="7"/>
      <c r="V20" s="7"/>
    </row>
    <row r="21" spans="2:22">
      <c r="B21" s="140" t="s">
        <v>78</v>
      </c>
      <c r="C21" s="210">
        <v>0.14741626321004378</v>
      </c>
      <c r="H21" s="94"/>
      <c r="I21" s="94"/>
      <c r="K21" s="97"/>
      <c r="L21" s="97"/>
      <c r="O21" s="98"/>
      <c r="P21" s="98"/>
      <c r="S21" s="95"/>
      <c r="U21" s="7"/>
      <c r="V21" s="7"/>
    </row>
    <row r="22" spans="2:22">
      <c r="B22" s="140" t="s">
        <v>87</v>
      </c>
      <c r="C22" s="210">
        <v>8.1567385337265208E-2</v>
      </c>
      <c r="H22" s="94"/>
      <c r="I22" s="94"/>
      <c r="K22" s="97"/>
      <c r="L22" s="97"/>
      <c r="O22" s="98"/>
      <c r="P22" s="98"/>
      <c r="S22" s="95"/>
      <c r="U22" s="7"/>
      <c r="V22" s="7"/>
    </row>
    <row r="23" spans="2:22">
      <c r="B23" s="140" t="s">
        <v>75</v>
      </c>
      <c r="C23" s="210">
        <v>7.9976350323899936E-2</v>
      </c>
      <c r="H23" s="94"/>
      <c r="I23" s="94"/>
      <c r="K23" s="97"/>
      <c r="L23" s="97"/>
      <c r="O23" s="98"/>
      <c r="P23" s="98"/>
      <c r="S23" s="95"/>
      <c r="U23" s="7"/>
      <c r="V23" s="7"/>
    </row>
    <row r="24" spans="2:22">
      <c r="B24" s="140" t="s">
        <v>80</v>
      </c>
      <c r="C24" s="210">
        <v>6.8906366167825917E-2</v>
      </c>
      <c r="H24" s="94"/>
      <c r="I24" s="94"/>
      <c r="K24" s="97"/>
      <c r="L24" s="97"/>
      <c r="O24" s="98"/>
      <c r="P24" s="98"/>
      <c r="S24" s="95"/>
      <c r="U24" s="7"/>
      <c r="V24" s="7"/>
    </row>
    <row r="25" spans="2:22">
      <c r="B25" s="140" t="s">
        <v>77</v>
      </c>
      <c r="C25" s="210">
        <v>6.852606827604453E-2</v>
      </c>
      <c r="H25" s="94"/>
      <c r="I25" s="94"/>
      <c r="K25" s="97"/>
      <c r="L25" s="97"/>
      <c r="O25" s="98"/>
      <c r="P25" s="98"/>
      <c r="S25" s="95"/>
      <c r="U25" s="7"/>
      <c r="V25" s="7"/>
    </row>
    <row r="26" spans="2:22">
      <c r="B26" s="140" t="s">
        <v>85</v>
      </c>
      <c r="C26" s="210">
        <v>6.677791527456868E-2</v>
      </c>
      <c r="H26" s="94"/>
      <c r="I26" s="94"/>
      <c r="K26" s="97"/>
      <c r="L26" s="97"/>
      <c r="O26" s="98"/>
      <c r="P26" s="98"/>
      <c r="S26" s="95"/>
      <c r="U26" s="7"/>
      <c r="V26" s="7"/>
    </row>
    <row r="27" spans="2:22">
      <c r="B27" s="140" t="s">
        <v>81</v>
      </c>
      <c r="C27" s="210">
        <v>5.4382834136738389E-2</v>
      </c>
      <c r="H27" s="94"/>
      <c r="I27" s="94"/>
      <c r="K27" s="97"/>
      <c r="L27" s="97"/>
      <c r="O27" s="98"/>
      <c r="P27" s="98"/>
      <c r="S27" s="95"/>
      <c r="U27" s="7"/>
      <c r="V27" s="7"/>
    </row>
    <row r="28" spans="2:22">
      <c r="B28" s="140" t="s">
        <v>76</v>
      </c>
      <c r="C28" s="210">
        <v>4.1064527918774366E-2</v>
      </c>
      <c r="H28" s="94"/>
      <c r="I28" s="94"/>
      <c r="K28" s="97"/>
      <c r="L28" s="97"/>
      <c r="O28" s="98"/>
      <c r="P28" s="98"/>
      <c r="S28" s="95"/>
      <c r="U28" s="7"/>
      <c r="V28" s="7"/>
    </row>
    <row r="29" spans="2:22">
      <c r="B29" s="140" t="s">
        <v>84</v>
      </c>
      <c r="C29" s="210">
        <v>3.0857514218069038E-2</v>
      </c>
      <c r="H29" s="94"/>
      <c r="I29" s="94"/>
      <c r="K29" s="97"/>
      <c r="L29" s="97"/>
      <c r="O29" s="98"/>
      <c r="P29" s="98"/>
      <c r="S29" s="95"/>
      <c r="U29" s="7"/>
      <c r="V29" s="7"/>
    </row>
    <row r="30" spans="2:22">
      <c r="B30" s="140" t="s">
        <v>83</v>
      </c>
      <c r="C30" s="210">
        <v>2.717573293929482E-2</v>
      </c>
      <c r="H30" s="94"/>
      <c r="I30" s="94"/>
      <c r="K30" s="97"/>
      <c r="L30" s="97"/>
      <c r="O30" s="98"/>
      <c r="P30" s="98"/>
      <c r="S30" s="95"/>
      <c r="U30" s="7"/>
      <c r="V30" s="7"/>
    </row>
    <row r="31" spans="2:22">
      <c r="B31" s="140" t="s">
        <v>82</v>
      </c>
      <c r="C31" s="210">
        <v>1.9735237613578652E-2</v>
      </c>
      <c r="H31" s="94"/>
      <c r="I31" s="94"/>
      <c r="K31" s="97"/>
      <c r="L31" s="97"/>
      <c r="O31" s="98"/>
      <c r="P31" s="98"/>
      <c r="S31" s="95"/>
      <c r="U31" s="7"/>
      <c r="V31" s="7"/>
    </row>
    <row r="32" spans="2:22">
      <c r="B32" s="140" t="s">
        <v>79</v>
      </c>
      <c r="C32" s="210">
        <v>1.4063206553014683E-2</v>
      </c>
      <c r="H32" s="94"/>
      <c r="I32" s="94"/>
      <c r="K32" s="97"/>
      <c r="L32" s="97"/>
      <c r="O32" s="98"/>
      <c r="P32" s="98"/>
      <c r="S32" s="95"/>
      <c r="U32" s="7"/>
      <c r="V32" s="7"/>
    </row>
    <row r="33" spans="2:22" ht="15.75" thickBot="1">
      <c r="B33" s="141" t="s">
        <v>131</v>
      </c>
      <c r="C33" s="211">
        <v>0</v>
      </c>
      <c r="H33" s="94"/>
      <c r="I33" s="94"/>
      <c r="K33" s="97"/>
      <c r="L33" s="97"/>
      <c r="O33" s="98"/>
      <c r="P33" s="98"/>
      <c r="S33" s="95"/>
      <c r="U33" s="7"/>
      <c r="V33" s="7"/>
    </row>
    <row r="34" spans="2:22" ht="15.75" thickBot="1">
      <c r="C34" s="130">
        <f>SUM(C20:C33)</f>
        <v>1.0000000000000002</v>
      </c>
      <c r="D34" s="130"/>
    </row>
    <row r="35" spans="2:22" ht="15.75" thickBot="1">
      <c r="B35" s="333" t="s">
        <v>48</v>
      </c>
      <c r="C35" s="334"/>
      <c r="D35" s="335"/>
    </row>
    <row r="36" spans="2:22" ht="15.75" thickBot="1">
      <c r="B36" s="109" t="s">
        <v>69</v>
      </c>
      <c r="C36" s="113" t="s">
        <v>47</v>
      </c>
      <c r="D36" s="112" t="s">
        <v>118</v>
      </c>
    </row>
    <row r="37" spans="2:22">
      <c r="B37" s="110" t="s">
        <v>51</v>
      </c>
      <c r="C37" s="114">
        <v>56</v>
      </c>
      <c r="D37" s="203">
        <v>505</v>
      </c>
    </row>
    <row r="38" spans="2:22">
      <c r="B38" s="110" t="s">
        <v>52</v>
      </c>
      <c r="C38" s="202">
        <v>0.3982</v>
      </c>
      <c r="D38" s="323">
        <v>0.26300000000000001</v>
      </c>
    </row>
    <row r="39" spans="2:22">
      <c r="B39" s="110" t="s">
        <v>62</v>
      </c>
      <c r="C39" s="324">
        <v>42520.824754266381</v>
      </c>
      <c r="D39" s="325">
        <v>29132.67</v>
      </c>
    </row>
    <row r="40" spans="2:22" ht="15.75" thickBot="1">
      <c r="B40" s="111" t="s">
        <v>53</v>
      </c>
      <c r="C40" s="326">
        <v>74.78665104362166</v>
      </c>
      <c r="D40" s="263">
        <v>39.9</v>
      </c>
      <c r="E40" s="117" t="s">
        <v>88</v>
      </c>
    </row>
  </sheetData>
  <sortState xmlns:xlrd2="http://schemas.microsoft.com/office/spreadsheetml/2017/richdata2" ref="B7:C16">
    <sortCondition descending="1" ref="C7:C16"/>
  </sortState>
  <mergeCells count="3">
    <mergeCell ref="C2:D2"/>
    <mergeCell ref="B5:C5"/>
    <mergeCell ref="B35:D35"/>
  </mergeCells>
  <conditionalFormatting sqref="C19 B19:B20 B37:B40">
    <cfRule type="containsBlanks" dxfId="15" priority="9">
      <formula>LEN(TRIM(B19))=0</formula>
    </cfRule>
  </conditionalFormatting>
  <conditionalFormatting sqref="B6:C16">
    <cfRule type="containsBlanks" dxfId="14" priority="8">
      <formula>LEN(TRIM(B6))=0</formula>
    </cfRule>
  </conditionalFormatting>
  <conditionalFormatting sqref="B21:B31 B33">
    <cfRule type="containsBlanks" dxfId="13" priority="7">
      <formula>LEN(TRIM(B21))=0</formula>
    </cfRule>
  </conditionalFormatting>
  <conditionalFormatting sqref="B36:D36">
    <cfRule type="containsBlanks" dxfId="12" priority="6">
      <formula>LEN(TRIM(B36))=0</formula>
    </cfRule>
  </conditionalFormatting>
  <conditionalFormatting sqref="C20:C31 C33">
    <cfRule type="containsBlanks" dxfId="11" priority="5">
      <formula>LEN(TRIM(C20))=0</formula>
    </cfRule>
  </conditionalFormatting>
  <conditionalFormatting sqref="C37:C40">
    <cfRule type="containsBlanks" dxfId="10" priority="4">
      <formula>LEN(TRIM(C37))=0</formula>
    </cfRule>
  </conditionalFormatting>
  <conditionalFormatting sqref="D37:D40">
    <cfRule type="containsBlanks" dxfId="9" priority="3">
      <formula>LEN(TRIM(D37))=0</formula>
    </cfRule>
  </conditionalFormatting>
  <conditionalFormatting sqref="B32">
    <cfRule type="containsBlanks" dxfId="8" priority="2">
      <formula>LEN(TRIM(B32))=0</formula>
    </cfRule>
  </conditionalFormatting>
  <conditionalFormatting sqref="C32">
    <cfRule type="containsBlanks" dxfId="7" priority="1">
      <formula>LEN(TRIM(C32))=0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5"/>
  <sheetViews>
    <sheetView zoomScaleNormal="100" workbookViewId="0">
      <pane ySplit="2" topLeftCell="A3" activePane="bottomLeft" state="frozen"/>
      <selection pane="bottomLeft" sqref="A1:XFD1048576"/>
    </sheetView>
  </sheetViews>
  <sheetFormatPr defaultColWidth="8.85546875" defaultRowHeight="15"/>
  <cols>
    <col min="1" max="1" width="15.42578125" customWidth="1"/>
    <col min="2" max="2" width="28.85546875" style="14" bestFit="1" customWidth="1"/>
    <col min="3" max="3" width="11.85546875" style="13" bestFit="1" customWidth="1"/>
    <col min="4" max="4" width="11.5703125" style="13" bestFit="1" customWidth="1"/>
    <col min="5" max="5" width="11.85546875" style="13" bestFit="1" customWidth="1"/>
    <col min="6" max="6" width="4" customWidth="1"/>
    <col min="7" max="7" width="11.85546875" style="12" bestFit="1" customWidth="1"/>
    <col min="8" max="8" width="1.42578125" style="11" customWidth="1"/>
    <col min="9" max="9" width="8.140625" style="10" bestFit="1" customWidth="1"/>
    <col min="10" max="10" width="7.7109375" style="9" customWidth="1"/>
    <col min="11" max="11" width="8" style="8" customWidth="1"/>
    <col min="12" max="12" width="0.7109375" style="7" customWidth="1"/>
    <col min="13" max="13" width="10.85546875" style="6" customWidth="1"/>
    <col min="14" max="14" width="9.85546875" style="1" customWidth="1"/>
    <col min="15" max="15" width="10.85546875" style="5" customWidth="1"/>
    <col min="16" max="16" width="0.7109375" style="2" customWidth="1"/>
    <col min="17" max="17" width="8.140625" style="4" customWidth="1"/>
    <col min="18" max="18" width="8" style="1" customWidth="1"/>
    <col min="19" max="19" width="8" style="3" customWidth="1"/>
    <col min="20" max="20" width="0.7109375" style="2" customWidth="1"/>
    <col min="21" max="21" width="8.85546875" customWidth="1"/>
    <col min="22" max="24" width="10.85546875" customWidth="1"/>
  </cols>
  <sheetData>
    <row r="1" spans="1:24">
      <c r="A1" s="115" t="s">
        <v>70</v>
      </c>
      <c r="G1" s="59"/>
      <c r="H1" s="58"/>
      <c r="I1" s="339" t="s">
        <v>35</v>
      </c>
      <c r="J1" s="340"/>
      <c r="K1" s="340"/>
      <c r="L1" s="57"/>
      <c r="M1" s="341" t="s">
        <v>34</v>
      </c>
      <c r="N1" s="342"/>
      <c r="O1" s="342"/>
      <c r="P1" s="57"/>
      <c r="Q1" s="341" t="s">
        <v>33</v>
      </c>
      <c r="R1" s="342"/>
      <c r="S1" s="343"/>
      <c r="T1" s="57"/>
      <c r="V1" s="336" t="s">
        <v>114</v>
      </c>
      <c r="W1" s="337"/>
      <c r="X1" s="337"/>
    </row>
    <row r="2" spans="1:24" s="69" customFormat="1" ht="24">
      <c r="A2"/>
      <c r="B2" s="70"/>
      <c r="C2" s="71" t="s">
        <v>111</v>
      </c>
      <c r="D2" s="88" t="s">
        <v>45</v>
      </c>
      <c r="E2" s="89" t="s">
        <v>112</v>
      </c>
      <c r="G2" s="72"/>
      <c r="H2" s="73"/>
      <c r="I2" s="74" t="str">
        <f>C2</f>
        <v>VHAD</v>
      </c>
      <c r="J2" s="75" t="str">
        <f>$D$2</f>
        <v>SP500</v>
      </c>
      <c r="K2" s="76" t="s">
        <v>144</v>
      </c>
      <c r="L2" s="77"/>
      <c r="M2" s="65" t="str">
        <f>$I$2</f>
        <v>VHAD</v>
      </c>
      <c r="N2" s="66" t="str">
        <f>$D$2</f>
        <v>SP500</v>
      </c>
      <c r="O2" s="78" t="s">
        <v>120</v>
      </c>
      <c r="P2" s="79"/>
      <c r="Q2" s="65" t="str">
        <f>$I$2</f>
        <v>VHAD</v>
      </c>
      <c r="R2" s="80" t="str">
        <f>J2</f>
        <v>SP500</v>
      </c>
      <c r="S2" s="67" t="s">
        <v>9</v>
      </c>
      <c r="T2" s="79"/>
      <c r="V2" s="65" t="str">
        <f>$I$2</f>
        <v>VHAD</v>
      </c>
      <c r="W2" s="66" t="str">
        <f>$D$2</f>
        <v>SP500</v>
      </c>
      <c r="X2" s="78" t="s">
        <v>120</v>
      </c>
    </row>
    <row r="3" spans="1:24">
      <c r="B3" s="68" t="s">
        <v>32</v>
      </c>
      <c r="C3" s="212" t="s">
        <v>38</v>
      </c>
      <c r="D3" s="91"/>
      <c r="E3" s="92"/>
      <c r="G3" s="56">
        <f>C5</f>
        <v>37179</v>
      </c>
      <c r="H3" s="41"/>
      <c r="I3" s="55"/>
      <c r="J3" s="53"/>
      <c r="K3" s="24"/>
      <c r="L3"/>
      <c r="M3" s="142">
        <v>10000</v>
      </c>
      <c r="N3" s="147">
        <v>10000</v>
      </c>
      <c r="O3" s="145">
        <v>10000</v>
      </c>
      <c r="P3" s="54"/>
      <c r="Q3" s="29"/>
      <c r="R3" s="53"/>
      <c r="S3" s="27"/>
      <c r="T3" s="54"/>
      <c r="U3" s="31">
        <v>43404</v>
      </c>
      <c r="V3" s="254">
        <v>10000</v>
      </c>
      <c r="W3" s="255">
        <v>10000</v>
      </c>
      <c r="X3" s="256">
        <v>10000</v>
      </c>
    </row>
    <row r="4" spans="1:24">
      <c r="B4" s="68" t="s">
        <v>72</v>
      </c>
      <c r="C4" s="212" t="s">
        <v>74</v>
      </c>
      <c r="D4" s="93"/>
      <c r="E4" s="87"/>
      <c r="G4" s="31">
        <v>37195</v>
      </c>
      <c r="H4" s="41"/>
      <c r="I4" s="25">
        <f>M4/M3-1</f>
        <v>-2.7000000000000024E-2</v>
      </c>
      <c r="J4" s="19">
        <v>-2.7366690157387907E-2</v>
      </c>
      <c r="K4" s="24">
        <v>-3.6499925591663485E-2</v>
      </c>
      <c r="L4"/>
      <c r="M4" s="143">
        <v>9730</v>
      </c>
      <c r="N4" s="148">
        <f>N3*(1+J4)</f>
        <v>9726.3330984261211</v>
      </c>
      <c r="O4" s="146">
        <f>O3*(1+K4)</f>
        <v>9635.0007440833651</v>
      </c>
      <c r="P4" s="40"/>
      <c r="Q4" s="29">
        <f t="shared" ref="Q4:Q67" si="0">(M4-$M$3)/$M$3</f>
        <v>-2.7E-2</v>
      </c>
      <c r="R4" s="28">
        <f>(N4-$N$3)/$N$3</f>
        <v>-2.7366690157387893E-2</v>
      </c>
      <c r="S4" s="27">
        <f>(O4-$O$3)/$O$3</f>
        <v>-3.6499925591663485E-2</v>
      </c>
      <c r="T4" s="40"/>
      <c r="U4" s="31">
        <v>43434</v>
      </c>
      <c r="V4" s="143">
        <f>V3*(1+I209)</f>
        <v>10163.654049134955</v>
      </c>
      <c r="W4" s="257">
        <f t="shared" ref="W4:X19" si="1">W3*(1+J209)</f>
        <v>10203.780992235763</v>
      </c>
      <c r="X4" s="146">
        <f t="shared" si="1"/>
        <v>10263.346419300409</v>
      </c>
    </row>
    <row r="5" spans="1:24">
      <c r="B5" s="51" t="s">
        <v>31</v>
      </c>
      <c r="C5" s="60">
        <v>37179</v>
      </c>
      <c r="D5" s="90"/>
      <c r="E5" s="90"/>
      <c r="G5" s="31">
        <f>EOMONTH(G3,1)</f>
        <v>37225</v>
      </c>
      <c r="H5" s="63"/>
      <c r="I5" s="25">
        <f t="shared" ref="I5:I68" si="2">M5/M4-1</f>
        <v>3.9310380267214784E-2</v>
      </c>
      <c r="J5" s="19">
        <v>7.6708395389714079E-2</v>
      </c>
      <c r="K5" s="24">
        <v>6.3464882943143675E-2</v>
      </c>
      <c r="L5"/>
      <c r="M5" s="143">
        <v>10112.49</v>
      </c>
      <c r="N5" s="148">
        <f t="shared" ref="N5:O20" si="3">N4*(1+J5)</f>
        <v>10472.424503432254</v>
      </c>
      <c r="O5" s="146">
        <f t="shared" si="3"/>
        <v>10246.484938463718</v>
      </c>
      <c r="P5" s="40"/>
      <c r="Q5" s="29">
        <f t="shared" si="0"/>
        <v>1.1248999999999978E-2</v>
      </c>
      <c r="R5" s="28">
        <f t="shared" ref="R5:R68" si="4">(N5-$N$3)/$N$3</f>
        <v>4.7242450343225391E-2</v>
      </c>
      <c r="S5" s="27">
        <f t="shared" ref="S5:S68" si="5">(O5-$O$3)/$O$3</f>
        <v>2.464849384637182E-2</v>
      </c>
      <c r="T5" s="40"/>
      <c r="U5" s="31">
        <v>43465</v>
      </c>
      <c r="V5" s="143">
        <f t="shared" ref="V5:X20" si="6">V4*(1+I210)</f>
        <v>9682.7531618525918</v>
      </c>
      <c r="W5" s="257">
        <f t="shared" si="1"/>
        <v>9282.4830663619832</v>
      </c>
      <c r="X5" s="146">
        <f t="shared" si="1"/>
        <v>9290.6571187900445</v>
      </c>
    </row>
    <row r="6" spans="1:24">
      <c r="B6" s="51" t="s">
        <v>30</v>
      </c>
      <c r="C6" s="344">
        <f>[1]INPUTS!C2:D2</f>
        <v>44286</v>
      </c>
      <c r="D6" s="345"/>
      <c r="E6" s="345"/>
      <c r="G6" s="31">
        <f t="shared" ref="G6:G69" si="7">EOMONTH(G5,1)</f>
        <v>37256</v>
      </c>
      <c r="H6" s="41"/>
      <c r="I6" s="25">
        <f t="shared" si="2"/>
        <v>1.3016576530607393E-2</v>
      </c>
      <c r="J6" s="19">
        <v>8.7605612740822014E-3</v>
      </c>
      <c r="K6" s="24">
        <v>1.5214984778725515E-2</v>
      </c>
      <c r="L6"/>
      <c r="M6" s="143">
        <v>10244.120000000001</v>
      </c>
      <c r="N6" s="148">
        <f t="shared" si="3"/>
        <v>10564.168819982771</v>
      </c>
      <c r="O6" s="146">
        <f t="shared" si="3"/>
        <v>10402.385050837884</v>
      </c>
      <c r="P6" s="40"/>
      <c r="Q6" s="29">
        <f t="shared" si="0"/>
        <v>2.4412000000000079E-2</v>
      </c>
      <c r="R6" s="28">
        <f t="shared" si="4"/>
        <v>5.641688199827713E-2</v>
      </c>
      <c r="S6" s="27">
        <f t="shared" si="5"/>
        <v>4.0238505083788366E-2</v>
      </c>
      <c r="T6" s="40"/>
      <c r="U6" s="31">
        <f>EOMONTH(U5,1)</f>
        <v>43496</v>
      </c>
      <c r="V6" s="143">
        <f t="shared" si="6"/>
        <v>10070.425022722342</v>
      </c>
      <c r="W6" s="257">
        <f t="shared" si="1"/>
        <v>10026.333972127706</v>
      </c>
      <c r="X6" s="146">
        <f t="shared" si="1"/>
        <v>10087.215404801955</v>
      </c>
    </row>
    <row r="7" spans="1:24">
      <c r="A7" s="338" t="s">
        <v>71</v>
      </c>
      <c r="B7" s="52" t="s">
        <v>29</v>
      </c>
      <c r="C7" s="346">
        <v>0</v>
      </c>
      <c r="D7" s="347"/>
      <c r="E7" s="348"/>
      <c r="G7" s="31">
        <f t="shared" si="7"/>
        <v>37287</v>
      </c>
      <c r="H7" s="41"/>
      <c r="I7" s="25">
        <f t="shared" si="2"/>
        <v>6.9024962612698193E-3</v>
      </c>
      <c r="J7" s="19">
        <v>-1.4595609581341429E-2</v>
      </c>
      <c r="K7" s="24">
        <v>-2.7440513169137093E-2</v>
      </c>
      <c r="L7"/>
      <c r="M7" s="143">
        <v>10314.83</v>
      </c>
      <c r="N7" s="148">
        <f t="shared" si="3"/>
        <v>10409.978336334922</v>
      </c>
      <c r="O7" s="146">
        <f t="shared" si="3"/>
        <v>10116.938266859932</v>
      </c>
      <c r="P7" s="40"/>
      <c r="Q7" s="29">
        <f t="shared" si="0"/>
        <v>3.148299999999999E-2</v>
      </c>
      <c r="R7" s="28">
        <f t="shared" si="4"/>
        <v>4.0997833633492152E-2</v>
      </c>
      <c r="S7" s="27">
        <f t="shared" si="5"/>
        <v>1.169382668599319E-2</v>
      </c>
      <c r="T7" s="40"/>
      <c r="U7" s="31">
        <f t="shared" ref="U7:U32" si="8">EOMONTH(U6,1)</f>
        <v>43524</v>
      </c>
      <c r="V7" s="143">
        <f t="shared" si="6"/>
        <v>10295.813961261298</v>
      </c>
      <c r="W7" s="257">
        <f t="shared" si="1"/>
        <v>10348.26398782752</v>
      </c>
      <c r="X7" s="146">
        <f t="shared" si="1"/>
        <v>10313.93838941614</v>
      </c>
    </row>
    <row r="8" spans="1:24">
      <c r="A8" s="338"/>
      <c r="B8" s="51" t="s">
        <v>28</v>
      </c>
      <c r="C8" s="349">
        <v>1.7699999999999999E-4</v>
      </c>
      <c r="D8" s="350">
        <v>1.395E-3</v>
      </c>
      <c r="E8" s="351">
        <v>1.395E-3</v>
      </c>
      <c r="G8" s="31">
        <f t="shared" si="7"/>
        <v>37315</v>
      </c>
      <c r="H8" s="63"/>
      <c r="I8" s="25">
        <f t="shared" si="2"/>
        <v>8.8552113801196874E-3</v>
      </c>
      <c r="J8" s="19">
        <v>-1.9281035509449373E-2</v>
      </c>
      <c r="K8" s="24">
        <v>-8.9450918687459247E-3</v>
      </c>
      <c r="L8"/>
      <c r="M8" s="143">
        <v>10406.17</v>
      </c>
      <c r="N8" s="148">
        <f t="shared" si="3"/>
        <v>10209.26317437945</v>
      </c>
      <c r="O8" s="146">
        <f t="shared" si="3"/>
        <v>10026.441324632438</v>
      </c>
      <c r="P8" s="40"/>
      <c r="Q8" s="29">
        <f t="shared" si="0"/>
        <v>4.0617000000000007E-2</v>
      </c>
      <c r="R8" s="28">
        <f t="shared" si="4"/>
        <v>2.0926317437945E-2</v>
      </c>
      <c r="S8" s="27">
        <f t="shared" si="5"/>
        <v>2.6441324632438408E-3</v>
      </c>
      <c r="T8" s="40"/>
      <c r="U8" s="31">
        <f t="shared" si="8"/>
        <v>43555</v>
      </c>
      <c r="V8" s="143">
        <f t="shared" si="6"/>
        <v>10223.687373973125</v>
      </c>
      <c r="W8" s="257">
        <f t="shared" si="1"/>
        <v>10549.344537376919</v>
      </c>
      <c r="X8" s="146">
        <f t="shared" si="1"/>
        <v>10423.576073672773</v>
      </c>
    </row>
    <row r="9" spans="1:24">
      <c r="A9" s="116"/>
      <c r="B9" s="42" t="s">
        <v>27</v>
      </c>
      <c r="C9" s="149">
        <f>(COUNTA(I5:I237))+(29/31)</f>
        <v>233.93548387096774</v>
      </c>
      <c r="D9" s="131">
        <f t="shared" ref="D9:E9" si="9">$C$9</f>
        <v>233.93548387096774</v>
      </c>
      <c r="E9" s="131">
        <f t="shared" si="9"/>
        <v>233.93548387096774</v>
      </c>
      <c r="G9" s="31">
        <f t="shared" si="7"/>
        <v>37346</v>
      </c>
      <c r="H9" s="41"/>
      <c r="I9" s="25">
        <f t="shared" si="2"/>
        <v>3.0049480260268657E-2</v>
      </c>
      <c r="J9" s="19">
        <v>3.7607296480228092E-2</v>
      </c>
      <c r="K9" s="24">
        <v>5.1243169710239789E-2</v>
      </c>
      <c r="L9"/>
      <c r="M9" s="143">
        <v>10718.87</v>
      </c>
      <c r="N9" s="148">
        <f t="shared" si="3"/>
        <v>10593.205961423013</v>
      </c>
      <c r="O9" s="146">
        <f t="shared" si="3"/>
        <v>10540.22795902034</v>
      </c>
      <c r="P9" s="40"/>
      <c r="Q9" s="29">
        <f t="shared" si="0"/>
        <v>7.1887000000000076E-2</v>
      </c>
      <c r="R9" s="28">
        <f t="shared" si="4"/>
        <v>5.9320596142301292E-2</v>
      </c>
      <c r="S9" s="27">
        <f t="shared" si="5"/>
        <v>5.4022795902033974E-2</v>
      </c>
      <c r="T9" s="40"/>
      <c r="U9" s="31">
        <f t="shared" si="8"/>
        <v>43585</v>
      </c>
      <c r="V9" s="143">
        <f t="shared" si="6"/>
        <v>10449.080110647274</v>
      </c>
      <c r="W9" s="257">
        <f t="shared" si="1"/>
        <v>10976.480075388909</v>
      </c>
      <c r="X9" s="146">
        <f t="shared" si="1"/>
        <v>10853.542572638846</v>
      </c>
    </row>
    <row r="10" spans="1:24">
      <c r="A10" s="116"/>
      <c r="B10" s="42" t="s">
        <v>119</v>
      </c>
      <c r="C10" s="149">
        <f>COUNTA(U:U)-1</f>
        <v>29</v>
      </c>
      <c r="D10" s="131">
        <f>C10</f>
        <v>29</v>
      </c>
      <c r="E10" s="131">
        <f>C10</f>
        <v>29</v>
      </c>
      <c r="G10" s="31">
        <f t="shared" si="7"/>
        <v>37376</v>
      </c>
      <c r="H10" s="41"/>
      <c r="I10" s="25">
        <f t="shared" si="2"/>
        <v>8.2546014645199506E-3</v>
      </c>
      <c r="J10" s="19">
        <v>-6.0630886456453315E-2</v>
      </c>
      <c r="K10" s="24">
        <v>-5.0099944191341339E-2</v>
      </c>
      <c r="L10"/>
      <c r="M10" s="143">
        <v>10807.35</v>
      </c>
      <c r="N10" s="148">
        <f t="shared" si="3"/>
        <v>9950.9304935661494</v>
      </c>
      <c r="O10" s="146">
        <f t="shared" si="3"/>
        <v>10012.163126509406</v>
      </c>
      <c r="P10" s="40"/>
      <c r="Q10" s="29">
        <f t="shared" si="0"/>
        <v>8.0735000000000043E-2</v>
      </c>
      <c r="R10" s="28">
        <f t="shared" si="4"/>
        <v>-4.9069506433850616E-3</v>
      </c>
      <c r="S10" s="27">
        <f t="shared" si="5"/>
        <v>1.2163126509405629E-3</v>
      </c>
      <c r="T10" s="40"/>
      <c r="U10" s="31">
        <f t="shared" si="8"/>
        <v>43616</v>
      </c>
      <c r="V10" s="143">
        <f t="shared" si="6"/>
        <v>9935.1886210908142</v>
      </c>
      <c r="W10" s="257">
        <f t="shared" si="1"/>
        <v>10278.946417629977</v>
      </c>
      <c r="X10" s="146">
        <f t="shared" si="1"/>
        <v>10031.573882885954</v>
      </c>
    </row>
    <row r="11" spans="1:24">
      <c r="A11" s="116" t="s">
        <v>70</v>
      </c>
      <c r="B11" s="42" t="s">
        <v>26</v>
      </c>
      <c r="C11" s="47">
        <f>POWER(C56/C45,365/($B$56-$B$45))-1</f>
        <v>5.7538664536806783E-2</v>
      </c>
      <c r="D11" s="47">
        <f>POWER(D56/D45,365/($B$56-$B$45))-1</f>
        <v>9.0219263839004027E-2</v>
      </c>
      <c r="E11" s="47">
        <f>POWER(E56/E45,365/($B$56-$B$45))-1</f>
        <v>7.7313514100522562E-2</v>
      </c>
      <c r="G11" s="31">
        <f t="shared" si="7"/>
        <v>37407</v>
      </c>
      <c r="H11" s="63"/>
      <c r="I11" s="25">
        <f t="shared" si="2"/>
        <v>-1.7719422430104714E-3</v>
      </c>
      <c r="J11" s="19">
        <v>-7.3639344262295126E-3</v>
      </c>
      <c r="K11" s="24">
        <v>3.9926875825835317E-3</v>
      </c>
      <c r="L11"/>
      <c r="M11" s="143">
        <v>10788.2</v>
      </c>
      <c r="N11" s="148">
        <f t="shared" si="3"/>
        <v>9877.6524939315605</v>
      </c>
      <c r="O11" s="146">
        <f t="shared" si="3"/>
        <v>10052.13856589942</v>
      </c>
      <c r="P11" s="40"/>
      <c r="Q11" s="29">
        <f t="shared" si="0"/>
        <v>7.8820000000000071E-2</v>
      </c>
      <c r="R11" s="28">
        <f t="shared" si="4"/>
        <v>-1.2234750606843954E-2</v>
      </c>
      <c r="S11" s="27">
        <f t="shared" si="5"/>
        <v>5.2138565899420425E-3</v>
      </c>
      <c r="T11" s="40"/>
      <c r="U11" s="31">
        <f t="shared" si="8"/>
        <v>43646</v>
      </c>
      <c r="V11" s="143">
        <f t="shared" si="6"/>
        <v>10286.797188316479</v>
      </c>
      <c r="W11" s="257">
        <f t="shared" si="1"/>
        <v>11003.37275979655</v>
      </c>
      <c r="X11" s="146">
        <f t="shared" si="1"/>
        <v>10842.391951884392</v>
      </c>
    </row>
    <row r="12" spans="1:24">
      <c r="A12" s="116" t="s">
        <v>70</v>
      </c>
      <c r="B12" s="42" t="s">
        <v>25</v>
      </c>
      <c r="C12" s="47">
        <f>C11</f>
        <v>5.7538664536806783E-2</v>
      </c>
      <c r="D12" s="47">
        <f t="shared" ref="D12:E12" si="10">D11</f>
        <v>9.0219263839004027E-2</v>
      </c>
      <c r="E12" s="47">
        <f t="shared" si="10"/>
        <v>7.7313514100522562E-2</v>
      </c>
      <c r="G12" s="31">
        <f t="shared" si="7"/>
        <v>37437</v>
      </c>
      <c r="H12" s="41"/>
      <c r="I12" s="25">
        <f t="shared" si="2"/>
        <v>-1.2357946645409013E-2</v>
      </c>
      <c r="J12" s="19">
        <v>-7.123275002146956E-2</v>
      </c>
      <c r="K12" s="24">
        <v>-6.3054257249385959E-2</v>
      </c>
      <c r="L12"/>
      <c r="M12" s="143">
        <v>10654.88</v>
      </c>
      <c r="N12" s="148">
        <f t="shared" si="3"/>
        <v>9174.0401430323891</v>
      </c>
      <c r="O12" s="146">
        <f t="shared" si="3"/>
        <v>9418.3084348587254</v>
      </c>
      <c r="P12" s="40"/>
      <c r="Q12" s="29">
        <f t="shared" si="0"/>
        <v>6.5487999999999921E-2</v>
      </c>
      <c r="R12" s="28">
        <f t="shared" si="4"/>
        <v>-8.259598569676109E-2</v>
      </c>
      <c r="S12" s="27">
        <f t="shared" si="5"/>
        <v>-5.8169156514127462E-2</v>
      </c>
      <c r="T12" s="40"/>
      <c r="U12" s="31">
        <f t="shared" si="8"/>
        <v>43677</v>
      </c>
      <c r="V12" s="143">
        <f t="shared" si="6"/>
        <v>10449.080110647272</v>
      </c>
      <c r="W12" s="257">
        <f t="shared" si="1"/>
        <v>11161.525582504106</v>
      </c>
      <c r="X12" s="146">
        <f t="shared" si="1"/>
        <v>11033.378483008732</v>
      </c>
    </row>
    <row r="13" spans="1:24">
      <c r="A13" s="116" t="s">
        <v>70</v>
      </c>
      <c r="B13" s="42" t="s">
        <v>24</v>
      </c>
      <c r="C13" s="118">
        <f>(C56-C45)/C45</f>
        <v>1.9722</v>
      </c>
      <c r="D13" s="118">
        <f>(D56-D45)/D45</f>
        <v>4.3757732362383548</v>
      </c>
      <c r="E13" s="118">
        <f>(E56-E45)/E45</f>
        <v>3.2632491325203037</v>
      </c>
      <c r="G13" s="31">
        <f t="shared" si="7"/>
        <v>37468</v>
      </c>
      <c r="H13" s="41"/>
      <c r="I13" s="25">
        <f t="shared" si="2"/>
        <v>-3.5610912558376895E-2</v>
      </c>
      <c r="J13" s="19">
        <v>-7.7954962516181392E-2</v>
      </c>
      <c r="K13" s="24">
        <v>-0.10810412344519338</v>
      </c>
      <c r="L13"/>
      <c r="M13" s="143">
        <v>10275.450000000001</v>
      </c>
      <c r="N13" s="148">
        <f t="shared" si="3"/>
        <v>8458.8781875603563</v>
      </c>
      <c r="O13" s="146">
        <f t="shared" si="3"/>
        <v>8400.1504571718524</v>
      </c>
      <c r="P13" s="40"/>
      <c r="Q13" s="29">
        <f t="shared" si="0"/>
        <v>2.7545000000000073E-2</v>
      </c>
      <c r="R13" s="28">
        <f t="shared" si="4"/>
        <v>-0.15411218124396436</v>
      </c>
      <c r="S13" s="27">
        <f t="shared" si="5"/>
        <v>-0.15998495428281476</v>
      </c>
      <c r="T13" s="40"/>
      <c r="U13" s="31">
        <f t="shared" si="8"/>
        <v>43708</v>
      </c>
      <c r="V13" s="143">
        <f t="shared" si="6"/>
        <v>10277.780415371657</v>
      </c>
      <c r="W13" s="257">
        <f t="shared" si="1"/>
        <v>10984.711769646645</v>
      </c>
      <c r="X13" s="146">
        <f t="shared" si="1"/>
        <v>10747.831056748264</v>
      </c>
    </row>
    <row r="14" spans="1:24" ht="15.75" thickBot="1">
      <c r="A14" s="116" t="s">
        <v>70</v>
      </c>
      <c r="B14" s="42" t="s">
        <v>37</v>
      </c>
      <c r="C14" s="44">
        <f>STDEV(IF(I4:I237&lt;&gt;0,I4:I237))*SQRT(12)</f>
        <v>0.12612521148502845</v>
      </c>
      <c r="D14" s="44">
        <f t="shared" ref="D14:E14" si="11">STDEV(IF(J4:J237&lt;&gt;0,J4:J237))*SQRT(12)</f>
        <v>0.14738322592325609</v>
      </c>
      <c r="E14" s="44">
        <f t="shared" si="11"/>
        <v>0.15855954463972416</v>
      </c>
      <c r="G14" s="31">
        <f t="shared" si="7"/>
        <v>37499</v>
      </c>
      <c r="H14" s="61"/>
      <c r="I14" s="25">
        <f t="shared" si="2"/>
        <v>8.9825749723855264E-3</v>
      </c>
      <c r="J14" s="19">
        <v>6.5723498464909103E-3</v>
      </c>
      <c r="K14" s="24">
        <v>6.8694655082943701E-3</v>
      </c>
      <c r="L14"/>
      <c r="M14" s="143">
        <v>10367.75</v>
      </c>
      <c r="N14" s="148">
        <f t="shared" si="3"/>
        <v>8514.4728943178543</v>
      </c>
      <c r="O14" s="146">
        <f t="shared" si="3"/>
        <v>8457.8550010018771</v>
      </c>
      <c r="P14" s="40"/>
      <c r="Q14" s="29">
        <f t="shared" si="0"/>
        <v>3.6775000000000002E-2</v>
      </c>
      <c r="R14" s="28">
        <f t="shared" si="4"/>
        <v>-0.14855271056821456</v>
      </c>
      <c r="S14" s="27">
        <f t="shared" si="5"/>
        <v>-0.15421449989981229</v>
      </c>
      <c r="T14" s="40"/>
      <c r="U14" s="31">
        <f t="shared" si="8"/>
        <v>43738</v>
      </c>
      <c r="V14" s="143">
        <f t="shared" si="6"/>
        <v>10286.797188316477</v>
      </c>
      <c r="W14" s="257">
        <f t="shared" si="1"/>
        <v>11190.243393692879</v>
      </c>
      <c r="X14" s="146">
        <f t="shared" si="1"/>
        <v>11149.728099602127</v>
      </c>
    </row>
    <row r="15" spans="1:24">
      <c r="A15" s="116" t="s">
        <v>70</v>
      </c>
      <c r="B15" s="42" t="s">
        <v>39</v>
      </c>
      <c r="C15" s="44">
        <f>(1+C60)^(12/120)-1</f>
        <v>5.3479881169987475E-2</v>
      </c>
      <c r="D15" s="44">
        <f>(1+D60)^(12/120)-1</f>
        <v>0.13912338106903843</v>
      </c>
      <c r="E15" s="44">
        <f>(1+E60)^(12/120)-1</f>
        <v>0.11145307901394075</v>
      </c>
      <c r="G15" s="31">
        <f t="shared" si="7"/>
        <v>37529</v>
      </c>
      <c r="H15" s="41"/>
      <c r="I15" s="25">
        <f t="shared" si="2"/>
        <v>-4.6489354006414074E-2</v>
      </c>
      <c r="J15" s="19">
        <v>-0.10868598930153417</v>
      </c>
      <c r="K15" s="24">
        <v>-0.1142572138114486</v>
      </c>
      <c r="L15"/>
      <c r="M15" s="143">
        <v>9885.76</v>
      </c>
      <c r="N15" s="148">
        <f t="shared" si="3"/>
        <v>7589.0689844178214</v>
      </c>
      <c r="O15" s="146">
        <f t="shared" si="3"/>
        <v>7491.4840537661757</v>
      </c>
      <c r="P15" s="40"/>
      <c r="Q15" s="29">
        <f t="shared" si="0"/>
        <v>-1.1423999999999978E-2</v>
      </c>
      <c r="R15" s="28">
        <f t="shared" si="4"/>
        <v>-0.24109310155821786</v>
      </c>
      <c r="S15" s="27">
        <f t="shared" si="5"/>
        <v>-0.25085159462338241</v>
      </c>
      <c r="T15" s="40"/>
      <c r="U15" s="31">
        <f t="shared" si="8"/>
        <v>43769</v>
      </c>
      <c r="V15" s="143">
        <f t="shared" si="6"/>
        <v>10259.902593024874</v>
      </c>
      <c r="W15" s="257">
        <f t="shared" si="1"/>
        <v>11432.612780729636</v>
      </c>
      <c r="X15" s="146">
        <f t="shared" si="1"/>
        <v>11445.176051583348</v>
      </c>
    </row>
    <row r="16" spans="1:24">
      <c r="A16" s="116" t="s">
        <v>70</v>
      </c>
      <c r="B16" s="42" t="s">
        <v>40</v>
      </c>
      <c r="C16" s="44">
        <f>(1+C61)^(12/60)-1</f>
        <v>2.3020024186251264E-2</v>
      </c>
      <c r="D16" s="44">
        <f>(1+D61)^(12/60)-1</f>
        <v>0.16294038412866541</v>
      </c>
      <c r="E16" s="44">
        <f>(1+E61)^(12/60)-1</f>
        <v>0.12313889235198561</v>
      </c>
      <c r="G16" s="31">
        <f t="shared" si="7"/>
        <v>37560</v>
      </c>
      <c r="H16" s="41"/>
      <c r="I16" s="25">
        <f t="shared" si="2"/>
        <v>3.1125578610040616E-3</v>
      </c>
      <c r="J16" s="19">
        <v>8.8019328655936313E-2</v>
      </c>
      <c r="K16" s="24">
        <v>8.314113768872522E-2</v>
      </c>
      <c r="L16"/>
      <c r="M16" s="143">
        <v>9916.5300000000007</v>
      </c>
      <c r="N16" s="148">
        <f t="shared" si="3"/>
        <v>8257.0537415498657</v>
      </c>
      <c r="O16" s="146">
        <f t="shared" si="3"/>
        <v>8114.3345609732387</v>
      </c>
      <c r="P16" s="40"/>
      <c r="Q16" s="29">
        <f t="shared" si="0"/>
        <v>-8.3469999999999343E-3</v>
      </c>
      <c r="R16" s="28">
        <f t="shared" si="4"/>
        <v>-0.17429462584501343</v>
      </c>
      <c r="S16" s="27">
        <f t="shared" si="5"/>
        <v>-0.18856654390267613</v>
      </c>
      <c r="T16" s="40"/>
      <c r="U16" s="31">
        <f t="shared" si="8"/>
        <v>43799</v>
      </c>
      <c r="V16" s="143">
        <f t="shared" si="6"/>
        <v>10322.95163720516</v>
      </c>
      <c r="W16" s="257">
        <f t="shared" si="1"/>
        <v>11847.605638524326</v>
      </c>
      <c r="X16" s="146">
        <f t="shared" si="1"/>
        <v>11886.469054568826</v>
      </c>
    </row>
    <row r="17" spans="1:24">
      <c r="A17" s="116" t="s">
        <v>70</v>
      </c>
      <c r="B17" s="42" t="s">
        <v>41</v>
      </c>
      <c r="C17" s="44">
        <f>(1+C62)^(12/36)-1</f>
        <v>5.2538787974629297E-2</v>
      </c>
      <c r="D17" s="44">
        <f>(1+D62)^(12/36)-1</f>
        <v>0.1677849863795664</v>
      </c>
      <c r="E17" s="44">
        <f>(1+E62)^(12/36)-1</f>
        <v>0.11830921107113035</v>
      </c>
      <c r="G17" s="31">
        <f t="shared" si="7"/>
        <v>37590</v>
      </c>
      <c r="H17" s="63"/>
      <c r="I17" s="25">
        <f t="shared" si="2"/>
        <v>2.9989320861228519E-2</v>
      </c>
      <c r="J17" s="19">
        <v>5.8858393722192925E-2</v>
      </c>
      <c r="K17" s="24">
        <v>7.0250037365888973E-2</v>
      </c>
      <c r="L17"/>
      <c r="M17" s="143">
        <v>10213.92</v>
      </c>
      <c r="N17" s="148">
        <f t="shared" si="3"/>
        <v>8743.0506616553139</v>
      </c>
      <c r="O17" s="146">
        <f t="shared" si="3"/>
        <v>8684.3668670809329</v>
      </c>
      <c r="P17" s="40"/>
      <c r="Q17" s="29">
        <f t="shared" si="0"/>
        <v>2.1392000000000008E-2</v>
      </c>
      <c r="R17" s="28">
        <f t="shared" si="4"/>
        <v>-0.12569493383446861</v>
      </c>
      <c r="S17" s="27">
        <f t="shared" si="5"/>
        <v>-0.13156331329190671</v>
      </c>
      <c r="T17" s="40"/>
      <c r="U17" s="31">
        <f t="shared" si="8"/>
        <v>43830</v>
      </c>
      <c r="V17" s="143">
        <f t="shared" si="6"/>
        <v>10389.419003057874</v>
      </c>
      <c r="W17" s="257">
        <f t="shared" si="1"/>
        <v>12205.200121426797</v>
      </c>
      <c r="X17" s="146">
        <f t="shared" si="1"/>
        <v>12257.074006004241</v>
      </c>
    </row>
    <row r="18" spans="1:24">
      <c r="A18" s="116" t="s">
        <v>70</v>
      </c>
      <c r="B18" s="42" t="s">
        <v>43</v>
      </c>
      <c r="C18" s="47">
        <f>(C56-C50)/C50</f>
        <v>0.34172986637775371</v>
      </c>
      <c r="D18" s="47">
        <f>(D56-D50)/D50</f>
        <v>0.56351628330676384</v>
      </c>
      <c r="E18" s="47">
        <f>(E56-E50)/E50</f>
        <v>0.50373885301526189</v>
      </c>
      <c r="G18" s="31">
        <f t="shared" si="7"/>
        <v>37621</v>
      </c>
      <c r="H18" s="41"/>
      <c r="I18" s="25">
        <f t="shared" si="2"/>
        <v>2.4447029152372401E-3</v>
      </c>
      <c r="J18" s="19">
        <v>-5.8743628208285825E-2</v>
      </c>
      <c r="K18" s="24">
        <v>-5.1954264002061712E-2</v>
      </c>
      <c r="L18"/>
      <c r="M18" s="143">
        <v>10238.89</v>
      </c>
      <c r="N18" s="148">
        <f t="shared" si="3"/>
        <v>8229.4521441808265</v>
      </c>
      <c r="O18" s="146">
        <f t="shared" si="3"/>
        <v>8233.176978177853</v>
      </c>
      <c r="P18" s="40"/>
      <c r="Q18" s="29">
        <f t="shared" si="0"/>
        <v>2.3888999999999942E-2</v>
      </c>
      <c r="R18" s="28">
        <f t="shared" si="4"/>
        <v>-0.17705478558191734</v>
      </c>
      <c r="S18" s="27">
        <f t="shared" si="5"/>
        <v>-0.1766823021822147</v>
      </c>
      <c r="T18" s="40"/>
      <c r="U18" s="31">
        <f t="shared" si="8"/>
        <v>43861</v>
      </c>
      <c r="V18" s="143">
        <f t="shared" si="6"/>
        <v>10333.586415741594</v>
      </c>
      <c r="W18" s="257">
        <f t="shared" si="1"/>
        <v>12200.413819562002</v>
      </c>
      <c r="X18" s="146">
        <f t="shared" si="1"/>
        <v>11933.620899319505</v>
      </c>
    </row>
    <row r="19" spans="1:24">
      <c r="A19" s="116" t="s">
        <v>70</v>
      </c>
      <c r="B19" s="42" t="s">
        <v>44</v>
      </c>
      <c r="C19" s="47">
        <f>(C56-C54)/C54</f>
        <v>7.3732885372638265E-2</v>
      </c>
      <c r="D19" s="47">
        <f>(D56-D54)/D54</f>
        <v>6.1748728952811763E-2</v>
      </c>
      <c r="E19" s="47">
        <f>(E56-E54)/E54</f>
        <v>0.10766553917255545</v>
      </c>
      <c r="G19" s="31">
        <f>EOMONTH(G18,1)</f>
        <v>37652</v>
      </c>
      <c r="H19" s="41"/>
      <c r="I19" s="25">
        <f>M19/M18-1</f>
        <v>-1.2232771325798031E-2</v>
      </c>
      <c r="J19" s="19">
        <v>-2.6197687879604747E-2</v>
      </c>
      <c r="K19" s="24">
        <v>-2.736335578980631E-2</v>
      </c>
      <c r="L19"/>
      <c r="M19" s="143">
        <v>10113.64</v>
      </c>
      <c r="N19" s="148">
        <f t="shared" si="3"/>
        <v>8013.8595254874335</v>
      </c>
      <c r="O19" s="146">
        <f t="shared" si="3"/>
        <v>8007.8896272435304</v>
      </c>
      <c r="P19" s="40"/>
      <c r="Q19" s="29">
        <f t="shared" si="0"/>
        <v>1.1363999999999942E-2</v>
      </c>
      <c r="R19" s="28">
        <f t="shared" si="4"/>
        <v>-0.19861404745125666</v>
      </c>
      <c r="S19" s="27">
        <f t="shared" si="5"/>
        <v>-0.19921103727564696</v>
      </c>
      <c r="T19" s="40"/>
      <c r="U19" s="31">
        <f t="shared" si="8"/>
        <v>43890</v>
      </c>
      <c r="V19" s="143">
        <f t="shared" si="6"/>
        <v>9637.7680486434729</v>
      </c>
      <c r="W19" s="257">
        <f t="shared" si="1"/>
        <v>11196.091248889554</v>
      </c>
      <c r="X19" s="146">
        <f t="shared" si="1"/>
        <v>10798.73129538214</v>
      </c>
    </row>
    <row r="20" spans="1:24">
      <c r="A20" s="116" t="s">
        <v>115</v>
      </c>
      <c r="B20" s="42" t="s">
        <v>117</v>
      </c>
      <c r="C20" s="47">
        <f>(C56-C52)/C52</f>
        <v>7.3732885372638265E-2</v>
      </c>
      <c r="D20" s="47">
        <f t="shared" ref="D20:E20" si="12">(D56-D52)/D52</f>
        <v>6.1748728952811763E-2</v>
      </c>
      <c r="E20" s="47">
        <f t="shared" si="12"/>
        <v>0.10766553917255545</v>
      </c>
      <c r="G20" s="31">
        <f t="shared" si="7"/>
        <v>37680</v>
      </c>
      <c r="H20" s="63"/>
      <c r="I20" s="25">
        <f t="shared" si="2"/>
        <v>-6.1916382232310996E-3</v>
      </c>
      <c r="J20" s="19">
        <v>-1.5006432491409871E-2</v>
      </c>
      <c r="K20" s="24">
        <v>-2.7242031482640039E-2</v>
      </c>
      <c r="L20"/>
      <c r="M20" s="143">
        <v>10051.02</v>
      </c>
      <c r="N20" s="148">
        <f t="shared" si="3"/>
        <v>7893.6000835225641</v>
      </c>
      <c r="O20" s="146">
        <f t="shared" si="3"/>
        <v>7789.7384459086552</v>
      </c>
      <c r="P20" s="40"/>
      <c r="Q20" s="29">
        <f t="shared" si="0"/>
        <v>5.102000000000044E-3</v>
      </c>
      <c r="R20" s="28">
        <f t="shared" si="4"/>
        <v>-0.21063999164774358</v>
      </c>
      <c r="S20" s="27">
        <f t="shared" si="5"/>
        <v>-0.22102615540913448</v>
      </c>
      <c r="T20" s="40"/>
      <c r="U20" s="31">
        <f t="shared" si="8"/>
        <v>43921</v>
      </c>
      <c r="V20" s="143">
        <f t="shared" si="6"/>
        <v>8413.6290763960678</v>
      </c>
      <c r="W20" s="257">
        <f t="shared" si="6"/>
        <v>9813.2224848169881</v>
      </c>
      <c r="X20" s="146">
        <f t="shared" si="6"/>
        <v>9151.4937406361078</v>
      </c>
    </row>
    <row r="21" spans="1:24">
      <c r="A21" s="116" t="s">
        <v>115</v>
      </c>
      <c r="B21" s="42" t="s">
        <v>116</v>
      </c>
      <c r="C21" s="47">
        <f>IF(C10&gt;12,((C56/C55)^(12/C10)-1),C56/C55-1)</f>
        <v>5.1442590907457397E-2</v>
      </c>
      <c r="D21" s="47">
        <f t="shared" ref="D21:E21" si="13">IF(D10&gt;12,((D56/D55)^(12/D10)-1),D56/D55-1)</f>
        <v>0.19379554349071637</v>
      </c>
      <c r="E21" s="47">
        <f t="shared" si="13"/>
        <v>0.14124365430243624</v>
      </c>
      <c r="G21" s="31">
        <f t="shared" si="7"/>
        <v>37711</v>
      </c>
      <c r="H21" s="41"/>
      <c r="I21" s="25">
        <f t="shared" si="2"/>
        <v>2.076406175691492E-3</v>
      </c>
      <c r="J21" s="19">
        <v>9.7130717279347856E-3</v>
      </c>
      <c r="K21" s="24">
        <v>-1.2921655506256124E-3</v>
      </c>
      <c r="L21"/>
      <c r="M21" s="143">
        <v>10071.89</v>
      </c>
      <c r="N21" s="148">
        <f t="shared" ref="N21:O36" si="14">N20*(1+J21)</f>
        <v>7970.2711873254511</v>
      </c>
      <c r="O21" s="146">
        <f t="shared" si="14"/>
        <v>7779.6728142404681</v>
      </c>
      <c r="P21" s="40"/>
      <c r="Q21" s="29">
        <f t="shared" si="0"/>
        <v>7.188999999999942E-3</v>
      </c>
      <c r="R21" s="28">
        <f t="shared" si="4"/>
        <v>-0.20297288126745489</v>
      </c>
      <c r="S21" s="27">
        <f t="shared" si="5"/>
        <v>-0.22203271857595319</v>
      </c>
      <c r="T21" s="40"/>
      <c r="U21" s="31">
        <f t="shared" si="8"/>
        <v>43951</v>
      </c>
      <c r="V21" s="143">
        <f t="shared" ref="V21:X32" si="15">V20*(1+I226)</f>
        <v>9146.2893548525517</v>
      </c>
      <c r="W21" s="257">
        <f t="shared" si="15"/>
        <v>11071.219054323588</v>
      </c>
      <c r="X21" s="146">
        <f t="shared" si="15"/>
        <v>10131.235392705725</v>
      </c>
    </row>
    <row r="22" spans="1:24">
      <c r="A22" s="116"/>
      <c r="B22" s="50" t="s">
        <v>22</v>
      </c>
      <c r="C22" s="44">
        <f>C12-$C$8</f>
        <v>5.7361664536806786E-2</v>
      </c>
      <c r="D22" s="44">
        <f>D12-$C$8</f>
        <v>9.004226383900403E-2</v>
      </c>
      <c r="E22" s="44">
        <f>E12-$C$8</f>
        <v>7.7136514100522566E-2</v>
      </c>
      <c r="G22" s="31">
        <f t="shared" si="7"/>
        <v>37741</v>
      </c>
      <c r="H22" s="41"/>
      <c r="I22" s="25">
        <f t="shared" si="2"/>
        <v>4.3523112345349446E-2</v>
      </c>
      <c r="J22" s="19">
        <v>8.2368640806903093E-2</v>
      </c>
      <c r="K22" s="24">
        <v>9.8872373257781421E-2</v>
      </c>
      <c r="L22"/>
      <c r="M22" s="143">
        <v>10510.25</v>
      </c>
      <c r="N22" s="148">
        <f t="shared" si="14"/>
        <v>8626.7715918878694</v>
      </c>
      <c r="O22" s="146">
        <f t="shared" si="14"/>
        <v>8548.8675285534664</v>
      </c>
      <c r="P22" s="40"/>
      <c r="Q22" s="29">
        <f t="shared" si="0"/>
        <v>5.1025000000000001E-2</v>
      </c>
      <c r="R22" s="28">
        <f t="shared" si="4"/>
        <v>-0.13732284081121307</v>
      </c>
      <c r="S22" s="27">
        <f t="shared" si="5"/>
        <v>-0.14511324714465337</v>
      </c>
      <c r="T22" s="40"/>
      <c r="U22" s="31">
        <f t="shared" si="8"/>
        <v>43982</v>
      </c>
      <c r="V22" s="143">
        <f t="shared" si="15"/>
        <v>9396.5864639779138</v>
      </c>
      <c r="W22" s="257">
        <f t="shared" si="15"/>
        <v>11598.513080385654</v>
      </c>
      <c r="X22" s="146">
        <f t="shared" si="15"/>
        <v>10454.368883564901</v>
      </c>
    </row>
    <row r="23" spans="1:24">
      <c r="A23" s="116" t="s">
        <v>70</v>
      </c>
      <c r="B23" s="42" t="s">
        <v>15</v>
      </c>
      <c r="C23" s="46">
        <f>(C22-$C$8)/C14</f>
        <v>0.45339598533473879</v>
      </c>
      <c r="D23" s="125">
        <f>(D22-$C$8)/D14</f>
        <v>0.60973874927800653</v>
      </c>
      <c r="E23" s="125">
        <f>(E22-$C$8)/E14</f>
        <v>0.48536664428110238</v>
      </c>
      <c r="G23" s="31">
        <f t="shared" si="7"/>
        <v>37772</v>
      </c>
      <c r="H23" s="63"/>
      <c r="I23" s="25">
        <f t="shared" si="2"/>
        <v>4.170880806831434E-2</v>
      </c>
      <c r="J23" s="19">
        <v>5.2682535720498969E-2</v>
      </c>
      <c r="K23" s="24">
        <v>7.3603318166647336E-2</v>
      </c>
      <c r="L23" s="48"/>
      <c r="M23" s="143">
        <v>10948.62</v>
      </c>
      <c r="N23" s="148">
        <f t="shared" si="14"/>
        <v>9081.2517944300871</v>
      </c>
      <c r="O23" s="146">
        <f t="shared" si="14"/>
        <v>9178.0925452221072</v>
      </c>
      <c r="P23" s="40"/>
      <c r="Q23" s="29">
        <f t="shared" si="0"/>
        <v>9.4862000000000085E-2</v>
      </c>
      <c r="R23" s="28">
        <f t="shared" si="4"/>
        <v>-9.1874820556991296E-2</v>
      </c>
      <c r="S23" s="27">
        <f t="shared" si="5"/>
        <v>-8.2190745477789276E-2</v>
      </c>
      <c r="T23" s="40"/>
      <c r="U23" s="31">
        <f t="shared" si="8"/>
        <v>44012</v>
      </c>
      <c r="V23" s="143">
        <f t="shared" si="15"/>
        <v>9341.1336901807936</v>
      </c>
      <c r="W23" s="257">
        <f t="shared" si="15"/>
        <v>11829.186757029058</v>
      </c>
      <c r="X23" s="146">
        <f t="shared" si="15"/>
        <v>10354.720612270448</v>
      </c>
    </row>
    <row r="24" spans="1:24">
      <c r="A24" s="116" t="s">
        <v>70</v>
      </c>
      <c r="B24" s="101" t="s">
        <v>56</v>
      </c>
      <c r="C24" s="43">
        <f>COVAR(I4:I237,$J$4:$J$237)/VAR($J$4:$J$237)</f>
        <v>0.7180658987510613</v>
      </c>
      <c r="D24" s="129"/>
      <c r="E24" s="126">
        <f>COVAR(K4:K237,$J$4:$J$237)/VAR($J$4:$J$237)</f>
        <v>1.0418000808310421</v>
      </c>
      <c r="G24" s="31">
        <f t="shared" si="7"/>
        <v>37802</v>
      </c>
      <c r="H24" s="41"/>
      <c r="I24" s="25">
        <f t="shared" si="2"/>
        <v>1.5252150499332373E-2</v>
      </c>
      <c r="J24" s="19">
        <v>1.2761187595205836E-2</v>
      </c>
      <c r="K24" s="24">
        <v>7.3098565924998304E-3</v>
      </c>
      <c r="L24" s="13"/>
      <c r="M24" s="143">
        <v>11115.61</v>
      </c>
      <c r="N24" s="148">
        <f t="shared" si="14"/>
        <v>9197.1393521781083</v>
      </c>
      <c r="O24" s="146">
        <f t="shared" si="14"/>
        <v>9245.1830855203734</v>
      </c>
      <c r="P24" s="40"/>
      <c r="Q24" s="29">
        <f t="shared" si="0"/>
        <v>0.11156100000000006</v>
      </c>
      <c r="R24" s="28">
        <f t="shared" si="4"/>
        <v>-8.0286064782189165E-2</v>
      </c>
      <c r="S24" s="27">
        <f t="shared" si="5"/>
        <v>-7.5481691447962657E-2</v>
      </c>
      <c r="T24" s="40"/>
      <c r="U24" s="31">
        <f t="shared" si="8"/>
        <v>44043</v>
      </c>
      <c r="V24" s="143">
        <f t="shared" si="15"/>
        <v>9739.9378852970749</v>
      </c>
      <c r="W24" s="257">
        <f t="shared" si="15"/>
        <v>12496.177476818088</v>
      </c>
      <c r="X24" s="146">
        <f t="shared" si="15"/>
        <v>10733.285699858425</v>
      </c>
    </row>
    <row r="25" spans="1:24">
      <c r="A25" s="116" t="s">
        <v>70</v>
      </c>
      <c r="B25" s="100" t="s">
        <v>57</v>
      </c>
      <c r="C25" s="44">
        <f>C22-($D$22*C24)</f>
        <v>-7.2946145723278288E-3</v>
      </c>
      <c r="D25" s="127"/>
      <c r="E25" s="127">
        <f>E22-($D$22*E24)</f>
        <v>-1.666952364516186E-2</v>
      </c>
      <c r="G25" s="31">
        <f t="shared" si="7"/>
        <v>37833</v>
      </c>
      <c r="H25" s="41"/>
      <c r="I25" s="25">
        <f t="shared" si="2"/>
        <v>6.5727386981011549E-3</v>
      </c>
      <c r="J25" s="19">
        <v>1.7630615546158745E-2</v>
      </c>
      <c r="K25" s="24">
        <v>2.2202633009836825E-2</v>
      </c>
      <c r="L25" s="13"/>
      <c r="M25" s="143">
        <v>11188.67</v>
      </c>
      <c r="N25" s="148">
        <f t="shared" si="14"/>
        <v>9359.2905802208079</v>
      </c>
      <c r="O25" s="146">
        <f t="shared" si="14"/>
        <v>9450.4504926769332</v>
      </c>
      <c r="P25" s="40"/>
      <c r="Q25" s="29">
        <f t="shared" si="0"/>
        <v>0.118867</v>
      </c>
      <c r="R25" s="28">
        <f t="shared" si="4"/>
        <v>-6.407094197791921E-2</v>
      </c>
      <c r="S25" s="27">
        <f t="shared" si="5"/>
        <v>-5.4954950732306676E-2</v>
      </c>
      <c r="T25" s="40"/>
      <c r="U25" s="31">
        <f t="shared" si="8"/>
        <v>44074</v>
      </c>
      <c r="V25" s="143">
        <f t="shared" si="15"/>
        <v>9990.234994422437</v>
      </c>
      <c r="W25" s="257">
        <f t="shared" si="15"/>
        <v>13394.400585530459</v>
      </c>
      <c r="X25" s="146">
        <f t="shared" si="15"/>
        <v>11117.581177691649</v>
      </c>
    </row>
    <row r="26" spans="1:24" ht="15.75" thickBot="1">
      <c r="A26" s="116" t="s">
        <v>70</v>
      </c>
      <c r="B26" s="100" t="s">
        <v>58</v>
      </c>
      <c r="C26" s="43">
        <f>CORREL(I4:I237,$J$4:$J$237)</f>
        <v>0.84269494630294095</v>
      </c>
      <c r="D26" s="43">
        <f t="shared" ref="D26:E26" si="16">CORREL(J4:J237,$J$4:$J$237)</f>
        <v>1.0000000000000002</v>
      </c>
      <c r="E26" s="43">
        <f t="shared" si="16"/>
        <v>0.97252324695886827</v>
      </c>
      <c r="G26" s="31">
        <f t="shared" si="7"/>
        <v>37864</v>
      </c>
      <c r="H26" s="61"/>
      <c r="I26" s="25">
        <f t="shared" si="2"/>
        <v>6.5298198981647015E-3</v>
      </c>
      <c r="J26" s="19">
        <v>1.950039391214009E-2</v>
      </c>
      <c r="K26" s="24">
        <v>2.1638548271203817E-2</v>
      </c>
      <c r="L26" s="13"/>
      <c r="M26" s="143">
        <v>11261.73</v>
      </c>
      <c r="N26" s="148">
        <f t="shared" si="14"/>
        <v>9541.8004332732962</v>
      </c>
      <c r="O26" s="146">
        <f t="shared" si="14"/>
        <v>9654.9445218473447</v>
      </c>
      <c r="P26" s="40"/>
      <c r="Q26" s="29">
        <f t="shared" si="0"/>
        <v>0.12617299999999995</v>
      </c>
      <c r="R26" s="28">
        <f t="shared" si="4"/>
        <v>-4.581995667267038E-2</v>
      </c>
      <c r="S26" s="27">
        <f t="shared" si="5"/>
        <v>-3.4505547815265526E-2</v>
      </c>
      <c r="T26" s="40"/>
      <c r="U26" s="31">
        <f t="shared" si="8"/>
        <v>44104</v>
      </c>
      <c r="V26" s="143">
        <f t="shared" si="15"/>
        <v>9777.1596101745945</v>
      </c>
      <c r="W26" s="257">
        <f t="shared" si="15"/>
        <v>12885.450945992998</v>
      </c>
      <c r="X26" s="146">
        <f t="shared" si="15"/>
        <v>10851.089663019013</v>
      </c>
    </row>
    <row r="27" spans="1:24">
      <c r="A27" s="116" t="s">
        <v>70</v>
      </c>
      <c r="B27" s="42" t="s">
        <v>10</v>
      </c>
      <c r="C27" s="86">
        <f>(COUNTIF(I4:I237,"&gt;0"))/C9</f>
        <v>0.65830115830115832</v>
      </c>
      <c r="D27" s="86">
        <f t="shared" ref="D27:E27" si="17">(COUNTIF(J4:J237,"&gt;0"))/D9</f>
        <v>0.67112520683949251</v>
      </c>
      <c r="E27" s="86">
        <f t="shared" si="17"/>
        <v>0.64547710976282402</v>
      </c>
      <c r="G27" s="31">
        <f t="shared" si="7"/>
        <v>37894</v>
      </c>
      <c r="H27" s="41"/>
      <c r="I27" s="25">
        <f t="shared" si="2"/>
        <v>9.6068721235547105E-3</v>
      </c>
      <c r="J27" s="19">
        <v>-1.0620255761471631E-2</v>
      </c>
      <c r="K27" s="24">
        <v>-1.810420995397799E-2</v>
      </c>
      <c r="L27" s="13"/>
      <c r="M27" s="143">
        <v>11369.92</v>
      </c>
      <c r="N27" s="148">
        <f t="shared" si="14"/>
        <v>9440.4640722470122</v>
      </c>
      <c r="O27" s="146">
        <f t="shared" si="14"/>
        <v>9480.1493791298108</v>
      </c>
      <c r="P27" s="40"/>
      <c r="Q27" s="29">
        <f t="shared" si="0"/>
        <v>0.136992</v>
      </c>
      <c r="R27" s="28">
        <f t="shared" si="4"/>
        <v>-5.5953592775298787E-2</v>
      </c>
      <c r="S27" s="27">
        <f t="shared" si="5"/>
        <v>-5.1985062087018925E-2</v>
      </c>
      <c r="T27" s="40"/>
      <c r="U27" s="31">
        <f t="shared" si="8"/>
        <v>44135</v>
      </c>
      <c r="V27" s="143">
        <f t="shared" si="15"/>
        <v>9654.8596570056015</v>
      </c>
      <c r="W27" s="257">
        <f t="shared" si="15"/>
        <v>12542.792704707512</v>
      </c>
      <c r="X27" s="146">
        <f t="shared" si="15"/>
        <v>10634.067869758632</v>
      </c>
    </row>
    <row r="28" spans="1:24">
      <c r="A28" s="116" t="s">
        <v>70</v>
      </c>
      <c r="B28" s="42" t="s">
        <v>18</v>
      </c>
      <c r="C28" s="47"/>
      <c r="D28" s="128"/>
      <c r="E28" s="128"/>
      <c r="G28" s="31">
        <f t="shared" si="7"/>
        <v>37925</v>
      </c>
      <c r="H28" s="41"/>
      <c r="I28" s="25">
        <f t="shared" si="2"/>
        <v>3.4926367116039581E-2</v>
      </c>
      <c r="J28" s="19">
        <v>5.6574299992396826E-2</v>
      </c>
      <c r="K28" s="24">
        <v>6.835489193916211E-2</v>
      </c>
      <c r="L28" s="13"/>
      <c r="M28" s="143">
        <v>11767.03</v>
      </c>
      <c r="N28" s="148">
        <f t="shared" si="14"/>
        <v>9974.5517187377591</v>
      </c>
      <c r="O28" s="146">
        <f t="shared" si="14"/>
        <v>10128.163965507343</v>
      </c>
      <c r="P28" s="40"/>
      <c r="Q28" s="29">
        <f t="shared" si="0"/>
        <v>0.17670300000000005</v>
      </c>
      <c r="R28" s="28">
        <f t="shared" si="4"/>
        <v>-2.5448281262240927E-3</v>
      </c>
      <c r="S28" s="27">
        <f t="shared" si="5"/>
        <v>1.2816396550734317E-2</v>
      </c>
      <c r="T28" s="40"/>
      <c r="U28" s="31">
        <f t="shared" si="8"/>
        <v>44165</v>
      </c>
      <c r="V28" s="143">
        <f t="shared" si="15"/>
        <v>10177.483059367511</v>
      </c>
      <c r="W28" s="257">
        <f t="shared" si="15"/>
        <v>13915.772261425189</v>
      </c>
      <c r="X28" s="146">
        <f t="shared" si="15"/>
        <v>12003.735811383543</v>
      </c>
    </row>
    <row r="29" spans="1:24">
      <c r="A29" s="116"/>
      <c r="B29" s="42" t="s">
        <v>42</v>
      </c>
      <c r="C29" s="150"/>
      <c r="D29" s="150"/>
      <c r="E29" s="150"/>
      <c r="G29" s="31">
        <f t="shared" si="7"/>
        <v>37955</v>
      </c>
      <c r="H29" s="63"/>
      <c r="I29" s="25">
        <f t="shared" si="2"/>
        <v>1.598619192778461E-2</v>
      </c>
      <c r="J29" s="19">
        <v>8.7987858329736657E-3</v>
      </c>
      <c r="K29" s="24">
        <v>8.9959176778950933E-3</v>
      </c>
      <c r="L29" s="13"/>
      <c r="M29" s="143">
        <v>11955.14</v>
      </c>
      <c r="N29" s="148">
        <f t="shared" si="14"/>
        <v>10062.315663090852</v>
      </c>
      <c r="O29" s="146">
        <f t="shared" si="14"/>
        <v>10219.276094769271</v>
      </c>
      <c r="P29" s="40"/>
      <c r="Q29" s="29">
        <f t="shared" si="0"/>
        <v>0.19551399999999994</v>
      </c>
      <c r="R29" s="28">
        <f t="shared" si="4"/>
        <v>6.231566309085247E-3</v>
      </c>
      <c r="S29" s="27">
        <f t="shared" si="5"/>
        <v>2.1927609476927137E-2</v>
      </c>
      <c r="T29" s="40"/>
      <c r="U29" s="31">
        <f t="shared" si="8"/>
        <v>44196</v>
      </c>
      <c r="V29" s="143">
        <f t="shared" si="15"/>
        <v>10513.618023822663</v>
      </c>
      <c r="W29" s="257">
        <f t="shared" si="15"/>
        <v>14450.813764435718</v>
      </c>
      <c r="X29" s="146">
        <f t="shared" si="15"/>
        <v>12423.837534207774</v>
      </c>
    </row>
    <row r="30" spans="1:24">
      <c r="A30" s="116"/>
      <c r="B30" s="42" t="s">
        <v>3</v>
      </c>
      <c r="C30" s="150"/>
      <c r="D30" s="150"/>
      <c r="E30" s="150"/>
      <c r="G30" s="31">
        <f t="shared" si="7"/>
        <v>37986</v>
      </c>
      <c r="H30" s="41"/>
      <c r="I30" s="25">
        <f t="shared" si="2"/>
        <v>3.9362148833054222E-2</v>
      </c>
      <c r="J30" s="19">
        <v>5.2442496125338023E-2</v>
      </c>
      <c r="K30" s="24">
        <v>6.1762709376777414E-2</v>
      </c>
      <c r="L30" s="13"/>
      <c r="M30" s="143">
        <v>12425.72</v>
      </c>
      <c r="N30" s="148">
        <f t="shared" si="14"/>
        <v>10590.008613264423</v>
      </c>
      <c r="O30" s="146">
        <f t="shared" si="14"/>
        <v>10850.446274251555</v>
      </c>
      <c r="P30" s="40"/>
      <c r="Q30" s="29">
        <f t="shared" si="0"/>
        <v>0.24257199999999993</v>
      </c>
      <c r="R30" s="28">
        <f t="shared" si="4"/>
        <v>5.9000861326442285E-2</v>
      </c>
      <c r="S30" s="27">
        <f t="shared" si="5"/>
        <v>8.504462742515552E-2</v>
      </c>
      <c r="T30" s="40"/>
      <c r="U30" s="31">
        <f t="shared" si="8"/>
        <v>44227</v>
      </c>
      <c r="V30" s="143">
        <f t="shared" si="15"/>
        <v>10588.441287096859</v>
      </c>
      <c r="W30" s="257">
        <f t="shared" si="15"/>
        <v>14304.91536440145</v>
      </c>
      <c r="X30" s="146">
        <f t="shared" si="15"/>
        <v>12227.356338582647</v>
      </c>
    </row>
    <row r="31" spans="1:24">
      <c r="A31" s="116"/>
      <c r="B31" s="42" t="s">
        <v>2</v>
      </c>
      <c r="C31" s="150"/>
      <c r="D31" s="150"/>
      <c r="E31" s="150"/>
      <c r="G31" s="31">
        <f t="shared" si="7"/>
        <v>38017</v>
      </c>
      <c r="H31" s="41"/>
      <c r="I31" s="25">
        <f t="shared" si="2"/>
        <v>2.0797185193292655E-2</v>
      </c>
      <c r="J31" s="19">
        <v>1.8355576915967342E-2</v>
      </c>
      <c r="K31" s="24">
        <v>1.7690523296500116E-2</v>
      </c>
      <c r="L31" s="13"/>
      <c r="M31" s="143">
        <v>12684.14</v>
      </c>
      <c r="N31" s="148">
        <f t="shared" si="14"/>
        <v>10784.394330905954</v>
      </c>
      <c r="O31" s="146">
        <f t="shared" si="14"/>
        <v>11042.396346843625</v>
      </c>
      <c r="P31" s="40"/>
      <c r="Q31" s="29">
        <f t="shared" si="0"/>
        <v>0.26841399999999993</v>
      </c>
      <c r="R31" s="28">
        <f t="shared" si="4"/>
        <v>7.8439433090595409E-2</v>
      </c>
      <c r="S31" s="27">
        <f t="shared" si="5"/>
        <v>0.10423963468436249</v>
      </c>
      <c r="T31" s="40"/>
      <c r="U31" s="31">
        <f t="shared" si="8"/>
        <v>44255</v>
      </c>
      <c r="V31" s="143">
        <f t="shared" si="15"/>
        <v>10775.309538522773</v>
      </c>
      <c r="W31" s="257">
        <f t="shared" si="15"/>
        <v>14699.366234037112</v>
      </c>
      <c r="X31" s="146">
        <f t="shared" si="15"/>
        <v>12950.907939528466</v>
      </c>
    </row>
    <row r="32" spans="1:24">
      <c r="A32" s="116"/>
      <c r="B32" s="42" t="s">
        <v>1</v>
      </c>
      <c r="C32" s="150"/>
      <c r="D32" s="150"/>
      <c r="E32" s="150"/>
      <c r="G32" s="31">
        <f t="shared" si="7"/>
        <v>38046</v>
      </c>
      <c r="H32" s="63"/>
      <c r="I32" s="25">
        <f t="shared" si="2"/>
        <v>1.6129591757896078E-2</v>
      </c>
      <c r="J32" s="19">
        <v>1.389821688963111E-2</v>
      </c>
      <c r="K32" s="24">
        <v>2.2599715394484354E-2</v>
      </c>
      <c r="L32" s="13"/>
      <c r="M32" s="143">
        <v>12888.73</v>
      </c>
      <c r="N32" s="148">
        <f t="shared" si="14"/>
        <v>10934.278182340193</v>
      </c>
      <c r="O32" s="146">
        <f t="shared" si="14"/>
        <v>11291.951361555384</v>
      </c>
      <c r="P32" s="40"/>
      <c r="Q32" s="29">
        <f t="shared" si="0"/>
        <v>0.28887299999999994</v>
      </c>
      <c r="R32" s="28">
        <f t="shared" si="4"/>
        <v>9.3427818234019286E-2</v>
      </c>
      <c r="S32" s="27">
        <f t="shared" si="5"/>
        <v>0.12919513615553843</v>
      </c>
      <c r="T32" s="40"/>
      <c r="U32" s="31">
        <f t="shared" si="8"/>
        <v>44286</v>
      </c>
      <c r="V32" s="143">
        <f t="shared" si="15"/>
        <v>11288.817416424879</v>
      </c>
      <c r="W32" s="257">
        <f t="shared" si="15"/>
        <v>15343.133146723418</v>
      </c>
      <c r="X32" s="146">
        <f t="shared" si="15"/>
        <v>13761.456700920486</v>
      </c>
    </row>
    <row r="33" spans="1:20">
      <c r="A33" s="116"/>
      <c r="B33" s="50" t="s">
        <v>23</v>
      </c>
      <c r="C33" s="150"/>
      <c r="D33" s="150"/>
      <c r="E33" s="150"/>
      <c r="G33" s="31">
        <f t="shared" si="7"/>
        <v>38077</v>
      </c>
      <c r="H33" s="41"/>
      <c r="I33" s="25">
        <f t="shared" si="2"/>
        <v>1.2531102754111512E-2</v>
      </c>
      <c r="J33" s="19">
        <v>-1.5086232619203943E-2</v>
      </c>
      <c r="K33" s="24">
        <v>-6.9412880556714018E-3</v>
      </c>
      <c r="L33" s="13"/>
      <c r="M33" s="143">
        <v>13050.24</v>
      </c>
      <c r="N33" s="148">
        <f t="shared" si="14"/>
        <v>10769.321118158323</v>
      </c>
      <c r="O33" s="146">
        <f t="shared" si="14"/>
        <v>11213.570674444198</v>
      </c>
      <c r="P33" s="40"/>
      <c r="Q33" s="29">
        <f t="shared" si="0"/>
        <v>0.30502399999999996</v>
      </c>
      <c r="R33" s="28">
        <f t="shared" si="4"/>
        <v>7.6932111815832288E-2</v>
      </c>
      <c r="S33" s="27">
        <f t="shared" si="5"/>
        <v>0.12135706744441978</v>
      </c>
      <c r="T33" s="40"/>
    </row>
    <row r="34" spans="1:20">
      <c r="A34" s="116"/>
      <c r="B34" s="49" t="s">
        <v>21</v>
      </c>
      <c r="C34" s="151"/>
      <c r="D34" s="151"/>
      <c r="E34" s="151"/>
      <c r="G34" s="31">
        <f t="shared" si="7"/>
        <v>38107</v>
      </c>
      <c r="H34" s="41"/>
      <c r="I34" s="25">
        <f t="shared" si="2"/>
        <v>-5.1980653229365958E-2</v>
      </c>
      <c r="J34" s="19">
        <v>-1.569903418523777E-2</v>
      </c>
      <c r="K34" s="24">
        <v>-2.4713547517411838E-2</v>
      </c>
      <c r="L34" s="13"/>
      <c r="M34" s="143">
        <v>12371.88</v>
      </c>
      <c r="N34" s="148">
        <f t="shared" si="14"/>
        <v>10600.253177772553</v>
      </c>
      <c r="O34" s="146">
        <f t="shared" si="14"/>
        <v>10936.443562741466</v>
      </c>
      <c r="P34" s="40"/>
      <c r="Q34" s="29">
        <f t="shared" si="0"/>
        <v>0.23718799999999993</v>
      </c>
      <c r="R34" s="28">
        <f t="shared" si="4"/>
        <v>6.0025317777255262E-2</v>
      </c>
      <c r="S34" s="27">
        <f t="shared" si="5"/>
        <v>9.3644356274146592E-2</v>
      </c>
      <c r="T34" s="40"/>
    </row>
    <row r="35" spans="1:20">
      <c r="A35" s="116"/>
      <c r="B35" s="42" t="s">
        <v>20</v>
      </c>
      <c r="C35" s="150"/>
      <c r="D35" s="150"/>
      <c r="E35" s="150"/>
      <c r="G35" s="31">
        <f t="shared" si="7"/>
        <v>38138</v>
      </c>
      <c r="H35" s="63"/>
      <c r="I35" s="25">
        <f t="shared" si="2"/>
        <v>1.4464252805555855E-2</v>
      </c>
      <c r="J35" s="19">
        <v>1.3721060504398253E-2</v>
      </c>
      <c r="K35" s="24">
        <v>1.1519154840541557E-2</v>
      </c>
      <c r="L35" s="13"/>
      <c r="M35" s="143">
        <v>12550.83</v>
      </c>
      <c r="N35" s="148">
        <f t="shared" si="14"/>
        <v>10745.69989298671</v>
      </c>
      <c r="O35" s="146">
        <f t="shared" si="14"/>
        <v>11062.422149545529</v>
      </c>
      <c r="P35" s="40"/>
      <c r="Q35" s="29">
        <f t="shared" si="0"/>
        <v>0.255083</v>
      </c>
      <c r="R35" s="28">
        <f t="shared" si="4"/>
        <v>7.4569989298670952E-2</v>
      </c>
      <c r="S35" s="27">
        <f t="shared" si="5"/>
        <v>0.10624221495455295</v>
      </c>
      <c r="T35" s="40"/>
    </row>
    <row r="36" spans="1:20">
      <c r="A36" s="116"/>
      <c r="B36" s="42" t="s">
        <v>19</v>
      </c>
      <c r="C36" s="150"/>
      <c r="D36" s="150"/>
      <c r="E36" s="150"/>
      <c r="G36" s="31">
        <f t="shared" si="7"/>
        <v>38168</v>
      </c>
      <c r="H36" s="41"/>
      <c r="I36" s="25">
        <f t="shared" si="2"/>
        <v>1.4795834219728965E-2</v>
      </c>
      <c r="J36" s="19">
        <v>1.9449842118047123E-2</v>
      </c>
      <c r="K36" s="24">
        <v>2.1731001857920873E-2</v>
      </c>
      <c r="L36" s="13"/>
      <c r="M36" s="143">
        <v>12736.53</v>
      </c>
      <c r="N36" s="148">
        <f t="shared" si="14"/>
        <v>10954.702059353216</v>
      </c>
      <c r="O36" s="146">
        <f t="shared" si="14"/>
        <v>11302.819665830408</v>
      </c>
      <c r="P36" s="40"/>
      <c r="Q36" s="29">
        <f t="shared" si="0"/>
        <v>0.27365300000000009</v>
      </c>
      <c r="R36" s="28">
        <f t="shared" si="4"/>
        <v>9.5470205935321614E-2</v>
      </c>
      <c r="S36" s="27">
        <f t="shared" si="5"/>
        <v>0.13028196658304078</v>
      </c>
      <c r="T36" s="40"/>
    </row>
    <row r="37" spans="1:20">
      <c r="A37" s="116"/>
      <c r="B37" s="42" t="s">
        <v>17</v>
      </c>
      <c r="C37" s="151"/>
      <c r="D37" s="151"/>
      <c r="E37" s="152"/>
      <c r="G37" s="31">
        <f t="shared" si="7"/>
        <v>38199</v>
      </c>
      <c r="H37" s="41"/>
      <c r="I37" s="25">
        <f t="shared" si="2"/>
        <v>3.4302906678662648E-3</v>
      </c>
      <c r="J37" s="19">
        <v>-3.3100433039676358E-2</v>
      </c>
      <c r="K37" s="24">
        <v>-1.8949668846022893E-2</v>
      </c>
      <c r="L37" s="13"/>
      <c r="M37" s="143">
        <v>12780.22</v>
      </c>
      <c r="N37" s="148">
        <f t="shared" ref="N37:O52" si="18">N36*(1+J37)</f>
        <v>10592.09667736799</v>
      </c>
      <c r="O37" s="146">
        <f t="shared" si="18"/>
        <v>11088.634976136607</v>
      </c>
      <c r="P37" s="40"/>
      <c r="Q37" s="29">
        <f t="shared" si="0"/>
        <v>0.27802199999999994</v>
      </c>
      <c r="R37" s="28">
        <f t="shared" si="4"/>
        <v>5.9209667736799018E-2</v>
      </c>
      <c r="S37" s="27">
        <f t="shared" si="5"/>
        <v>0.10886349761366072</v>
      </c>
      <c r="T37" s="40"/>
    </row>
    <row r="38" spans="1:20" ht="15.75" thickBot="1">
      <c r="A38" s="116"/>
      <c r="B38" s="42" t="s">
        <v>16</v>
      </c>
      <c r="C38" s="153"/>
      <c r="D38" s="153"/>
      <c r="E38" s="153"/>
      <c r="G38" s="31">
        <f t="shared" si="7"/>
        <v>38230</v>
      </c>
      <c r="H38" s="61"/>
      <c r="I38" s="25">
        <f t="shared" si="2"/>
        <v>2.136739430150647E-2</v>
      </c>
      <c r="J38" s="19">
        <v>4.0474107659893566E-3</v>
      </c>
      <c r="K38" s="24">
        <v>1.077139140423311E-2</v>
      </c>
      <c r="L38" s="13"/>
      <c r="M38" s="143">
        <v>13053.3</v>
      </c>
      <c r="N38" s="148">
        <f t="shared" si="18"/>
        <v>10634.96724349437</v>
      </c>
      <c r="O38" s="146">
        <f t="shared" si="18"/>
        <v>11208.075003603244</v>
      </c>
      <c r="P38" s="40"/>
      <c r="Q38" s="29">
        <f t="shared" si="0"/>
        <v>0.30532999999999993</v>
      </c>
      <c r="R38" s="28">
        <f t="shared" si="4"/>
        <v>6.3496724349436956E-2</v>
      </c>
      <c r="S38" s="27">
        <f t="shared" si="5"/>
        <v>0.12080750036032441</v>
      </c>
      <c r="T38" s="40"/>
    </row>
    <row r="39" spans="1:20">
      <c r="A39" s="116"/>
      <c r="B39" s="45" t="s">
        <v>59</v>
      </c>
      <c r="C39" s="154"/>
      <c r="D39" s="154"/>
      <c r="E39" s="155"/>
      <c r="G39" s="31">
        <f t="shared" si="7"/>
        <v>38260</v>
      </c>
      <c r="H39" s="41"/>
      <c r="I39" s="25">
        <f t="shared" si="2"/>
        <v>1.5062857668175944E-2</v>
      </c>
      <c r="J39" s="19">
        <v>1.0829350300338048E-2</v>
      </c>
      <c r="K39" s="24">
        <v>1.8945191616065227E-2</v>
      </c>
      <c r="L39" s="13"/>
      <c r="M39" s="143">
        <v>13249.92</v>
      </c>
      <c r="N39" s="148">
        <f t="shared" si="18"/>
        <v>10750.137029206791</v>
      </c>
      <c r="O39" s="146">
        <f t="shared" si="18"/>
        <v>11420.414132193739</v>
      </c>
      <c r="P39" s="40"/>
      <c r="Q39" s="29">
        <f t="shared" si="0"/>
        <v>0.324992</v>
      </c>
      <c r="R39" s="28">
        <f t="shared" si="4"/>
        <v>7.5013702920679132E-2</v>
      </c>
      <c r="S39" s="27">
        <f t="shared" si="5"/>
        <v>0.14204141321937386</v>
      </c>
      <c r="T39" s="40"/>
    </row>
    <row r="40" spans="1:20">
      <c r="A40" s="134"/>
      <c r="B40" s="135" t="s">
        <v>14</v>
      </c>
      <c r="C40" s="156"/>
      <c r="D40" s="156"/>
      <c r="E40" s="156"/>
      <c r="G40" s="31">
        <f t="shared" si="7"/>
        <v>38291</v>
      </c>
      <c r="H40" s="41"/>
      <c r="I40" s="25">
        <f t="shared" si="2"/>
        <v>1.4839334879003019E-2</v>
      </c>
      <c r="J40" s="19">
        <v>1.5277878942384859E-2</v>
      </c>
      <c r="K40" s="24">
        <v>1.5093108369749419E-2</v>
      </c>
      <c r="L40" s="13"/>
      <c r="M40" s="143">
        <v>13446.54</v>
      </c>
      <c r="N40" s="148">
        <f t="shared" si="18"/>
        <v>10914.376321353062</v>
      </c>
      <c r="O40" s="146">
        <f t="shared" si="18"/>
        <v>11592.783680318356</v>
      </c>
      <c r="P40" s="13"/>
      <c r="Q40" s="29">
        <f t="shared" si="0"/>
        <v>0.34465400000000007</v>
      </c>
      <c r="R40" s="28">
        <f t="shared" si="4"/>
        <v>9.1437632135306188E-2</v>
      </c>
      <c r="S40" s="27">
        <f t="shared" si="5"/>
        <v>0.15927836803183562</v>
      </c>
      <c r="T40" s="13"/>
    </row>
    <row r="41" spans="1:20">
      <c r="A41" s="116"/>
      <c r="B41" s="45" t="s">
        <v>13</v>
      </c>
      <c r="C41" s="155"/>
      <c r="D41" s="155"/>
      <c r="E41" s="157"/>
      <c r="G41" s="31">
        <f t="shared" si="7"/>
        <v>38321</v>
      </c>
      <c r="H41" s="62"/>
      <c r="I41" s="25">
        <f t="shared" si="2"/>
        <v>2.9244697892543359E-2</v>
      </c>
      <c r="J41" s="19">
        <v>4.0462738767823359E-2</v>
      </c>
      <c r="K41" s="24">
        <v>4.8799335305717895E-2</v>
      </c>
      <c r="L41" s="13"/>
      <c r="M41" s="143">
        <v>13839.78</v>
      </c>
      <c r="N41" s="148">
        <f t="shared" si="18"/>
        <v>11356.001879257688</v>
      </c>
      <c r="O41" s="146">
        <f t="shared" si="18"/>
        <v>12158.503818260866</v>
      </c>
      <c r="P41" s="13"/>
      <c r="Q41" s="29">
        <f t="shared" si="0"/>
        <v>0.38397800000000004</v>
      </c>
      <c r="R41" s="28">
        <f t="shared" si="4"/>
        <v>0.13560018792576883</v>
      </c>
      <c r="S41" s="27">
        <f t="shared" si="5"/>
        <v>0.2158503818260866</v>
      </c>
      <c r="T41" s="13"/>
    </row>
    <row r="42" spans="1:20">
      <c r="A42" s="116"/>
      <c r="B42" s="42" t="s">
        <v>12</v>
      </c>
      <c r="C42" s="151"/>
      <c r="D42" s="151"/>
      <c r="E42" s="158"/>
      <c r="G42" s="31">
        <f t="shared" si="7"/>
        <v>38352</v>
      </c>
      <c r="H42" s="30"/>
      <c r="I42" s="25">
        <f t="shared" si="2"/>
        <v>2.1310309845965714E-2</v>
      </c>
      <c r="J42" s="19">
        <v>3.402802916688219E-2</v>
      </c>
      <c r="K42" s="24">
        <v>3.2578855836828291E-2</v>
      </c>
      <c r="L42" s="13"/>
      <c r="M42" s="143">
        <v>14134.71</v>
      </c>
      <c r="N42" s="148">
        <f t="shared" si="18"/>
        <v>11742.424242424238</v>
      </c>
      <c r="O42" s="146">
        <f t="shared" si="18"/>
        <v>12554.613961347513</v>
      </c>
      <c r="P42" s="13"/>
      <c r="Q42" s="29">
        <f t="shared" si="0"/>
        <v>0.41347099999999992</v>
      </c>
      <c r="R42" s="28">
        <f t="shared" si="4"/>
        <v>0.17424242424242384</v>
      </c>
      <c r="S42" s="27">
        <f t="shared" si="5"/>
        <v>0.25546139613475133</v>
      </c>
      <c r="T42" s="13"/>
    </row>
    <row r="43" spans="1:20">
      <c r="A43" s="116"/>
      <c r="B43" s="42" t="s">
        <v>11</v>
      </c>
      <c r="C43" s="155"/>
      <c r="D43" s="155"/>
      <c r="E43" s="155"/>
      <c r="G43" s="31">
        <f t="shared" si="7"/>
        <v>38383</v>
      </c>
      <c r="H43" s="30"/>
      <c r="I43" s="25">
        <f t="shared" si="2"/>
        <v>-1.7002117482424417E-2</v>
      </c>
      <c r="J43" s="19">
        <v>-2.437831680142255E-2</v>
      </c>
      <c r="K43" s="24">
        <v>-2.4296032469377948E-2</v>
      </c>
      <c r="L43" s="13"/>
      <c r="M43" s="143">
        <v>13894.39</v>
      </c>
      <c r="N43" s="148">
        <f t="shared" si="18"/>
        <v>11456.163704225715</v>
      </c>
      <c r="O43" s="146">
        <f t="shared" si="18"/>
        <v>12249.586652902108</v>
      </c>
      <c r="P43" s="13"/>
      <c r="Q43" s="29">
        <f t="shared" si="0"/>
        <v>0.38943899999999992</v>
      </c>
      <c r="R43" s="28">
        <f t="shared" si="4"/>
        <v>0.14561637042257153</v>
      </c>
      <c r="S43" s="27">
        <f t="shared" si="5"/>
        <v>0.22495866529021077</v>
      </c>
      <c r="T43" s="13"/>
    </row>
    <row r="44" spans="1:20">
      <c r="B44" s="39"/>
      <c r="C44" s="38" t="str">
        <f>C2</f>
        <v>VHAD</v>
      </c>
      <c r="D44" s="38" t="str">
        <f>D2</f>
        <v>SP500</v>
      </c>
      <c r="E44" s="37" t="s">
        <v>9</v>
      </c>
      <c r="G44" s="31">
        <f t="shared" si="7"/>
        <v>38411</v>
      </c>
      <c r="H44" s="62"/>
      <c r="I44" s="25">
        <f t="shared" si="2"/>
        <v>1.7296189325332056E-2</v>
      </c>
      <c r="J44" s="19">
        <v>2.1045976487742646E-2</v>
      </c>
      <c r="K44" s="24">
        <v>1.8103969040878631E-2</v>
      </c>
      <c r="L44" s="13"/>
      <c r="M44" s="143">
        <v>14134.71</v>
      </c>
      <c r="N44" s="148">
        <f t="shared" si="18"/>
        <v>11697.269856184581</v>
      </c>
      <c r="O44" s="146">
        <f t="shared" si="18"/>
        <v>12471.352790429808</v>
      </c>
      <c r="P44" s="13"/>
      <c r="Q44" s="29">
        <f t="shared" si="0"/>
        <v>0.41347099999999992</v>
      </c>
      <c r="R44" s="28">
        <f t="shared" si="4"/>
        <v>0.16972698561845809</v>
      </c>
      <c r="S44" s="27">
        <f t="shared" si="5"/>
        <v>0.2471352790429808</v>
      </c>
      <c r="T44" s="13"/>
    </row>
    <row r="45" spans="1:20">
      <c r="A45" s="34" t="s">
        <v>8</v>
      </c>
      <c r="B45" s="33">
        <f>C5</f>
        <v>37179</v>
      </c>
      <c r="C45" s="32">
        <f t="shared" ref="C45:E56" si="19">SUMIF($G:$G,$B45,M:M)</f>
        <v>10000</v>
      </c>
      <c r="D45" s="32">
        <f t="shared" si="19"/>
        <v>10000</v>
      </c>
      <c r="E45" s="32">
        <f t="shared" si="19"/>
        <v>10000</v>
      </c>
      <c r="G45" s="31">
        <f t="shared" si="7"/>
        <v>38442</v>
      </c>
      <c r="H45" s="30"/>
      <c r="I45" s="25">
        <f t="shared" si="2"/>
        <v>-1.6228843747059463E-2</v>
      </c>
      <c r="J45" s="19">
        <v>-1.7705828865967832E-2</v>
      </c>
      <c r="K45" s="24">
        <v>-1.778016431395546E-2</v>
      </c>
      <c r="L45" s="13"/>
      <c r="M45" s="143">
        <v>13905.32</v>
      </c>
      <c r="N45" s="148">
        <f t="shared" si="18"/>
        <v>11490.159997911933</v>
      </c>
      <c r="O45" s="146">
        <f t="shared" si="18"/>
        <v>12249.61008859866</v>
      </c>
      <c r="P45" s="13"/>
      <c r="Q45" s="29">
        <f t="shared" si="0"/>
        <v>0.39053199999999999</v>
      </c>
      <c r="R45" s="28">
        <f t="shared" si="4"/>
        <v>0.14901599979119329</v>
      </c>
      <c r="S45" s="27">
        <f t="shared" si="5"/>
        <v>0.22496100885986597</v>
      </c>
      <c r="T45" s="13"/>
    </row>
    <row r="46" spans="1:20">
      <c r="A46" s="34" t="s">
        <v>36</v>
      </c>
      <c r="B46" s="33">
        <f>EOMONTH($C$6,-120)</f>
        <v>40633</v>
      </c>
      <c r="C46" s="32">
        <f t="shared" si="19"/>
        <v>17652.88</v>
      </c>
      <c r="D46" s="32">
        <f t="shared" si="19"/>
        <v>14612.794612794605</v>
      </c>
      <c r="E46" s="32">
        <f t="shared" si="19"/>
        <v>14819.357650993283</v>
      </c>
      <c r="G46" s="31">
        <f t="shared" si="7"/>
        <v>38472</v>
      </c>
      <c r="H46" s="30"/>
      <c r="I46" s="25">
        <f t="shared" si="2"/>
        <v>0</v>
      </c>
      <c r="J46" s="19">
        <v>-1.8967681115799495E-2</v>
      </c>
      <c r="K46" s="24">
        <v>-2.0423663919501123E-2</v>
      </c>
      <c r="L46" s="13"/>
      <c r="M46" s="143">
        <v>13905.32</v>
      </c>
      <c r="N46" s="148">
        <f t="shared" si="18"/>
        <v>11272.218307102024</v>
      </c>
      <c r="O46" s="146">
        <f t="shared" si="18"/>
        <v>11999.42816900419</v>
      </c>
      <c r="P46" s="13"/>
      <c r="Q46" s="29">
        <f t="shared" si="0"/>
        <v>0.39053199999999999</v>
      </c>
      <c r="R46" s="28">
        <f t="shared" si="4"/>
        <v>0.12722183071020246</v>
      </c>
      <c r="S46" s="27">
        <f t="shared" si="5"/>
        <v>0.19994281690041898</v>
      </c>
      <c r="T46" s="13"/>
    </row>
    <row r="47" spans="1:20">
      <c r="A47" s="34" t="s">
        <v>7</v>
      </c>
      <c r="B47" s="33">
        <f>EOMONTH($C$6,-60)</f>
        <v>42460</v>
      </c>
      <c r="C47" s="32">
        <f t="shared" si="19"/>
        <v>26525.119999999999</v>
      </c>
      <c r="D47" s="32">
        <f t="shared" si="19"/>
        <v>25272.818625531803</v>
      </c>
      <c r="E47" s="32">
        <f t="shared" si="19"/>
        <v>23854.668214985042</v>
      </c>
      <c r="G47" s="31">
        <f t="shared" si="7"/>
        <v>38503</v>
      </c>
      <c r="H47" s="62"/>
      <c r="I47" s="25">
        <f t="shared" si="2"/>
        <v>1.8067185796515339E-2</v>
      </c>
      <c r="J47" s="19">
        <v>3.1820734128706896E-2</v>
      </c>
      <c r="K47" s="24">
        <v>3.1653857797135032E-2</v>
      </c>
      <c r="L47" s="13"/>
      <c r="M47" s="143">
        <v>14156.55</v>
      </c>
      <c r="N47" s="148">
        <f t="shared" si="18"/>
        <v>11630.908568893061</v>
      </c>
      <c r="O47" s="146">
        <f t="shared" si="18"/>
        <v>12379.256361912785</v>
      </c>
      <c r="P47" s="13"/>
      <c r="Q47" s="29">
        <f t="shared" si="0"/>
        <v>0.41565499999999994</v>
      </c>
      <c r="R47" s="28">
        <f t="shared" si="4"/>
        <v>0.16309085688930608</v>
      </c>
      <c r="S47" s="27">
        <f t="shared" si="5"/>
        <v>0.23792563619127849</v>
      </c>
      <c r="T47" s="13"/>
    </row>
    <row r="48" spans="1:20">
      <c r="A48" s="34" t="s">
        <v>6</v>
      </c>
      <c r="B48" s="33">
        <f>EOMONTH($C$6,-36)</f>
        <v>43190</v>
      </c>
      <c r="C48" s="32">
        <f t="shared" si="19"/>
        <v>25489.64</v>
      </c>
      <c r="D48" s="32">
        <f t="shared" si="19"/>
        <v>33756.10106230263</v>
      </c>
      <c r="E48" s="32">
        <f t="shared" si="19"/>
        <v>30482.810502473098</v>
      </c>
      <c r="G48" s="31">
        <f t="shared" si="7"/>
        <v>38533</v>
      </c>
      <c r="H48" s="30"/>
      <c r="I48" s="25">
        <f t="shared" si="2"/>
        <v>1.2345522037502166E-2</v>
      </c>
      <c r="J48" s="19">
        <v>1.4193866903045027E-3</v>
      </c>
      <c r="K48" s="24">
        <v>1.5094498575173532E-2</v>
      </c>
      <c r="L48" s="13"/>
      <c r="M48" s="143">
        <v>14331.32</v>
      </c>
      <c r="N48" s="148">
        <f t="shared" si="18"/>
        <v>11647.417325711896</v>
      </c>
      <c r="O48" s="146">
        <f t="shared" si="18"/>
        <v>12566.115029429386</v>
      </c>
      <c r="P48" s="13"/>
      <c r="Q48" s="29">
        <f t="shared" si="0"/>
        <v>0.43313199999999996</v>
      </c>
      <c r="R48" s="28">
        <f t="shared" si="4"/>
        <v>0.16474173257118965</v>
      </c>
      <c r="S48" s="27">
        <f t="shared" si="5"/>
        <v>0.25661150294293855</v>
      </c>
      <c r="T48" s="13"/>
    </row>
    <row r="49" spans="1:20">
      <c r="A49" s="34" t="s">
        <v>5</v>
      </c>
      <c r="B49" s="33">
        <f>EOMONTH($C$6,-24)</f>
        <v>43555</v>
      </c>
      <c r="C49" s="32">
        <f t="shared" si="19"/>
        <v>26917.65</v>
      </c>
      <c r="D49" s="32">
        <f t="shared" si="19"/>
        <v>36961.736225302142</v>
      </c>
      <c r="E49" s="32">
        <f t="shared" si="19"/>
        <v>32291.858790554052</v>
      </c>
      <c r="G49" s="31">
        <f t="shared" si="7"/>
        <v>38564</v>
      </c>
      <c r="H49" s="30"/>
      <c r="I49" s="25">
        <f t="shared" si="2"/>
        <v>2.2499672046957242E-2</v>
      </c>
      <c r="J49" s="19">
        <v>3.718788340550927E-2</v>
      </c>
      <c r="K49" s="24">
        <v>3.1516489787773327E-2</v>
      </c>
      <c r="L49" s="13"/>
      <c r="M49" s="143">
        <v>14653.77</v>
      </c>
      <c r="N49" s="148">
        <f t="shared" si="18"/>
        <v>12080.560123195779</v>
      </c>
      <c r="O49" s="146">
        <f t="shared" si="18"/>
        <v>12962.154865426382</v>
      </c>
      <c r="P49" s="13"/>
      <c r="Q49" s="29">
        <f t="shared" si="0"/>
        <v>0.46537700000000004</v>
      </c>
      <c r="R49" s="28">
        <f t="shared" si="4"/>
        <v>0.2080560123195779</v>
      </c>
      <c r="S49" s="27">
        <f t="shared" si="5"/>
        <v>0.29621548654263824</v>
      </c>
      <c r="T49" s="13"/>
    </row>
    <row r="50" spans="1:20" ht="15.75" thickBot="1">
      <c r="A50" s="34" t="s">
        <v>4</v>
      </c>
      <c r="B50" s="33">
        <f>EOMONTH($C$6,-12)</f>
        <v>43921</v>
      </c>
      <c r="C50" s="32">
        <f t="shared" si="19"/>
        <v>22152</v>
      </c>
      <c r="D50" s="32">
        <f t="shared" si="19"/>
        <v>34382.585545376256</v>
      </c>
      <c r="E50" s="32">
        <f t="shared" si="19"/>
        <v>28350.994083658454</v>
      </c>
      <c r="G50" s="31">
        <f t="shared" si="7"/>
        <v>38595</v>
      </c>
      <c r="H50" s="26"/>
      <c r="I50" s="25">
        <f t="shared" si="2"/>
        <v>-1.4493198678565355E-2</v>
      </c>
      <c r="J50" s="19">
        <v>-9.1229737977821523E-3</v>
      </c>
      <c r="K50" s="24">
        <v>-7.4960065594579239E-3</v>
      </c>
      <c r="L50" s="13"/>
      <c r="M50" s="143">
        <v>14441.39</v>
      </c>
      <c r="N50" s="148">
        <f t="shared" si="18"/>
        <v>11970.349489729331</v>
      </c>
      <c r="O50" s="146">
        <f t="shared" si="18"/>
        <v>12864.990467530437</v>
      </c>
      <c r="P50" s="13"/>
      <c r="Q50" s="29">
        <f t="shared" si="0"/>
        <v>0.44413899999999995</v>
      </c>
      <c r="R50" s="28">
        <f t="shared" si="4"/>
        <v>0.19703494897293314</v>
      </c>
      <c r="S50" s="27">
        <f t="shared" si="5"/>
        <v>0.28649904675304372</v>
      </c>
      <c r="T50" s="13"/>
    </row>
    <row r="51" spans="1:20">
      <c r="A51" s="36" t="s">
        <v>3</v>
      </c>
      <c r="B51" s="33">
        <f>EOMONTH($C$6,-6)</f>
        <v>44104</v>
      </c>
      <c r="C51" s="32">
        <f t="shared" si="19"/>
        <v>25742</v>
      </c>
      <c r="D51" s="32">
        <f t="shared" si="19"/>
        <v>45146.7517552789</v>
      </c>
      <c r="E51" s="32">
        <f t="shared" si="19"/>
        <v>33616.280309679358</v>
      </c>
      <c r="G51" s="31">
        <f t="shared" si="7"/>
        <v>38625</v>
      </c>
      <c r="H51" s="30"/>
      <c r="I51" s="25">
        <f t="shared" si="2"/>
        <v>3.2683834450839555E-3</v>
      </c>
      <c r="J51" s="19">
        <v>8.0949369848675179E-3</v>
      </c>
      <c r="K51" s="24">
        <v>1.0378022710691548E-2</v>
      </c>
      <c r="L51" s="13"/>
      <c r="M51" s="143">
        <v>14488.59</v>
      </c>
      <c r="N51" s="148">
        <f t="shared" si="18"/>
        <v>12067.248714535532</v>
      </c>
      <c r="O51" s="146">
        <f t="shared" si="18"/>
        <v>12998.503630775298</v>
      </c>
      <c r="P51" s="13"/>
      <c r="Q51" s="29">
        <f t="shared" si="0"/>
        <v>0.44885900000000001</v>
      </c>
      <c r="R51" s="28">
        <f t="shared" si="4"/>
        <v>0.20672487145355317</v>
      </c>
      <c r="S51" s="27">
        <f t="shared" si="5"/>
        <v>0.29985036307752982</v>
      </c>
      <c r="T51" s="13"/>
    </row>
    <row r="52" spans="1:20">
      <c r="A52" s="34" t="s">
        <v>2</v>
      </c>
      <c r="B52" s="33">
        <f>EOMONTH($C$6,-3)</f>
        <v>44196</v>
      </c>
      <c r="C52" s="32">
        <f t="shared" si="19"/>
        <v>27681</v>
      </c>
      <c r="D52" s="32">
        <f t="shared" si="19"/>
        <v>50631.313131313153</v>
      </c>
      <c r="E52" s="32">
        <f t="shared" si="19"/>
        <v>38488.595896059218</v>
      </c>
      <c r="G52" s="31">
        <f t="shared" si="7"/>
        <v>38656</v>
      </c>
      <c r="H52" s="30"/>
      <c r="I52" s="25">
        <f t="shared" si="2"/>
        <v>-1.4657741022418347E-2</v>
      </c>
      <c r="J52" s="19">
        <v>-1.6670902434935853E-2</v>
      </c>
      <c r="K52" s="24">
        <v>-1.7451236871118603E-2</v>
      </c>
      <c r="L52" s="13"/>
      <c r="M52" s="143">
        <v>14276.22</v>
      </c>
      <c r="N52" s="148">
        <f t="shared" si="18"/>
        <v>11866.076788557404</v>
      </c>
      <c r="O52" s="146">
        <f t="shared" si="18"/>
        <v>12771.663664944543</v>
      </c>
      <c r="P52" s="13"/>
      <c r="Q52" s="29">
        <f t="shared" si="0"/>
        <v>0.42762199999999995</v>
      </c>
      <c r="R52" s="28">
        <f t="shared" si="4"/>
        <v>0.18660767885574042</v>
      </c>
      <c r="S52" s="27">
        <f t="shared" si="5"/>
        <v>0.27716636649445425</v>
      </c>
      <c r="T52" s="13"/>
    </row>
    <row r="53" spans="1:20">
      <c r="A53" s="34" t="s">
        <v>1</v>
      </c>
      <c r="B53" s="33">
        <f>EOMONTH($C$6,-1)</f>
        <v>44255</v>
      </c>
      <c r="C53" s="32">
        <f t="shared" si="19"/>
        <v>28370</v>
      </c>
      <c r="D53" s="32">
        <f t="shared" si="19"/>
        <v>51502.166366507474</v>
      </c>
      <c r="E53" s="32">
        <f t="shared" si="19"/>
        <v>40121.440802739962</v>
      </c>
      <c r="G53" s="31">
        <f t="shared" si="7"/>
        <v>38686</v>
      </c>
      <c r="H53" s="62"/>
      <c r="I53" s="25">
        <f t="shared" si="2"/>
        <v>2.1487480579593266E-2</v>
      </c>
      <c r="J53" s="19">
        <v>3.7822381083310486E-2</v>
      </c>
      <c r="K53" s="24">
        <v>3.7413784798600025E-2</v>
      </c>
      <c r="L53" s="13"/>
      <c r="M53" s="143">
        <v>14582.98</v>
      </c>
      <c r="N53" s="148">
        <f t="shared" ref="N53:O68" si="20">N52*(1+J53)</f>
        <v>12314.880066818047</v>
      </c>
      <c r="O53" s="146">
        <f t="shared" si="20"/>
        <v>13249.499940824877</v>
      </c>
      <c r="P53" s="13"/>
      <c r="Q53" s="29">
        <f t="shared" si="0"/>
        <v>0.45829799999999998</v>
      </c>
      <c r="R53" s="28">
        <f t="shared" si="4"/>
        <v>0.23148800668180466</v>
      </c>
      <c r="S53" s="27">
        <f t="shared" si="5"/>
        <v>0.3249499940824877</v>
      </c>
      <c r="T53" s="13"/>
    </row>
    <row r="54" spans="1:20">
      <c r="A54" s="34" t="s">
        <v>44</v>
      </c>
      <c r="B54" s="35">
        <v>44196</v>
      </c>
      <c r="C54" s="32">
        <f t="shared" si="19"/>
        <v>27681</v>
      </c>
      <c r="D54" s="32">
        <f t="shared" si="19"/>
        <v>50631.313131313153</v>
      </c>
      <c r="E54" s="32">
        <f t="shared" si="19"/>
        <v>38488.595896059218</v>
      </c>
      <c r="G54" s="31">
        <f t="shared" si="7"/>
        <v>38717</v>
      </c>
      <c r="H54" s="30"/>
      <c r="I54" s="25">
        <f t="shared" si="2"/>
        <v>4.04512657906686E-3</v>
      </c>
      <c r="J54" s="19">
        <v>3.497096350304485E-4</v>
      </c>
      <c r="K54" s="24">
        <v>2.6916692240546158E-3</v>
      </c>
      <c r="L54" s="13"/>
      <c r="M54" s="143">
        <v>14641.97</v>
      </c>
      <c r="N54" s="148">
        <f t="shared" si="20"/>
        <v>12319.186699031658</v>
      </c>
      <c r="O54" s="146">
        <f t="shared" si="20"/>
        <v>13285.163212049709</v>
      </c>
      <c r="P54" s="13"/>
      <c r="Q54" s="29">
        <f t="shared" si="0"/>
        <v>0.46419699999999992</v>
      </c>
      <c r="R54" s="28">
        <f t="shared" si="4"/>
        <v>0.23191866990316576</v>
      </c>
      <c r="S54" s="27">
        <f t="shared" si="5"/>
        <v>0.32851632120497087</v>
      </c>
      <c r="T54" s="13"/>
    </row>
    <row r="55" spans="1:20">
      <c r="A55" s="81" t="s">
        <v>113</v>
      </c>
      <c r="B55" s="33">
        <v>43404</v>
      </c>
      <c r="C55" s="32">
        <f t="shared" si="19"/>
        <v>26328.71</v>
      </c>
      <c r="D55" s="32">
        <f t="shared" si="19"/>
        <v>35036.997885835117</v>
      </c>
      <c r="E55" s="32">
        <f t="shared" si="19"/>
        <v>30979.635551482992</v>
      </c>
      <c r="G55" s="31">
        <f t="shared" si="7"/>
        <v>38748</v>
      </c>
      <c r="H55" s="30"/>
      <c r="I55" s="25">
        <f t="shared" si="2"/>
        <v>3.06201965992281E-2</v>
      </c>
      <c r="J55" s="19">
        <v>2.6478595718084197E-2</v>
      </c>
      <c r="K55" s="24">
        <v>2.9848172598212486E-2</v>
      </c>
      <c r="L55" s="13"/>
      <c r="M55" s="143">
        <v>15090.31</v>
      </c>
      <c r="N55" s="148">
        <f t="shared" si="20"/>
        <v>12645.381463210917</v>
      </c>
      <c r="O55" s="146">
        <f t="shared" si="20"/>
        <v>13681.701056598391</v>
      </c>
      <c r="P55" s="13"/>
      <c r="Q55" s="29">
        <f t="shared" si="0"/>
        <v>0.5090309999999999</v>
      </c>
      <c r="R55" s="28">
        <f t="shared" si="4"/>
        <v>0.26453814632109168</v>
      </c>
      <c r="S55" s="27">
        <f t="shared" si="5"/>
        <v>0.3681701056598391</v>
      </c>
      <c r="T55" s="13"/>
    </row>
    <row r="56" spans="1:20">
      <c r="A56" s="81" t="s">
        <v>0</v>
      </c>
      <c r="B56" s="82">
        <f>C6</f>
        <v>44286</v>
      </c>
      <c r="C56" s="32">
        <f t="shared" si="19"/>
        <v>29722</v>
      </c>
      <c r="D56" s="32">
        <f t="shared" si="19"/>
        <v>53757.732362383547</v>
      </c>
      <c r="E56" s="32">
        <f t="shared" si="19"/>
        <v>42632.491325203038</v>
      </c>
      <c r="G56" s="31">
        <f t="shared" si="7"/>
        <v>38776</v>
      </c>
      <c r="H56" s="62"/>
      <c r="I56" s="25">
        <f t="shared" si="2"/>
        <v>6.2550073524003658E-3</v>
      </c>
      <c r="J56" s="19">
        <v>2.7142363243253254E-3</v>
      </c>
      <c r="K56" s="24">
        <v>1.0800405962684057E-2</v>
      </c>
      <c r="L56" s="13"/>
      <c r="M56" s="143">
        <v>15184.7</v>
      </c>
      <c r="N56" s="148">
        <f t="shared" si="20"/>
        <v>12679.704016913314</v>
      </c>
      <c r="O56" s="146">
        <f t="shared" si="20"/>
        <v>13829.468982269736</v>
      </c>
      <c r="P56" s="13"/>
      <c r="Q56" s="29">
        <f t="shared" si="0"/>
        <v>0.5184700000000001</v>
      </c>
      <c r="R56" s="28">
        <f t="shared" si="4"/>
        <v>0.26797040169133141</v>
      </c>
      <c r="S56" s="27">
        <f t="shared" si="5"/>
        <v>0.38294689822697364</v>
      </c>
      <c r="T56" s="13"/>
    </row>
    <row r="57" spans="1:20">
      <c r="A57" s="83"/>
      <c r="B57" s="84"/>
      <c r="C57" s="85"/>
      <c r="D57" s="85"/>
      <c r="E57" s="85"/>
      <c r="G57" s="31">
        <f t="shared" si="7"/>
        <v>38807</v>
      </c>
      <c r="H57" s="30"/>
      <c r="I57" s="25">
        <f t="shared" si="2"/>
        <v>1.3209348884074101E-2</v>
      </c>
      <c r="J57" s="19">
        <v>1.2448602555591659E-2</v>
      </c>
      <c r="K57" s="24">
        <v>1.7049149491338511E-2</v>
      </c>
      <c r="L57" s="13"/>
      <c r="M57" s="143">
        <v>15385.28</v>
      </c>
      <c r="N57" s="148">
        <f t="shared" si="20"/>
        <v>12837.548612742406</v>
      </c>
      <c r="O57" s="146">
        <f t="shared" si="20"/>
        <v>14065.249666334283</v>
      </c>
      <c r="P57" s="13"/>
      <c r="Q57" s="29">
        <f t="shared" si="0"/>
        <v>0.53852800000000012</v>
      </c>
      <c r="R57" s="28">
        <f t="shared" si="4"/>
        <v>0.28375486127424066</v>
      </c>
      <c r="S57" s="27">
        <f t="shared" si="5"/>
        <v>0.40652496663342824</v>
      </c>
      <c r="T57" s="13"/>
    </row>
    <row r="58" spans="1:20">
      <c r="C58" s="119"/>
      <c r="G58" s="31">
        <f t="shared" si="7"/>
        <v>38837</v>
      </c>
      <c r="H58" s="30"/>
      <c r="I58" s="25">
        <f t="shared" si="2"/>
        <v>-7.6696686703137118E-4</v>
      </c>
      <c r="J58" s="19">
        <v>1.3423944535371879E-2</v>
      </c>
      <c r="K58" s="24">
        <v>2.7885317917534236E-2</v>
      </c>
      <c r="L58" s="13"/>
      <c r="M58" s="143">
        <v>15373.48</v>
      </c>
      <c r="N58" s="148">
        <f t="shared" si="20"/>
        <v>13009.879153290001</v>
      </c>
      <c r="O58" s="146">
        <f t="shared" si="20"/>
        <v>14457.463624869506</v>
      </c>
      <c r="P58" s="13"/>
      <c r="Q58" s="29">
        <f t="shared" si="0"/>
        <v>0.53734799999999994</v>
      </c>
      <c r="R58" s="28">
        <f t="shared" si="4"/>
        <v>0.30098791532900016</v>
      </c>
      <c r="S58" s="27">
        <f t="shared" si="5"/>
        <v>0.4457463624869506</v>
      </c>
      <c r="T58" s="13"/>
    </row>
    <row r="59" spans="1:20">
      <c r="A59" s="34" t="s">
        <v>8</v>
      </c>
      <c r="B59" s="120"/>
      <c r="C59" s="40">
        <f t="shared" ref="C59:E68" si="21">C$56/C45-1</f>
        <v>1.9722</v>
      </c>
      <c r="D59" s="40">
        <f t="shared" si="21"/>
        <v>4.3757732362383548</v>
      </c>
      <c r="E59" s="40">
        <f t="shared" si="21"/>
        <v>3.2632491325203041</v>
      </c>
      <c r="G59" s="31">
        <f t="shared" si="7"/>
        <v>38868</v>
      </c>
      <c r="H59" s="62"/>
      <c r="I59" s="25">
        <f t="shared" si="2"/>
        <v>-1.3631266310555556E-2</v>
      </c>
      <c r="J59" s="19">
        <v>-2.8779359912528335E-2</v>
      </c>
      <c r="K59" s="24">
        <v>-2.4454155196330762E-2</v>
      </c>
      <c r="L59" s="13"/>
      <c r="M59" s="143">
        <v>15163.92</v>
      </c>
      <c r="N59" s="148">
        <f t="shared" si="20"/>
        <v>12635.463158718969</v>
      </c>
      <c r="O59" s="146">
        <f t="shared" si="20"/>
        <v>14103.918565641641</v>
      </c>
      <c r="P59" s="13"/>
      <c r="Q59" s="29">
        <f t="shared" si="0"/>
        <v>0.51639199999999996</v>
      </c>
      <c r="R59" s="28">
        <f t="shared" si="4"/>
        <v>0.26354631587189686</v>
      </c>
      <c r="S59" s="27">
        <f t="shared" si="5"/>
        <v>0.4103918565641641</v>
      </c>
      <c r="T59" s="13"/>
    </row>
    <row r="60" spans="1:20">
      <c r="A60" s="34" t="s">
        <v>36</v>
      </c>
      <c r="B60" s="120"/>
      <c r="C60" s="40">
        <f t="shared" si="21"/>
        <v>0.68369127303873345</v>
      </c>
      <c r="D60" s="40">
        <f t="shared" si="21"/>
        <v>2.6788125602829314</v>
      </c>
      <c r="E60" s="40">
        <f t="shared" si="21"/>
        <v>1.8768110149730783</v>
      </c>
      <c r="G60" s="31">
        <f t="shared" si="7"/>
        <v>38898</v>
      </c>
      <c r="H60" s="30"/>
      <c r="I60" s="25">
        <f t="shared" si="2"/>
        <v>6.6170225113295622E-3</v>
      </c>
      <c r="J60" s="19">
        <v>1.3530192469568547E-3</v>
      </c>
      <c r="K60" s="24">
        <v>3.3615065132304167E-3</v>
      </c>
      <c r="L60" s="13"/>
      <c r="M60" s="143">
        <v>15264.26</v>
      </c>
      <c r="N60" s="148">
        <f t="shared" si="20"/>
        <v>12652.559183566929</v>
      </c>
      <c r="O60" s="146">
        <f t="shared" si="20"/>
        <v>14151.328979762116</v>
      </c>
      <c r="P60" s="13"/>
      <c r="Q60" s="29">
        <f t="shared" si="0"/>
        <v>0.52642600000000006</v>
      </c>
      <c r="R60" s="28">
        <f t="shared" si="4"/>
        <v>0.26525591835669293</v>
      </c>
      <c r="S60" s="27">
        <f t="shared" si="5"/>
        <v>0.41513289797621167</v>
      </c>
      <c r="T60" s="13"/>
    </row>
    <row r="61" spans="1:20">
      <c r="A61" s="34" t="s">
        <v>7</v>
      </c>
      <c r="B61" s="120"/>
      <c r="C61" s="40">
        <f t="shared" si="21"/>
        <v>0.12052273467565833</v>
      </c>
      <c r="D61" s="40">
        <f t="shared" si="21"/>
        <v>1.1270968291631283</v>
      </c>
      <c r="E61" s="40">
        <f t="shared" si="21"/>
        <v>0.78717603367973621</v>
      </c>
      <c r="G61" s="31">
        <f t="shared" si="7"/>
        <v>38929</v>
      </c>
      <c r="H61" s="30"/>
      <c r="I61" s="25">
        <f t="shared" si="2"/>
        <v>1.7255995377437161E-2</v>
      </c>
      <c r="J61" s="19">
        <v>6.1731896876273673E-3</v>
      </c>
      <c r="K61" s="24">
        <v>1.0030861002937153E-2</v>
      </c>
      <c r="L61" s="13"/>
      <c r="M61" s="143">
        <v>15527.66</v>
      </c>
      <c r="N61" s="148">
        <f t="shared" si="20"/>
        <v>12730.66583144102</v>
      </c>
      <c r="O61" s="146">
        <f t="shared" si="20"/>
        <v>14293.278993764947</v>
      </c>
      <c r="P61" s="13"/>
      <c r="Q61" s="29">
        <f t="shared" si="0"/>
        <v>0.55276599999999998</v>
      </c>
      <c r="R61" s="28">
        <f t="shared" si="4"/>
        <v>0.27306658314410198</v>
      </c>
      <c r="S61" s="27">
        <f t="shared" si="5"/>
        <v>0.42932789937649468</v>
      </c>
      <c r="T61" s="13"/>
    </row>
    <row r="62" spans="1:20" ht="15.75" thickBot="1">
      <c r="A62" s="34" t="s">
        <v>6</v>
      </c>
      <c r="B62" s="120"/>
      <c r="C62" s="40">
        <f t="shared" si="21"/>
        <v>0.16604236073950052</v>
      </c>
      <c r="D62" s="40">
        <f t="shared" si="21"/>
        <v>0.59253381375901504</v>
      </c>
      <c r="E62" s="40">
        <f t="shared" si="21"/>
        <v>0.39857482372710429</v>
      </c>
      <c r="G62" s="31">
        <f t="shared" si="7"/>
        <v>38960</v>
      </c>
      <c r="H62" s="26"/>
      <c r="I62" s="25">
        <f t="shared" si="2"/>
        <v>2.6655658354188594E-2</v>
      </c>
      <c r="J62" s="19">
        <v>2.3787801127626906E-2</v>
      </c>
      <c r="K62" s="24">
        <v>1.5261680932818544E-2</v>
      </c>
      <c r="L62" s="13"/>
      <c r="M62" s="143">
        <v>15941.56</v>
      </c>
      <c r="N62" s="148">
        <f t="shared" si="20"/>
        <v>13033.500378461613</v>
      </c>
      <c r="O62" s="146">
        <f t="shared" si="20"/>
        <v>14511.418457251546</v>
      </c>
      <c r="P62" s="13"/>
      <c r="Q62" s="29">
        <f t="shared" si="0"/>
        <v>0.59415599999999991</v>
      </c>
      <c r="R62" s="28">
        <f t="shared" si="4"/>
        <v>0.30335003784616127</v>
      </c>
      <c r="S62" s="27">
        <f t="shared" si="5"/>
        <v>0.45114184572515459</v>
      </c>
      <c r="T62" s="13"/>
    </row>
    <row r="63" spans="1:20">
      <c r="A63" s="34" t="s">
        <v>5</v>
      </c>
      <c r="B63" s="120"/>
      <c r="C63" s="40">
        <f t="shared" si="21"/>
        <v>0.10418257165837286</v>
      </c>
      <c r="D63" s="40">
        <f t="shared" si="21"/>
        <v>0.45441577837958036</v>
      </c>
      <c r="E63" s="40">
        <f t="shared" si="21"/>
        <v>0.32022413456340915</v>
      </c>
      <c r="G63" s="31">
        <f t="shared" si="7"/>
        <v>38990</v>
      </c>
      <c r="H63" s="30"/>
      <c r="I63" s="25">
        <f t="shared" si="2"/>
        <v>1.4162352994311789E-2</v>
      </c>
      <c r="J63" s="19">
        <v>2.5773376522596703E-2</v>
      </c>
      <c r="K63" s="24">
        <v>2.6622593776016279E-2</v>
      </c>
      <c r="L63" s="13"/>
      <c r="M63" s="143">
        <v>16167.33</v>
      </c>
      <c r="N63" s="148">
        <f t="shared" si="20"/>
        <v>13369.41769112311</v>
      </c>
      <c r="O63" s="146">
        <f t="shared" si="20"/>
        <v>14897.750055952738</v>
      </c>
      <c r="P63" s="13"/>
      <c r="Q63" s="29">
        <f t="shared" si="0"/>
        <v>0.61673299999999998</v>
      </c>
      <c r="R63" s="28">
        <f t="shared" si="4"/>
        <v>0.336941769112311</v>
      </c>
      <c r="S63" s="27">
        <f t="shared" si="5"/>
        <v>0.48977500559527382</v>
      </c>
      <c r="T63" s="13"/>
    </row>
    <row r="64" spans="1:20">
      <c r="A64" s="34" t="s">
        <v>4</v>
      </c>
      <c r="B64" s="120"/>
      <c r="C64" s="40">
        <f t="shared" si="21"/>
        <v>0.34172986637775371</v>
      </c>
      <c r="D64" s="40">
        <f t="shared" si="21"/>
        <v>0.56351628330676395</v>
      </c>
      <c r="E64" s="40">
        <f t="shared" si="21"/>
        <v>0.50373885301526178</v>
      </c>
      <c r="G64" s="31">
        <f t="shared" si="7"/>
        <v>39021</v>
      </c>
      <c r="H64" s="30"/>
      <c r="I64" s="25">
        <f t="shared" si="2"/>
        <v>2.715290650960922E-2</v>
      </c>
      <c r="J64" s="19">
        <v>3.2583496429774206E-2</v>
      </c>
      <c r="K64" s="24">
        <v>3.3349392093977137E-2</v>
      </c>
      <c r="L64" s="13"/>
      <c r="M64" s="143">
        <v>16606.32</v>
      </c>
      <c r="N64" s="148">
        <f t="shared" si="20"/>
        <v>13805.040064729979</v>
      </c>
      <c r="O64" s="146">
        <f t="shared" si="20"/>
        <v>15394.580963886776</v>
      </c>
      <c r="P64" s="13"/>
      <c r="Q64" s="29">
        <f t="shared" si="0"/>
        <v>0.660632</v>
      </c>
      <c r="R64" s="28">
        <f t="shared" si="4"/>
        <v>0.38050400647299792</v>
      </c>
      <c r="S64" s="27">
        <f t="shared" si="5"/>
        <v>0.53945809638867759</v>
      </c>
      <c r="T64" s="13"/>
    </row>
    <row r="65" spans="1:20">
      <c r="A65" s="36" t="s">
        <v>3</v>
      </c>
      <c r="B65" s="121"/>
      <c r="C65" s="40">
        <f t="shared" si="21"/>
        <v>0.15461114132546028</v>
      </c>
      <c r="D65" s="40">
        <f t="shared" si="21"/>
        <v>0.19073311528105208</v>
      </c>
      <c r="E65" s="40">
        <f t="shared" si="21"/>
        <v>0.26820965712043954</v>
      </c>
      <c r="G65" s="31">
        <f t="shared" si="7"/>
        <v>39051</v>
      </c>
      <c r="H65" s="62"/>
      <c r="I65" s="25">
        <f t="shared" si="2"/>
        <v>1.8881967829115665E-2</v>
      </c>
      <c r="J65" s="19">
        <v>1.9020159289107275E-2</v>
      </c>
      <c r="K65" s="24">
        <v>1.794603629853575E-2</v>
      </c>
      <c r="L65" s="13"/>
      <c r="M65" s="143">
        <v>16919.88</v>
      </c>
      <c r="N65" s="148">
        <f t="shared" si="20"/>
        <v>14067.614125753651</v>
      </c>
      <c r="O65" s="146">
        <f t="shared" si="20"/>
        <v>15670.852672665435</v>
      </c>
      <c r="P65" s="13"/>
      <c r="Q65" s="29">
        <f t="shared" si="0"/>
        <v>0.69198800000000005</v>
      </c>
      <c r="R65" s="28">
        <f t="shared" si="4"/>
        <v>0.40676141257536508</v>
      </c>
      <c r="S65" s="27">
        <f t="shared" si="5"/>
        <v>0.5670852672665434</v>
      </c>
      <c r="T65" s="13"/>
    </row>
    <row r="66" spans="1:20">
      <c r="A66" s="34" t="s">
        <v>2</v>
      </c>
      <c r="C66" s="40">
        <f t="shared" si="21"/>
        <v>7.3732885372638224E-2</v>
      </c>
      <c r="D66" s="40">
        <f t="shared" si="21"/>
        <v>6.1748728952811804E-2</v>
      </c>
      <c r="E66" s="40">
        <f t="shared" si="21"/>
        <v>0.10766553917255539</v>
      </c>
      <c r="G66" s="31">
        <f t="shared" si="7"/>
        <v>39082</v>
      </c>
      <c r="H66" s="30"/>
      <c r="I66" s="25">
        <f t="shared" si="2"/>
        <v>8.8954531592422281E-3</v>
      </c>
      <c r="J66" s="19">
        <v>1.4026689673406478E-2</v>
      </c>
      <c r="K66" s="24">
        <v>2.4101038696705324E-2</v>
      </c>
      <c r="L66" s="13"/>
      <c r="M66" s="143">
        <v>17070.39</v>
      </c>
      <c r="N66" s="148">
        <f t="shared" si="20"/>
        <v>14264.936183540827</v>
      </c>
      <c r="O66" s="146">
        <f t="shared" si="20"/>
        <v>16048.536499339712</v>
      </c>
      <c r="P66" s="13"/>
      <c r="Q66" s="29">
        <f t="shared" si="0"/>
        <v>0.70703899999999997</v>
      </c>
      <c r="R66" s="28">
        <f t="shared" si="4"/>
        <v>0.42649361835408273</v>
      </c>
      <c r="S66" s="27">
        <f t="shared" si="5"/>
        <v>0.60485364993397128</v>
      </c>
      <c r="T66" s="13"/>
    </row>
    <row r="67" spans="1:20">
      <c r="A67" s="34" t="s">
        <v>1</v>
      </c>
      <c r="C67" s="40">
        <f t="shared" si="21"/>
        <v>4.7655974621078512E-2</v>
      </c>
      <c r="D67" s="40">
        <f t="shared" si="21"/>
        <v>4.3795555701961586E-2</v>
      </c>
      <c r="E67" s="40">
        <f t="shared" si="21"/>
        <v>6.2586249950714379E-2</v>
      </c>
      <c r="G67" s="31">
        <f t="shared" si="7"/>
        <v>39113</v>
      </c>
      <c r="H67" s="30"/>
      <c r="I67" s="25">
        <f t="shared" si="2"/>
        <v>1.2490634367463338E-2</v>
      </c>
      <c r="J67" s="19">
        <v>1.5122613934212437E-2</v>
      </c>
      <c r="K67" s="24">
        <v>1.7616343106520604E-2</v>
      </c>
      <c r="L67" s="13"/>
      <c r="M67" s="143">
        <v>17283.61</v>
      </c>
      <c r="N67" s="148">
        <f t="shared" si="20"/>
        <v>14480.659306240694</v>
      </c>
      <c r="O67" s="146">
        <f t="shared" si="20"/>
        <v>16331.253024669601</v>
      </c>
      <c r="P67" s="13"/>
      <c r="Q67" s="29">
        <f t="shared" si="0"/>
        <v>0.72836100000000004</v>
      </c>
      <c r="R67" s="28">
        <f t="shared" si="4"/>
        <v>0.44806593062406935</v>
      </c>
      <c r="S67" s="27">
        <f t="shared" si="5"/>
        <v>0.63312530246696008</v>
      </c>
      <c r="T67" s="13"/>
    </row>
    <row r="68" spans="1:20">
      <c r="A68" s="34" t="s">
        <v>73</v>
      </c>
      <c r="C68" s="40">
        <f t="shared" si="21"/>
        <v>7.3732885372638224E-2</v>
      </c>
      <c r="D68" s="40">
        <f t="shared" si="21"/>
        <v>6.1748728952811804E-2</v>
      </c>
      <c r="E68" s="40">
        <f t="shared" si="21"/>
        <v>0.10766553917255539</v>
      </c>
      <c r="G68" s="31">
        <f t="shared" si="7"/>
        <v>39141</v>
      </c>
      <c r="H68" s="62"/>
      <c r="I68" s="25">
        <f t="shared" si="2"/>
        <v>-1.0159335925770119E-2</v>
      </c>
      <c r="J68" s="19">
        <v>-1.9561191245454301E-2</v>
      </c>
      <c r="K68" s="24">
        <v>-1.6936839329629749E-2</v>
      </c>
      <c r="L68" s="13"/>
      <c r="M68" s="143">
        <v>17108.02</v>
      </c>
      <c r="N68" s="148">
        <f t="shared" si="20"/>
        <v>14197.400360191052</v>
      </c>
      <c r="O68" s="146">
        <f t="shared" si="20"/>
        <v>16054.653216139242</v>
      </c>
      <c r="P68" s="13"/>
      <c r="Q68" s="29">
        <f t="shared" ref="Q68:Q131" si="22">(M68-$M$3)/$M$3</f>
        <v>0.71080200000000004</v>
      </c>
      <c r="R68" s="28">
        <f t="shared" si="4"/>
        <v>0.4197400360191052</v>
      </c>
      <c r="S68" s="27">
        <f t="shared" si="5"/>
        <v>0.60546532161392419</v>
      </c>
      <c r="T68" s="13"/>
    </row>
    <row r="69" spans="1:20">
      <c r="A69" s="81" t="s">
        <v>0</v>
      </c>
      <c r="G69" s="31">
        <f t="shared" si="7"/>
        <v>39172</v>
      </c>
      <c r="H69" s="30"/>
      <c r="I69" s="25">
        <f t="shared" ref="I69:I132" si="23">M69/M68-1</f>
        <v>9.5306178038137013E-3</v>
      </c>
      <c r="J69" s="19">
        <v>1.1186792782358346E-2</v>
      </c>
      <c r="K69" s="24">
        <v>1.2998662508826975E-2</v>
      </c>
      <c r="L69" s="13"/>
      <c r="M69" s="143">
        <v>17271.07</v>
      </c>
      <c r="N69" s="148">
        <f t="shared" ref="N69:O84" si="24">N68*(1+J69)</f>
        <v>14356.223736068689</v>
      </c>
      <c r="O69" s="146">
        <f t="shared" si="24"/>
        <v>16263.342234992089</v>
      </c>
      <c r="P69" s="13"/>
      <c r="Q69" s="29">
        <f t="shared" si="22"/>
        <v>0.72710699999999995</v>
      </c>
      <c r="R69" s="28">
        <f t="shared" ref="R69:R132" si="25">(N69-$N$3)/$N$3</f>
        <v>0.43562237360686884</v>
      </c>
      <c r="S69" s="27">
        <f t="shared" ref="S69:S132" si="26">(O69-$O$3)/$O$3</f>
        <v>0.62633422349920898</v>
      </c>
      <c r="T69" s="13"/>
    </row>
    <row r="70" spans="1:20">
      <c r="G70" s="31">
        <f t="shared" ref="G70:G133" si="27">EOMONTH(G69,1)</f>
        <v>39202</v>
      </c>
      <c r="H70" s="30"/>
      <c r="I70" s="25">
        <f t="shared" si="23"/>
        <v>1.525035796855656E-2</v>
      </c>
      <c r="J70" s="19">
        <v>4.4293038561533216E-2</v>
      </c>
      <c r="K70" s="24">
        <v>4.1965196640709079E-2</v>
      </c>
      <c r="L70" s="13"/>
      <c r="M70" s="143">
        <v>17534.46</v>
      </c>
      <c r="N70" s="148">
        <f t="shared" si="24"/>
        <v>14992.104507608377</v>
      </c>
      <c r="O70" s="146">
        <f t="shared" si="24"/>
        <v>16945.836589918683</v>
      </c>
      <c r="P70" s="13"/>
      <c r="Q70" s="29">
        <f t="shared" si="22"/>
        <v>0.75344599999999995</v>
      </c>
      <c r="R70" s="28">
        <f t="shared" si="25"/>
        <v>0.49921045076083775</v>
      </c>
      <c r="S70" s="27">
        <f t="shared" si="26"/>
        <v>0.69458365899186825</v>
      </c>
      <c r="T70" s="13"/>
    </row>
    <row r="71" spans="1:20">
      <c r="G71" s="31">
        <f t="shared" si="27"/>
        <v>39233</v>
      </c>
      <c r="H71" s="62"/>
      <c r="I71" s="25">
        <f t="shared" si="23"/>
        <v>1.089112524708491E-2</v>
      </c>
      <c r="J71" s="19">
        <v>3.489773978594779E-2</v>
      </c>
      <c r="K71" s="24">
        <v>3.8186751636752891E-2</v>
      </c>
      <c r="L71" s="13"/>
      <c r="M71" s="143">
        <v>17725.43</v>
      </c>
      <c r="N71" s="148">
        <f t="shared" si="24"/>
        <v>15515.29506955863</v>
      </c>
      <c r="O71" s="146">
        <f t="shared" si="24"/>
        <v>17592.943043054907</v>
      </c>
      <c r="P71" s="13"/>
      <c r="Q71" s="29">
        <f t="shared" si="22"/>
        <v>0.77254299999999998</v>
      </c>
      <c r="R71" s="28">
        <f t="shared" si="25"/>
        <v>0.551529506955863</v>
      </c>
      <c r="S71" s="27">
        <f t="shared" si="26"/>
        <v>0.75929430430549072</v>
      </c>
      <c r="T71" s="13"/>
    </row>
    <row r="72" spans="1:20">
      <c r="G72" s="31">
        <f t="shared" si="27"/>
        <v>39263</v>
      </c>
      <c r="H72" s="30"/>
      <c r="I72" s="25">
        <f t="shared" si="23"/>
        <v>-1.9969050116132481E-2</v>
      </c>
      <c r="J72" s="19">
        <v>-1.6612343602144919E-2</v>
      </c>
      <c r="K72" s="24">
        <v>-2.0550093913599632E-2</v>
      </c>
      <c r="L72" s="13"/>
      <c r="M72" s="143">
        <v>17371.47</v>
      </c>
      <c r="N72" s="148">
        <f t="shared" si="24"/>
        <v>15257.549656774458</v>
      </c>
      <c r="O72" s="146">
        <f t="shared" si="24"/>
        <v>17231.40641130352</v>
      </c>
      <c r="P72" s="13"/>
      <c r="Q72" s="29">
        <f t="shared" si="22"/>
        <v>0.73714700000000011</v>
      </c>
      <c r="R72" s="28">
        <f t="shared" si="25"/>
        <v>0.52575496567744573</v>
      </c>
      <c r="S72" s="27">
        <f t="shared" si="26"/>
        <v>0.72314064113035204</v>
      </c>
      <c r="T72" s="13"/>
    </row>
    <row r="73" spans="1:20">
      <c r="G73" s="31">
        <f t="shared" si="27"/>
        <v>39294</v>
      </c>
      <c r="H73" s="30"/>
      <c r="I73" s="25">
        <f t="shared" si="23"/>
        <v>-2.9780438845993018E-2</v>
      </c>
      <c r="J73" s="19">
        <v>-3.1006094301293752E-2</v>
      </c>
      <c r="K73" s="24">
        <v>-3.9300549837082199E-2</v>
      </c>
      <c r="L73" s="13"/>
      <c r="M73" s="143">
        <v>16854.14</v>
      </c>
      <c r="N73" s="148">
        <f t="shared" si="24"/>
        <v>14784.472633309837</v>
      </c>
      <c r="O73" s="146">
        <f t="shared" si="24"/>
        <v>16554.202664873068</v>
      </c>
      <c r="P73" s="13"/>
      <c r="Q73" s="29">
        <f t="shared" si="22"/>
        <v>0.68541399999999997</v>
      </c>
      <c r="R73" s="28">
        <f t="shared" si="25"/>
        <v>0.4784472633309837</v>
      </c>
      <c r="S73" s="27">
        <f t="shared" si="26"/>
        <v>0.65542026648730678</v>
      </c>
      <c r="T73" s="13"/>
    </row>
    <row r="74" spans="1:20" ht="15.75" thickBot="1">
      <c r="G74" s="31">
        <f t="shared" si="27"/>
        <v>39325</v>
      </c>
      <c r="H74" s="26"/>
      <c r="I74" s="25">
        <f t="shared" si="23"/>
        <v>1.3731937672287087E-2</v>
      </c>
      <c r="J74" s="19">
        <v>1.498841443230714E-2</v>
      </c>
      <c r="K74" s="24">
        <v>1.3471396596953289E-2</v>
      </c>
      <c r="L74" s="13"/>
      <c r="M74" s="143">
        <v>17085.580000000002</v>
      </c>
      <c r="N74" s="148">
        <f t="shared" si="24"/>
        <v>15006.068436300988</v>
      </c>
      <c r="O74" s="146">
        <f t="shared" si="24"/>
        <v>16777.210894317916</v>
      </c>
      <c r="P74" s="13"/>
      <c r="Q74" s="29">
        <f t="shared" si="22"/>
        <v>0.70855800000000013</v>
      </c>
      <c r="R74" s="28">
        <f t="shared" si="25"/>
        <v>0.50060684363009877</v>
      </c>
      <c r="S74" s="27">
        <f t="shared" si="26"/>
        <v>0.67772108943179155</v>
      </c>
      <c r="T74" s="13"/>
    </row>
    <row r="75" spans="1:20">
      <c r="G75" s="31">
        <f t="shared" si="27"/>
        <v>39355</v>
      </c>
      <c r="H75" s="30"/>
      <c r="I75" s="25">
        <f t="shared" si="23"/>
        <v>1.1155020783607972E-2</v>
      </c>
      <c r="J75" s="19">
        <v>3.7400367872470808E-2</v>
      </c>
      <c r="K75" s="24">
        <v>3.1048380478507109E-2</v>
      </c>
      <c r="L75" s="13"/>
      <c r="M75" s="143">
        <v>17276.169999999998</v>
      </c>
      <c r="N75" s="148">
        <f t="shared" si="24"/>
        <v>15567.300916138118</v>
      </c>
      <c r="O75" s="146">
        <f t="shared" si="24"/>
        <v>17298.116121532854</v>
      </c>
      <c r="P75" s="13"/>
      <c r="Q75" s="29">
        <f t="shared" si="22"/>
        <v>0.72761699999999985</v>
      </c>
      <c r="R75" s="28">
        <f t="shared" si="25"/>
        <v>0.55673009161381182</v>
      </c>
      <c r="S75" s="27">
        <f t="shared" si="26"/>
        <v>0.72981161215328538</v>
      </c>
      <c r="T75" s="13"/>
    </row>
    <row r="76" spans="1:20">
      <c r="G76" s="31">
        <f t="shared" si="27"/>
        <v>39386</v>
      </c>
      <c r="H76" s="30"/>
      <c r="I76" s="25">
        <f t="shared" si="23"/>
        <v>7.0924284722830855E-3</v>
      </c>
      <c r="J76" s="19">
        <v>1.5907147527790544E-2</v>
      </c>
      <c r="K76" s="24">
        <v>1.0501825778619134E-2</v>
      </c>
      <c r="L76" s="13"/>
      <c r="M76" s="143">
        <v>17398.7</v>
      </c>
      <c r="N76" s="148">
        <f t="shared" si="24"/>
        <v>15814.932268420636</v>
      </c>
      <c r="O76" s="146">
        <f t="shared" si="24"/>
        <v>17479.777923339516</v>
      </c>
      <c r="P76" s="13"/>
      <c r="Q76" s="29">
        <f t="shared" si="22"/>
        <v>0.73987000000000003</v>
      </c>
      <c r="R76" s="28">
        <f t="shared" si="25"/>
        <v>0.58149322684206362</v>
      </c>
      <c r="S76" s="27">
        <f t="shared" si="26"/>
        <v>0.74797779233395156</v>
      </c>
      <c r="T76" s="13"/>
    </row>
    <row r="77" spans="1:20">
      <c r="G77" s="31">
        <f t="shared" si="27"/>
        <v>39416</v>
      </c>
      <c r="H77" s="62"/>
      <c r="I77" s="25">
        <f t="shared" si="23"/>
        <v>-4.7731152327472715E-2</v>
      </c>
      <c r="J77" s="19">
        <v>-4.1808497031361469E-2</v>
      </c>
      <c r="K77" s="24">
        <v>-4.8576394067931572E-2</v>
      </c>
      <c r="L77" s="13"/>
      <c r="M77" s="143">
        <v>16568.240000000002</v>
      </c>
      <c r="N77" s="148">
        <f t="shared" si="24"/>
        <v>15153.73371962519</v>
      </c>
      <c r="O77" s="146">
        <f t="shared" si="24"/>
        <v>16630.673342715443</v>
      </c>
      <c r="P77" s="13"/>
      <c r="Q77" s="29">
        <f t="shared" si="22"/>
        <v>0.65682400000000019</v>
      </c>
      <c r="R77" s="28">
        <f t="shared" si="25"/>
        <v>0.51537337196251898</v>
      </c>
      <c r="S77" s="27">
        <f t="shared" si="26"/>
        <v>0.6630673342715443</v>
      </c>
      <c r="T77" s="13"/>
    </row>
    <row r="78" spans="1:20">
      <c r="G78" s="31">
        <f t="shared" si="27"/>
        <v>39447</v>
      </c>
      <c r="H78" s="30"/>
      <c r="I78" s="25">
        <f t="shared" si="23"/>
        <v>-3.2867703509847801E-2</v>
      </c>
      <c r="J78" s="19">
        <v>-6.9369687470396402E-3</v>
      </c>
      <c r="K78" s="24">
        <v>-1.5767371728929058E-2</v>
      </c>
      <c r="L78" s="13"/>
      <c r="M78" s="143">
        <v>16023.68</v>
      </c>
      <c r="N78" s="148">
        <f t="shared" si="24"/>
        <v>15048.612742411189</v>
      </c>
      <c r="O78" s="146">
        <f t="shared" si="24"/>
        <v>16368.451334018457</v>
      </c>
      <c r="P78" s="13"/>
      <c r="Q78" s="29">
        <f t="shared" si="22"/>
        <v>0.60236800000000001</v>
      </c>
      <c r="R78" s="28">
        <f t="shared" si="25"/>
        <v>0.50486127424111893</v>
      </c>
      <c r="S78" s="27">
        <f t="shared" si="26"/>
        <v>0.63684513340184568</v>
      </c>
      <c r="T78" s="13"/>
    </row>
    <row r="79" spans="1:20">
      <c r="G79" s="31">
        <f t="shared" si="27"/>
        <v>39478</v>
      </c>
      <c r="H79" s="30"/>
      <c r="I79" s="25">
        <f t="shared" si="23"/>
        <v>3.8232790470104305E-2</v>
      </c>
      <c r="J79" s="19">
        <v>-5.998100796538075E-2</v>
      </c>
      <c r="K79" s="24">
        <v>-3.4870160829619246E-2</v>
      </c>
      <c r="L79" s="13"/>
      <c r="M79" s="143">
        <v>16636.310000000001</v>
      </c>
      <c r="N79" s="148">
        <f t="shared" si="24"/>
        <v>14145.981781640694</v>
      </c>
      <c r="O79" s="146">
        <f t="shared" si="24"/>
        <v>15797.680803469437</v>
      </c>
      <c r="P79" s="13"/>
      <c r="Q79" s="29">
        <f t="shared" si="22"/>
        <v>0.66363100000000008</v>
      </c>
      <c r="R79" s="28">
        <f t="shared" si="25"/>
        <v>0.41459817816406941</v>
      </c>
      <c r="S79" s="27">
        <f t="shared" si="26"/>
        <v>0.57976808034694371</v>
      </c>
      <c r="T79" s="13"/>
    </row>
    <row r="80" spans="1:20">
      <c r="G80" s="31">
        <f t="shared" si="27"/>
        <v>39507</v>
      </c>
      <c r="H80" s="62"/>
      <c r="I80" s="25">
        <f t="shared" si="23"/>
        <v>-2.4549915215573703E-2</v>
      </c>
      <c r="J80" s="19">
        <v>-3.2487660869966462E-2</v>
      </c>
      <c r="K80" s="24">
        <v>-5.2123151896363407E-2</v>
      </c>
      <c r="L80" s="13"/>
      <c r="M80" s="143">
        <v>16227.89</v>
      </c>
      <c r="N80" s="148">
        <f t="shared" si="24"/>
        <v>13686.411922846028</v>
      </c>
      <c r="O80" s="146">
        <f t="shared" si="24"/>
        <v>14974.255887339936</v>
      </c>
      <c r="P80" s="13"/>
      <c r="Q80" s="29">
        <f t="shared" si="22"/>
        <v>0.62278899999999993</v>
      </c>
      <c r="R80" s="28">
        <f t="shared" si="25"/>
        <v>0.36864119228460279</v>
      </c>
      <c r="S80" s="27">
        <f t="shared" si="26"/>
        <v>0.49742558873399356</v>
      </c>
      <c r="T80" s="13"/>
    </row>
    <row r="81" spans="7:20">
      <c r="G81" s="31">
        <f t="shared" si="27"/>
        <v>39538</v>
      </c>
      <c r="H81" s="30"/>
      <c r="I81" s="25">
        <f t="shared" si="23"/>
        <v>-1.7617201003950589E-2</v>
      </c>
      <c r="J81" s="19">
        <v>-4.3147220222456983E-3</v>
      </c>
      <c r="K81" s="24">
        <v>-4.6674176374313925E-3</v>
      </c>
      <c r="L81" s="13"/>
      <c r="M81" s="143">
        <v>15942</v>
      </c>
      <c r="N81" s="148">
        <f t="shared" si="24"/>
        <v>13627.358859916998</v>
      </c>
      <c r="O81" s="146">
        <f t="shared" si="24"/>
        <v>14904.364781303955</v>
      </c>
      <c r="P81" s="13"/>
      <c r="Q81" s="29">
        <f t="shared" si="22"/>
        <v>0.59419999999999995</v>
      </c>
      <c r="R81" s="28">
        <f t="shared" si="25"/>
        <v>0.36273588599169981</v>
      </c>
      <c r="S81" s="27">
        <f t="shared" si="26"/>
        <v>0.49043647813039554</v>
      </c>
      <c r="T81" s="13"/>
    </row>
    <row r="82" spans="7:20">
      <c r="G82" s="31">
        <f t="shared" si="27"/>
        <v>39568</v>
      </c>
      <c r="H82" s="30"/>
      <c r="I82" s="25">
        <f t="shared" si="23"/>
        <v>3.4158825743319632E-2</v>
      </c>
      <c r="J82" s="19">
        <v>4.8701889466678194E-2</v>
      </c>
      <c r="K82" s="24">
        <v>3.7319065331065993E-2</v>
      </c>
      <c r="L82" s="13"/>
      <c r="M82" s="143">
        <v>16486.560000000001</v>
      </c>
      <c r="N82" s="148">
        <f t="shared" si="24"/>
        <v>14291.036984835433</v>
      </c>
      <c r="O82" s="146">
        <f t="shared" si="24"/>
        <v>15460.581744295476</v>
      </c>
      <c r="P82" s="13"/>
      <c r="Q82" s="29">
        <f t="shared" si="22"/>
        <v>0.64865600000000012</v>
      </c>
      <c r="R82" s="28">
        <f t="shared" si="25"/>
        <v>0.42910369848354329</v>
      </c>
      <c r="S82" s="27">
        <f t="shared" si="26"/>
        <v>0.54605817442954763</v>
      </c>
      <c r="T82" s="13"/>
    </row>
    <row r="83" spans="7:20">
      <c r="G83" s="31">
        <f t="shared" si="27"/>
        <v>39599</v>
      </c>
      <c r="H83" s="62"/>
      <c r="I83" s="25">
        <f t="shared" si="23"/>
        <v>4.5928319795032202E-3</v>
      </c>
      <c r="J83" s="19">
        <v>1.2953568966225681E-2</v>
      </c>
      <c r="K83" s="24">
        <v>1.1649194769305371E-3</v>
      </c>
      <c r="L83" s="13"/>
      <c r="M83" s="143">
        <v>16562.28</v>
      </c>
      <c r="N83" s="148">
        <f t="shared" si="24"/>
        <v>14476.156918017381</v>
      </c>
      <c r="O83" s="146">
        <f t="shared" si="24"/>
        <v>15478.592077094083</v>
      </c>
      <c r="P83" s="13"/>
      <c r="Q83" s="29">
        <f t="shared" si="22"/>
        <v>0.65622799999999992</v>
      </c>
      <c r="R83" s="28">
        <f t="shared" si="25"/>
        <v>0.4476156918017381</v>
      </c>
      <c r="S83" s="27">
        <f t="shared" si="26"/>
        <v>0.54785920770940832</v>
      </c>
      <c r="T83" s="13"/>
    </row>
    <row r="84" spans="7:20">
      <c r="G84" s="31">
        <f t="shared" si="27"/>
        <v>39629</v>
      </c>
      <c r="H84" s="30"/>
      <c r="I84" s="25">
        <f t="shared" si="23"/>
        <v>-0.10830332538756726</v>
      </c>
      <c r="J84" s="19">
        <v>-8.4304710389903059E-2</v>
      </c>
      <c r="K84" s="24">
        <v>-0.11214009098813238</v>
      </c>
      <c r="L84" s="13"/>
      <c r="M84" s="143">
        <v>14768.53</v>
      </c>
      <c r="N84" s="148">
        <f t="shared" si="24"/>
        <v>13255.748701485134</v>
      </c>
      <c r="O84" s="146">
        <f t="shared" si="24"/>
        <v>13742.821353200568</v>
      </c>
      <c r="P84" s="13"/>
      <c r="Q84" s="29">
        <f t="shared" si="22"/>
        <v>0.47685300000000008</v>
      </c>
      <c r="R84" s="28">
        <f t="shared" si="25"/>
        <v>0.32557487014851338</v>
      </c>
      <c r="S84" s="27">
        <f t="shared" si="26"/>
        <v>0.37428213532005683</v>
      </c>
      <c r="T84" s="13"/>
    </row>
    <row r="85" spans="7:20">
      <c r="G85" s="31">
        <f t="shared" si="27"/>
        <v>39660</v>
      </c>
      <c r="H85" s="30"/>
      <c r="I85" s="25">
        <f t="shared" si="23"/>
        <v>4.0484733416257246E-3</v>
      </c>
      <c r="J85" s="19">
        <v>-8.4077047655145565E-3</v>
      </c>
      <c r="K85" s="24">
        <v>1.3581045880367792E-2</v>
      </c>
      <c r="L85" s="13"/>
      <c r="M85" s="143">
        <v>14828.32</v>
      </c>
      <c r="N85" s="148">
        <f t="shared" ref="N85:O100" si="28">N84*(1+J85)</f>
        <v>13144.298279957195</v>
      </c>
      <c r="O85" s="146">
        <f t="shared" si="28"/>
        <v>13929.463240524083</v>
      </c>
      <c r="P85" s="13"/>
      <c r="Q85" s="29">
        <f t="shared" si="22"/>
        <v>0.48283199999999998</v>
      </c>
      <c r="R85" s="28">
        <f t="shared" si="25"/>
        <v>0.31442982799571945</v>
      </c>
      <c r="S85" s="27">
        <f t="shared" si="26"/>
        <v>0.39294632405240826</v>
      </c>
      <c r="T85" s="13"/>
    </row>
    <row r="86" spans="7:20" ht="15.75" thickBot="1">
      <c r="G86" s="31">
        <f t="shared" si="27"/>
        <v>39691</v>
      </c>
      <c r="H86" s="26"/>
      <c r="I86" s="25">
        <f t="shared" si="23"/>
        <v>2.0161420848754386E-2</v>
      </c>
      <c r="J86" s="19">
        <v>1.4465917721990129E-2</v>
      </c>
      <c r="K86" s="24">
        <v>1.3389818959418376E-2</v>
      </c>
      <c r="L86" s="13"/>
      <c r="M86" s="143">
        <v>15127.28</v>
      </c>
      <c r="N86" s="148">
        <f t="shared" si="28"/>
        <v>13334.442617388351</v>
      </c>
      <c r="O86" s="146">
        <f t="shared" si="28"/>
        <v>14115.976231516574</v>
      </c>
      <c r="P86" s="13"/>
      <c r="Q86" s="29">
        <f t="shared" si="22"/>
        <v>0.51272800000000007</v>
      </c>
      <c r="R86" s="28">
        <f t="shared" si="25"/>
        <v>0.33344426173883512</v>
      </c>
      <c r="S86" s="27">
        <f t="shared" si="26"/>
        <v>0.41159762315165738</v>
      </c>
      <c r="T86" s="13"/>
    </row>
    <row r="87" spans="7:20">
      <c r="G87" s="31">
        <f t="shared" si="27"/>
        <v>39721</v>
      </c>
      <c r="H87" s="30"/>
      <c r="I87" s="25">
        <f t="shared" si="23"/>
        <v>-0.11777398183943177</v>
      </c>
      <c r="J87" s="19">
        <v>-8.9105616262056264E-2</v>
      </c>
      <c r="K87" s="24">
        <v>-7.4829660915647245E-2</v>
      </c>
      <c r="L87" s="13"/>
      <c r="M87" s="143">
        <v>13345.68</v>
      </c>
      <c r="N87" s="148">
        <f t="shared" si="28"/>
        <v>12146.268890454936</v>
      </c>
      <c r="O87" s="146">
        <f t="shared" si="28"/>
        <v>13059.682516618852</v>
      </c>
      <c r="P87" s="13"/>
      <c r="Q87" s="29">
        <f t="shared" si="22"/>
        <v>0.33456800000000003</v>
      </c>
      <c r="R87" s="28">
        <f t="shared" si="25"/>
        <v>0.2146268890454936</v>
      </c>
      <c r="S87" s="27">
        <f t="shared" si="26"/>
        <v>0.30596825166188518</v>
      </c>
      <c r="T87" s="13"/>
    </row>
    <row r="88" spans="7:20">
      <c r="G88" s="31">
        <f t="shared" si="27"/>
        <v>39752</v>
      </c>
      <c r="H88" s="30"/>
      <c r="I88" s="25">
        <f t="shared" si="23"/>
        <v>-0.11883395975326849</v>
      </c>
      <c r="J88" s="19">
        <v>-0.16795061887570917</v>
      </c>
      <c r="K88" s="24">
        <v>-0.17107083638399578</v>
      </c>
      <c r="L88" s="13"/>
      <c r="M88" s="143">
        <v>11759.76</v>
      </c>
      <c r="N88" s="148">
        <f t="shared" si="28"/>
        <v>10106.295513272256</v>
      </c>
      <c r="O88" s="146">
        <f t="shared" si="28"/>
        <v>10825.551705591419</v>
      </c>
      <c r="P88" s="13"/>
      <c r="Q88" s="29">
        <f t="shared" si="22"/>
        <v>0.17597600000000002</v>
      </c>
      <c r="R88" s="28">
        <f t="shared" si="25"/>
        <v>1.0629551327225636E-2</v>
      </c>
      <c r="S88" s="27">
        <f t="shared" si="26"/>
        <v>8.2555170559141883E-2</v>
      </c>
      <c r="T88" s="13"/>
    </row>
    <row r="89" spans="7:20">
      <c r="G89" s="31">
        <f t="shared" si="27"/>
        <v>39782</v>
      </c>
      <c r="H89" s="62"/>
      <c r="I89" s="25">
        <f t="shared" si="23"/>
        <v>-0.10814251311251244</v>
      </c>
      <c r="J89" s="19">
        <v>-7.1751861106268633E-2</v>
      </c>
      <c r="K89" s="24">
        <v>-8.9717340936286805E-2</v>
      </c>
      <c r="L89" s="13"/>
      <c r="M89" s="143">
        <v>10488.03</v>
      </c>
      <c r="N89" s="148">
        <f t="shared" si="28"/>
        <v>9381.150001305039</v>
      </c>
      <c r="O89" s="146">
        <f t="shared" si="28"/>
        <v>9854.3119923974718</v>
      </c>
      <c r="P89" s="13"/>
      <c r="Q89" s="29">
        <f t="shared" si="22"/>
        <v>4.8803000000000069E-2</v>
      </c>
      <c r="R89" s="28">
        <f t="shared" si="25"/>
        <v>-6.1884999869496096E-2</v>
      </c>
      <c r="S89" s="27">
        <f t="shared" si="26"/>
        <v>-1.4568800760252815E-2</v>
      </c>
      <c r="T89" s="13"/>
    </row>
    <row r="90" spans="7:20">
      <c r="G90" s="31">
        <f t="shared" si="27"/>
        <v>39813</v>
      </c>
      <c r="H90" s="30"/>
      <c r="I90" s="25">
        <f t="shared" si="23"/>
        <v>9.8783088911835515E-2</v>
      </c>
      <c r="J90" s="19">
        <v>1.0642145679149673E-2</v>
      </c>
      <c r="K90" s="24">
        <v>9.5330845717900292E-3</v>
      </c>
      <c r="L90" s="13"/>
      <c r="M90" s="143">
        <v>11524.07</v>
      </c>
      <c r="N90" s="148">
        <f t="shared" si="28"/>
        <v>9480.9855662568825</v>
      </c>
      <c r="O90" s="146">
        <f t="shared" si="28"/>
        <v>9948.2539820178008</v>
      </c>
      <c r="P90" s="13"/>
      <c r="Q90" s="29">
        <f t="shared" si="22"/>
        <v>0.15240699999999996</v>
      </c>
      <c r="R90" s="28">
        <f t="shared" si="25"/>
        <v>-5.1901443374311747E-2</v>
      </c>
      <c r="S90" s="27">
        <f t="shared" si="26"/>
        <v>-5.174601798219919E-3</v>
      </c>
      <c r="T90" s="13"/>
    </row>
    <row r="91" spans="7:20">
      <c r="G91" s="31">
        <f t="shared" si="27"/>
        <v>39844</v>
      </c>
      <c r="H91" s="30"/>
      <c r="I91" s="25">
        <f t="shared" si="23"/>
        <v>-0.10437284744018382</v>
      </c>
      <c r="J91" s="19">
        <v>-8.4288840864981007E-2</v>
      </c>
      <c r="K91" s="24">
        <v>-0.12158370662310081</v>
      </c>
      <c r="L91" s="13"/>
      <c r="M91" s="143">
        <v>10321.27</v>
      </c>
      <c r="N91" s="148">
        <f t="shared" si="28"/>
        <v>8681.8442826194751</v>
      </c>
      <c r="O91" s="146">
        <f t="shared" si="28"/>
        <v>8738.7083884560543</v>
      </c>
      <c r="P91" s="13"/>
      <c r="Q91" s="29">
        <f t="shared" si="22"/>
        <v>3.2127000000000044E-2</v>
      </c>
      <c r="R91" s="28">
        <f t="shared" si="25"/>
        <v>-0.1318155717380525</v>
      </c>
      <c r="S91" s="27">
        <f t="shared" si="26"/>
        <v>-0.12612916115439457</v>
      </c>
      <c r="T91" s="13"/>
    </row>
    <row r="92" spans="7:20">
      <c r="G92" s="31">
        <f t="shared" si="27"/>
        <v>39872</v>
      </c>
      <c r="H92" s="62"/>
      <c r="I92" s="25">
        <f t="shared" si="23"/>
        <v>-0.16692906977532807</v>
      </c>
      <c r="J92" s="19">
        <v>-0.10647796709532442</v>
      </c>
      <c r="K92" s="24">
        <v>-0.13074908097170601</v>
      </c>
      <c r="L92" s="13"/>
      <c r="M92" s="143">
        <v>8598.35</v>
      </c>
      <c r="N92" s="148">
        <f t="shared" si="28"/>
        <v>7757.4191527679877</v>
      </c>
      <c r="O92" s="146">
        <f t="shared" si="28"/>
        <v>7596.1302977856867</v>
      </c>
      <c r="P92" s="13"/>
      <c r="Q92" s="29">
        <f t="shared" si="22"/>
        <v>-0.14016499999999996</v>
      </c>
      <c r="R92" s="28">
        <f t="shared" si="25"/>
        <v>-0.22425808472320122</v>
      </c>
      <c r="S92" s="27">
        <f t="shared" si="26"/>
        <v>-0.24038697022143132</v>
      </c>
      <c r="T92" s="13"/>
    </row>
    <row r="93" spans="7:20">
      <c r="G93" s="31">
        <f t="shared" si="27"/>
        <v>39903</v>
      </c>
      <c r="H93" s="30"/>
      <c r="I93" s="25">
        <f t="shared" si="23"/>
        <v>0.11153186367151835</v>
      </c>
      <c r="J93" s="19">
        <v>8.7597994683893621E-2</v>
      </c>
      <c r="K93" s="24">
        <v>9.8713002485140811E-2</v>
      </c>
      <c r="L93" s="13"/>
      <c r="M93" s="143">
        <v>9557.34</v>
      </c>
      <c r="N93" s="148">
        <f t="shared" si="28"/>
        <v>8436.9535144728925</v>
      </c>
      <c r="O93" s="146">
        <f t="shared" si="28"/>
        <v>8345.9671267484591</v>
      </c>
      <c r="P93" s="13"/>
      <c r="Q93" s="29">
        <f t="shared" si="22"/>
        <v>-4.4265999999999986E-2</v>
      </c>
      <c r="R93" s="28">
        <f t="shared" si="25"/>
        <v>-0.15630464855271076</v>
      </c>
      <c r="S93" s="27">
        <f t="shared" si="26"/>
        <v>-0.16540328732515408</v>
      </c>
      <c r="T93" s="13"/>
    </row>
    <row r="94" spans="7:20">
      <c r="G94" s="31">
        <f t="shared" si="27"/>
        <v>39933</v>
      </c>
      <c r="H94" s="30"/>
      <c r="I94" s="25">
        <f t="shared" si="23"/>
        <v>0.12755013424237283</v>
      </c>
      <c r="J94" s="19">
        <v>9.570913703228201E-2</v>
      </c>
      <c r="K94" s="24">
        <v>0.11039685837999347</v>
      </c>
      <c r="L94" s="13"/>
      <c r="M94" s="143">
        <v>10776.38</v>
      </c>
      <c r="N94" s="148">
        <f t="shared" si="28"/>
        <v>9244.4470545245713</v>
      </c>
      <c r="O94" s="146">
        <f t="shared" si="28"/>
        <v>9267.3356776841902</v>
      </c>
      <c r="P94" s="13"/>
      <c r="Q94" s="29">
        <f t="shared" si="22"/>
        <v>7.7637999999999915E-2</v>
      </c>
      <c r="R94" s="28">
        <f t="shared" si="25"/>
        <v>-7.5555294547542867E-2</v>
      </c>
      <c r="S94" s="27">
        <f t="shared" si="26"/>
        <v>-7.3266432231580983E-2</v>
      </c>
      <c r="T94" s="13"/>
    </row>
    <row r="95" spans="7:20">
      <c r="G95" s="31">
        <f t="shared" si="27"/>
        <v>39964</v>
      </c>
      <c r="H95" s="62"/>
      <c r="I95" s="25">
        <f t="shared" si="23"/>
        <v>7.8431718257893746E-2</v>
      </c>
      <c r="J95" s="19">
        <v>5.5931617174761694E-2</v>
      </c>
      <c r="K95" s="24">
        <v>6.3605620873628865E-2</v>
      </c>
      <c r="L95" s="13"/>
      <c r="M95" s="143">
        <v>11621.59</v>
      </c>
      <c r="N95" s="148">
        <f t="shared" si="28"/>
        <v>9761.5039281705922</v>
      </c>
      <c r="O95" s="146">
        <f t="shared" si="28"/>
        <v>9856.7903173076247</v>
      </c>
      <c r="P95" s="13"/>
      <c r="Q95" s="29">
        <f t="shared" si="22"/>
        <v>0.16215900000000003</v>
      </c>
      <c r="R95" s="28">
        <f t="shared" si="25"/>
        <v>-2.3849607182940782E-2</v>
      </c>
      <c r="S95" s="27">
        <f t="shared" si="26"/>
        <v>-1.4320968269237528E-2</v>
      </c>
      <c r="T95" s="13"/>
    </row>
    <row r="96" spans="7:20">
      <c r="G96" s="31">
        <f t="shared" si="27"/>
        <v>39994</v>
      </c>
      <c r="H96" s="30"/>
      <c r="I96" s="25">
        <f t="shared" si="23"/>
        <v>1.5384297673554093E-2</v>
      </c>
      <c r="J96" s="19">
        <v>1.9853339304933826E-3</v>
      </c>
      <c r="K96" s="24">
        <v>-4.9924064778242849E-3</v>
      </c>
      <c r="L96" s="13"/>
      <c r="M96" s="143">
        <v>11800.38</v>
      </c>
      <c r="N96" s="148">
        <f t="shared" si="28"/>
        <v>9780.8837731318345</v>
      </c>
      <c r="O96" s="146">
        <f t="shared" si="28"/>
        <v>9807.5812134769421</v>
      </c>
      <c r="P96" s="13"/>
      <c r="Q96" s="29">
        <f t="shared" si="22"/>
        <v>0.18003799999999992</v>
      </c>
      <c r="R96" s="28">
        <f t="shared" si="25"/>
        <v>-2.1911622686816554E-2</v>
      </c>
      <c r="S96" s="27">
        <f t="shared" si="26"/>
        <v>-1.9241878652305786E-2</v>
      </c>
      <c r="T96" s="13"/>
    </row>
    <row r="97" spans="7:20">
      <c r="G97" s="31">
        <f t="shared" si="27"/>
        <v>40025</v>
      </c>
      <c r="H97" s="30"/>
      <c r="I97" s="25">
        <f t="shared" si="23"/>
        <v>8.8154788235633053E-2</v>
      </c>
      <c r="J97" s="19">
        <v>7.563344763632962E-2</v>
      </c>
      <c r="K97" s="24">
        <v>8.4212488261340201E-2</v>
      </c>
      <c r="L97" s="13"/>
      <c r="M97" s="143">
        <v>12840.64</v>
      </c>
      <c r="N97" s="148">
        <f t="shared" si="28"/>
        <v>10520.645733824027</v>
      </c>
      <c r="O97" s="146">
        <f t="shared" si="28"/>
        <v>10633.50203128901</v>
      </c>
      <c r="P97" s="13"/>
      <c r="Q97" s="29">
        <f t="shared" si="22"/>
        <v>0.28406399999999993</v>
      </c>
      <c r="R97" s="28">
        <f t="shared" si="25"/>
        <v>5.2064573382402703E-2</v>
      </c>
      <c r="S97" s="27">
        <f t="shared" si="26"/>
        <v>6.3350203128901009E-2</v>
      </c>
      <c r="T97" s="13"/>
    </row>
    <row r="98" spans="7:20" ht="15.75" thickBot="1">
      <c r="G98" s="31">
        <f t="shared" si="27"/>
        <v>40056</v>
      </c>
      <c r="H98" s="26"/>
      <c r="I98" s="25">
        <f t="shared" si="23"/>
        <v>3.6708450669125536E-2</v>
      </c>
      <c r="J98" s="19">
        <v>3.6103478859524474E-2</v>
      </c>
      <c r="K98" s="24">
        <v>5.4483824116051238E-2</v>
      </c>
      <c r="L98" s="13"/>
      <c r="M98" s="143">
        <v>13312</v>
      </c>
      <c r="N98" s="148">
        <f t="shared" si="28"/>
        <v>10900.47764466369</v>
      </c>
      <c r="O98" s="146">
        <f t="shared" si="28"/>
        <v>11212.855885699435</v>
      </c>
      <c r="P98" s="13"/>
      <c r="Q98" s="29">
        <f t="shared" si="22"/>
        <v>0.33119999999999999</v>
      </c>
      <c r="R98" s="28">
        <f t="shared" si="25"/>
        <v>9.0047764466368974E-2</v>
      </c>
      <c r="S98" s="27">
        <f t="shared" si="26"/>
        <v>0.12128558856994351</v>
      </c>
      <c r="T98" s="13"/>
    </row>
    <row r="99" spans="7:20">
      <c r="G99" s="31">
        <f t="shared" si="27"/>
        <v>40086</v>
      </c>
      <c r="H99" s="30"/>
      <c r="I99" s="25">
        <f t="shared" si="23"/>
        <v>3.5409405048076881E-2</v>
      </c>
      <c r="J99" s="19">
        <v>3.7317721428058226E-2</v>
      </c>
      <c r="K99" s="24">
        <v>3.1594600921304394E-2</v>
      </c>
      <c r="L99" s="13"/>
      <c r="M99" s="143">
        <v>13783.37</v>
      </c>
      <c r="N99" s="148">
        <f t="shared" si="28"/>
        <v>11307.258632840025</v>
      </c>
      <c r="O99" s="146">
        <f t="shared" si="28"/>
        <v>11567.121592596208</v>
      </c>
      <c r="P99" s="13"/>
      <c r="Q99" s="29">
        <f t="shared" si="22"/>
        <v>0.37833700000000009</v>
      </c>
      <c r="R99" s="28">
        <f t="shared" si="25"/>
        <v>0.13072586328400249</v>
      </c>
      <c r="S99" s="27">
        <f t="shared" si="26"/>
        <v>0.15671215925962079</v>
      </c>
      <c r="T99" s="13"/>
    </row>
    <row r="100" spans="7:20">
      <c r="G100" s="31">
        <f t="shared" si="27"/>
        <v>40117</v>
      </c>
      <c r="H100" s="30"/>
      <c r="I100" s="25">
        <f t="shared" si="23"/>
        <v>-2.3584943304866601E-2</v>
      </c>
      <c r="J100" s="19">
        <v>-1.8576226584951949E-2</v>
      </c>
      <c r="K100" s="24">
        <v>-3.6233065927019137E-2</v>
      </c>
      <c r="L100" s="13"/>
      <c r="M100" s="143">
        <v>13458.29</v>
      </c>
      <c r="N100" s="148">
        <f t="shared" si="28"/>
        <v>11097.212434421734</v>
      </c>
      <c r="O100" s="146">
        <f t="shared" si="28"/>
        <v>11148.009313345823</v>
      </c>
      <c r="P100" s="13"/>
      <c r="Q100" s="29">
        <f t="shared" si="22"/>
        <v>0.34582900000000011</v>
      </c>
      <c r="R100" s="28">
        <f t="shared" si="25"/>
        <v>0.10972124344217336</v>
      </c>
      <c r="S100" s="27">
        <f t="shared" si="26"/>
        <v>0.11480093133458232</v>
      </c>
      <c r="T100" s="13"/>
    </row>
    <row r="101" spans="7:20">
      <c r="G101" s="31">
        <f t="shared" si="27"/>
        <v>40147</v>
      </c>
      <c r="H101" s="62"/>
      <c r="I101" s="25">
        <f t="shared" si="23"/>
        <v>3.8647554778504567E-2</v>
      </c>
      <c r="J101" s="19">
        <v>5.9982242292743404E-2</v>
      </c>
      <c r="K101" s="24">
        <v>6.2599199049791387E-2</v>
      </c>
      <c r="L101" s="13"/>
      <c r="M101" s="143">
        <v>13978.42</v>
      </c>
      <c r="N101" s="148">
        <f t="shared" ref="N101:O116" si="29">N100*(1+J101)</f>
        <v>11762.848119437263</v>
      </c>
      <c r="O101" s="146">
        <f t="shared" si="29"/>
        <v>11845.865767360887</v>
      </c>
      <c r="P101" s="13"/>
      <c r="Q101" s="29">
        <f t="shared" si="22"/>
        <v>0.39784200000000003</v>
      </c>
      <c r="R101" s="28">
        <f t="shared" si="25"/>
        <v>0.17628481194372633</v>
      </c>
      <c r="S101" s="27">
        <f t="shared" si="26"/>
        <v>0.18458657673608869</v>
      </c>
      <c r="T101" s="13"/>
    </row>
    <row r="102" spans="7:20">
      <c r="G102" s="31">
        <f t="shared" si="27"/>
        <v>40178</v>
      </c>
      <c r="H102" s="30"/>
      <c r="I102" s="25">
        <f t="shared" si="23"/>
        <v>3.139482144620076E-2</v>
      </c>
      <c r="J102" s="19">
        <v>1.9315685534870175E-2</v>
      </c>
      <c r="K102" s="24">
        <v>1.7642258327769111E-2</v>
      </c>
      <c r="L102" s="13"/>
      <c r="M102" s="143">
        <v>14417.27</v>
      </c>
      <c r="N102" s="148">
        <f t="shared" si="29"/>
        <v>11990.055594706753</v>
      </c>
      <c r="O102" s="146">
        <f t="shared" si="29"/>
        <v>12054.853591344745</v>
      </c>
      <c r="P102" s="13"/>
      <c r="Q102" s="29">
        <f t="shared" si="22"/>
        <v>0.44172700000000004</v>
      </c>
      <c r="R102" s="28">
        <f t="shared" si="25"/>
        <v>0.19900555947067533</v>
      </c>
      <c r="S102" s="27">
        <f t="shared" si="26"/>
        <v>0.20548535913447449</v>
      </c>
      <c r="T102" s="13"/>
    </row>
    <row r="103" spans="7:20">
      <c r="G103" s="31">
        <f t="shared" si="27"/>
        <v>40209</v>
      </c>
      <c r="H103" s="30"/>
      <c r="I103" s="25">
        <f t="shared" si="23"/>
        <v>-1.578315450844725E-2</v>
      </c>
      <c r="J103" s="19">
        <v>-3.5972789115646164E-2</v>
      </c>
      <c r="K103" s="24">
        <v>-2.0174287491737664E-2</v>
      </c>
      <c r="L103" s="13"/>
      <c r="M103" s="143">
        <v>14189.72</v>
      </c>
      <c r="N103" s="148">
        <f t="shared" si="29"/>
        <v>11558.739853313493</v>
      </c>
      <c r="O103" s="146">
        <f t="shared" si="29"/>
        <v>11811.65550932215</v>
      </c>
      <c r="P103" s="13"/>
      <c r="Q103" s="29">
        <f t="shared" si="22"/>
        <v>0.41897199999999996</v>
      </c>
      <c r="R103" s="28">
        <f t="shared" si="25"/>
        <v>0.15587398533134927</v>
      </c>
      <c r="S103" s="27">
        <f t="shared" si="26"/>
        <v>0.18116555093221504</v>
      </c>
      <c r="T103" s="13"/>
    </row>
    <row r="104" spans="7:20">
      <c r="G104" s="31">
        <f t="shared" si="27"/>
        <v>40237</v>
      </c>
      <c r="H104" s="62"/>
      <c r="I104" s="25">
        <f t="shared" si="23"/>
        <v>2.6345833462534829E-2</v>
      </c>
      <c r="J104" s="19">
        <v>3.0975499604832368E-2</v>
      </c>
      <c r="K104" s="24">
        <v>2.7550940942286495E-2</v>
      </c>
      <c r="L104" s="13"/>
      <c r="M104" s="143">
        <v>14563.56</v>
      </c>
      <c r="N104" s="148">
        <f t="shared" si="29"/>
        <v>11916.777595072164</v>
      </c>
      <c r="O104" s="146">
        <f t="shared" si="29"/>
        <v>12137.077732690117</v>
      </c>
      <c r="P104" s="13"/>
      <c r="Q104" s="29">
        <f t="shared" si="22"/>
        <v>0.45635599999999993</v>
      </c>
      <c r="R104" s="28">
        <f t="shared" si="25"/>
        <v>0.19167775950721644</v>
      </c>
      <c r="S104" s="27">
        <f t="shared" si="26"/>
        <v>0.21370777326901169</v>
      </c>
      <c r="T104" s="13"/>
    </row>
    <row r="105" spans="7:20">
      <c r="G105" s="31">
        <f t="shared" si="27"/>
        <v>40268</v>
      </c>
      <c r="H105" s="30"/>
      <c r="I105" s="25">
        <f t="shared" si="23"/>
        <v>5.1339095660676293E-2</v>
      </c>
      <c r="J105" s="19">
        <v>6.034704616513431E-2</v>
      </c>
      <c r="K105" s="24">
        <v>6.3672972077966516E-2</v>
      </c>
      <c r="L105" s="13"/>
      <c r="M105" s="143">
        <v>15311.24</v>
      </c>
      <c r="N105" s="148">
        <f t="shared" si="29"/>
        <v>12635.919922741623</v>
      </c>
      <c r="O105" s="146">
        <f t="shared" si="29"/>
        <v>12909.881544271804</v>
      </c>
      <c r="P105" s="13"/>
      <c r="Q105" s="29">
        <f t="shared" si="22"/>
        <v>0.53112399999999993</v>
      </c>
      <c r="R105" s="28">
        <f t="shared" si="25"/>
        <v>0.2635919922741623</v>
      </c>
      <c r="S105" s="27">
        <f t="shared" si="26"/>
        <v>0.2909881544271804</v>
      </c>
      <c r="T105" s="13"/>
    </row>
    <row r="106" spans="7:20">
      <c r="G106" s="31">
        <f t="shared" si="27"/>
        <v>40298</v>
      </c>
      <c r="H106" s="30"/>
      <c r="I106" s="25">
        <f t="shared" si="23"/>
        <v>1.0615730665837653E-2</v>
      </c>
      <c r="J106" s="19">
        <v>1.5786375278856513E-2</v>
      </c>
      <c r="K106" s="24">
        <v>1.8816804147666177E-2</v>
      </c>
      <c r="L106" s="13"/>
      <c r="M106" s="143">
        <v>15473.78</v>
      </c>
      <c r="N106" s="148">
        <f t="shared" si="29"/>
        <v>12835.395296635601</v>
      </c>
      <c r="O106" s="146">
        <f t="shared" si="29"/>
        <v>13152.804256859938</v>
      </c>
      <c r="P106" s="13"/>
      <c r="Q106" s="29">
        <f t="shared" si="22"/>
        <v>0.54737800000000003</v>
      </c>
      <c r="R106" s="28">
        <f t="shared" si="25"/>
        <v>0.28353952966356011</v>
      </c>
      <c r="S106" s="27">
        <f t="shared" si="26"/>
        <v>0.31528042568599374</v>
      </c>
      <c r="T106" s="13"/>
    </row>
    <row r="107" spans="7:20">
      <c r="G107" s="31">
        <f t="shared" si="27"/>
        <v>40329</v>
      </c>
      <c r="H107" s="62"/>
      <c r="I107" s="25">
        <f t="shared" si="23"/>
        <v>-6.0924350740413913E-2</v>
      </c>
      <c r="J107" s="19">
        <v>-7.985053760707661E-2</v>
      </c>
      <c r="K107" s="24">
        <v>-7.9227392715457756E-2</v>
      </c>
      <c r="L107" s="13"/>
      <c r="M107" s="143">
        <v>14531.05</v>
      </c>
      <c r="N107" s="148">
        <f t="shared" si="29"/>
        <v>11810.482081799906</v>
      </c>
      <c r="O107" s="146">
        <f t="shared" si="29"/>
        <v>12110.74186869215</v>
      </c>
      <c r="P107" s="13"/>
      <c r="Q107" s="29">
        <f t="shared" si="22"/>
        <v>0.45310499999999992</v>
      </c>
      <c r="R107" s="28">
        <f t="shared" si="25"/>
        <v>0.18104820817999062</v>
      </c>
      <c r="S107" s="27">
        <f t="shared" si="26"/>
        <v>0.211074186869215</v>
      </c>
      <c r="T107" s="13"/>
    </row>
    <row r="108" spans="7:20">
      <c r="G108" s="31">
        <f t="shared" si="27"/>
        <v>40359</v>
      </c>
      <c r="H108" s="30"/>
      <c r="I108" s="25">
        <f t="shared" si="23"/>
        <v>-2.2371404681698848E-2</v>
      </c>
      <c r="J108" s="19">
        <v>-5.234864473640588E-2</v>
      </c>
      <c r="K108" s="24">
        <v>-5.734524268538066E-2</v>
      </c>
      <c r="L108" s="13"/>
      <c r="M108" s="143">
        <v>14205.97</v>
      </c>
      <c r="N108" s="148">
        <f t="shared" si="29"/>
        <v>11192.219351134076</v>
      </c>
      <c r="O108" s="146">
        <f t="shared" si="29"/>
        <v>11416.248437131999</v>
      </c>
      <c r="P108" s="13"/>
      <c r="Q108" s="29">
        <f t="shared" si="22"/>
        <v>0.42059699999999994</v>
      </c>
      <c r="R108" s="28">
        <f t="shared" si="25"/>
        <v>0.11922193511340756</v>
      </c>
      <c r="S108" s="27">
        <f t="shared" si="26"/>
        <v>0.14162484371319989</v>
      </c>
      <c r="T108" s="13"/>
    </row>
    <row r="109" spans="7:20">
      <c r="G109" s="31">
        <f t="shared" si="27"/>
        <v>40390</v>
      </c>
      <c r="H109" s="30"/>
      <c r="I109" s="25">
        <f t="shared" si="23"/>
        <v>6.7506125945641093E-2</v>
      </c>
      <c r="J109" s="19">
        <v>7.0060574966622546E-2</v>
      </c>
      <c r="K109" s="24">
        <v>7.0834165159969986E-2</v>
      </c>
      <c r="L109" s="13"/>
      <c r="M109" s="143">
        <v>15164.96</v>
      </c>
      <c r="N109" s="148">
        <f t="shared" si="29"/>
        <v>11976.352674027088</v>
      </c>
      <c r="O109" s="146">
        <f t="shared" si="29"/>
        <v>12224.908864435056</v>
      </c>
      <c r="P109" s="13"/>
      <c r="Q109" s="29">
        <f t="shared" si="22"/>
        <v>0.51649599999999996</v>
      </c>
      <c r="R109" s="28">
        <f t="shared" si="25"/>
        <v>0.19763526740270881</v>
      </c>
      <c r="S109" s="27">
        <f t="shared" si="26"/>
        <v>0.22249088644350559</v>
      </c>
      <c r="T109" s="13"/>
    </row>
    <row r="110" spans="7:20" ht="15.75" thickBot="1">
      <c r="G110" s="31">
        <f t="shared" si="27"/>
        <v>40421</v>
      </c>
      <c r="H110" s="26"/>
      <c r="I110" s="25">
        <f t="shared" si="23"/>
        <v>-2.228162817442314E-2</v>
      </c>
      <c r="J110" s="19">
        <v>-4.5140023972976007E-2</v>
      </c>
      <c r="K110" s="24">
        <v>-4.6753365012496828E-2</v>
      </c>
      <c r="L110" s="13"/>
      <c r="M110" s="143">
        <v>14827.06</v>
      </c>
      <c r="N110" s="148">
        <f t="shared" si="29"/>
        <v>11435.73982721269</v>
      </c>
      <c r="O110" s="146">
        <f t="shared" si="29"/>
        <v>11653.353238051615</v>
      </c>
      <c r="P110" s="13"/>
      <c r="Q110" s="29">
        <f t="shared" si="22"/>
        <v>0.48270599999999997</v>
      </c>
      <c r="R110" s="28">
        <f t="shared" si="25"/>
        <v>0.14357398272126903</v>
      </c>
      <c r="S110" s="27">
        <f t="shared" si="26"/>
        <v>0.16533532380516153</v>
      </c>
      <c r="T110" s="13"/>
    </row>
    <row r="111" spans="7:20">
      <c r="G111" s="31">
        <f t="shared" si="27"/>
        <v>40451</v>
      </c>
      <c r="H111" s="30"/>
      <c r="I111" s="25">
        <f t="shared" si="23"/>
        <v>6.199745600274098E-2</v>
      </c>
      <c r="J111" s="19">
        <v>8.924139111580276E-2</v>
      </c>
      <c r="K111" s="24">
        <v>7.7410567764978344E-2</v>
      </c>
      <c r="L111" s="13"/>
      <c r="M111" s="143">
        <v>15746.3</v>
      </c>
      <c r="N111" s="148">
        <f t="shared" si="29"/>
        <v>12456.281157831541</v>
      </c>
      <c r="O111" s="146">
        <f t="shared" si="29"/>
        <v>12555.44592857504</v>
      </c>
      <c r="P111" s="13"/>
      <c r="Q111" s="29">
        <f t="shared" si="22"/>
        <v>0.57462999999999997</v>
      </c>
      <c r="R111" s="28">
        <f t="shared" si="25"/>
        <v>0.24562811578315413</v>
      </c>
      <c r="S111" s="27">
        <f t="shared" si="26"/>
        <v>0.25554459285750397</v>
      </c>
      <c r="T111" s="13"/>
    </row>
    <row r="112" spans="7:20">
      <c r="G112" s="31">
        <f t="shared" si="27"/>
        <v>40482</v>
      </c>
      <c r="H112" s="30"/>
      <c r="I112" s="25">
        <f t="shared" si="23"/>
        <v>2.1621587293523037E-2</v>
      </c>
      <c r="J112" s="19">
        <v>3.8052332434060476E-2</v>
      </c>
      <c r="K112" s="24">
        <v>2.5894544977720368E-2</v>
      </c>
      <c r="L112" s="13"/>
      <c r="M112" s="143">
        <v>16086.76</v>
      </c>
      <c r="N112" s="148">
        <f t="shared" si="29"/>
        <v>12930.27170934147</v>
      </c>
      <c r="O112" s="146">
        <f t="shared" si="29"/>
        <v>12880.563487887863</v>
      </c>
      <c r="P112" s="13"/>
      <c r="Q112" s="29">
        <f t="shared" si="22"/>
        <v>0.60867599999999999</v>
      </c>
      <c r="R112" s="28">
        <f t="shared" si="25"/>
        <v>0.29302717093414704</v>
      </c>
      <c r="S112" s="27">
        <f t="shared" si="26"/>
        <v>0.28805634878878628</v>
      </c>
      <c r="T112" s="13"/>
    </row>
    <row r="113" spans="7:20">
      <c r="G113" s="31">
        <f t="shared" si="27"/>
        <v>40512</v>
      </c>
      <c r="H113" s="62"/>
      <c r="I113" s="25">
        <f t="shared" si="23"/>
        <v>-1.7989327869626925E-2</v>
      </c>
      <c r="J113" s="19">
        <v>1.2616131490372773E-4</v>
      </c>
      <c r="K113" s="24">
        <v>-4.6323503992810044E-3</v>
      </c>
      <c r="L113" s="13"/>
      <c r="M113" s="143">
        <v>15797.37</v>
      </c>
      <c r="N113" s="148">
        <f t="shared" si="29"/>
        <v>12931.903009422384</v>
      </c>
      <c r="O113" s="146">
        <f t="shared" si="29"/>
        <v>12820.896204471781</v>
      </c>
      <c r="P113" s="13"/>
      <c r="Q113" s="29">
        <f t="shared" si="22"/>
        <v>0.57973700000000006</v>
      </c>
      <c r="R113" s="28">
        <f t="shared" si="25"/>
        <v>0.29319030094223836</v>
      </c>
      <c r="S113" s="27">
        <f t="shared" si="26"/>
        <v>0.28208962044717811</v>
      </c>
      <c r="T113" s="13"/>
    </row>
    <row r="114" spans="7:20">
      <c r="G114" s="31">
        <f t="shared" si="27"/>
        <v>40543</v>
      </c>
      <c r="H114" s="30"/>
      <c r="I114" s="25">
        <f t="shared" si="23"/>
        <v>5.0646405066159694E-2</v>
      </c>
      <c r="J114" s="19">
        <v>6.6831833044039834E-2</v>
      </c>
      <c r="K114" s="24">
        <v>8.2232615017904687E-2</v>
      </c>
      <c r="L114" s="13"/>
      <c r="M114" s="143">
        <v>16597.45</v>
      </c>
      <c r="N114" s="148">
        <f t="shared" si="29"/>
        <v>13796.165792289816</v>
      </c>
      <c r="O114" s="146">
        <f t="shared" si="29"/>
        <v>13875.192026238625</v>
      </c>
      <c r="P114" s="13"/>
      <c r="Q114" s="29">
        <f t="shared" si="22"/>
        <v>0.65974500000000003</v>
      </c>
      <c r="R114" s="28">
        <f t="shared" si="25"/>
        <v>0.37961657922898157</v>
      </c>
      <c r="S114" s="27">
        <f t="shared" si="26"/>
        <v>0.38751920262386247</v>
      </c>
      <c r="T114" s="13"/>
    </row>
    <row r="115" spans="7:20">
      <c r="G115" s="31">
        <f t="shared" si="27"/>
        <v>40574</v>
      </c>
      <c r="H115" s="30"/>
      <c r="I115" s="25">
        <f t="shared" si="23"/>
        <v>2.153885084756979E-2</v>
      </c>
      <c r="J115" s="19">
        <v>2.3700627633862936E-2</v>
      </c>
      <c r="K115" s="24">
        <v>3.2335324284323841E-2</v>
      </c>
      <c r="L115" s="13"/>
      <c r="M115" s="143">
        <v>16954.939999999999</v>
      </c>
      <c r="N115" s="148">
        <f t="shared" si="29"/>
        <v>14123.143580507915</v>
      </c>
      <c r="O115" s="146">
        <f t="shared" si="29"/>
        <v>14323.850859914315</v>
      </c>
      <c r="P115" s="13"/>
      <c r="Q115" s="29">
        <f t="shared" si="22"/>
        <v>0.69549399999999983</v>
      </c>
      <c r="R115" s="28">
        <f t="shared" si="25"/>
        <v>0.41231435805079147</v>
      </c>
      <c r="S115" s="27">
        <f t="shared" si="26"/>
        <v>0.43238508599143149</v>
      </c>
      <c r="T115" s="13"/>
    </row>
    <row r="116" spans="7:20">
      <c r="G116" s="31">
        <f t="shared" si="27"/>
        <v>40602</v>
      </c>
      <c r="H116" s="62"/>
      <c r="I116" s="25">
        <f t="shared" si="23"/>
        <v>3.8152302514783409E-2</v>
      </c>
      <c r="J116" s="19">
        <v>3.425891702088335E-2</v>
      </c>
      <c r="K116" s="24">
        <v>3.6881256155942843E-2</v>
      </c>
      <c r="L116" s="13"/>
      <c r="M116" s="143">
        <v>17601.810000000001</v>
      </c>
      <c r="N116" s="148">
        <f t="shared" si="29"/>
        <v>14606.987184506557</v>
      </c>
      <c r="O116" s="146">
        <f t="shared" si="29"/>
        <v>14852.132472618337</v>
      </c>
      <c r="P116" s="13"/>
      <c r="Q116" s="29">
        <f t="shared" si="22"/>
        <v>0.76018100000000011</v>
      </c>
      <c r="R116" s="28">
        <f t="shared" si="25"/>
        <v>0.46069871845065574</v>
      </c>
      <c r="S116" s="27">
        <f t="shared" si="26"/>
        <v>0.48521324726183374</v>
      </c>
      <c r="T116" s="13"/>
    </row>
    <row r="117" spans="7:20">
      <c r="G117" s="31">
        <f t="shared" si="27"/>
        <v>40633</v>
      </c>
      <c r="H117" s="30"/>
      <c r="I117" s="25">
        <f t="shared" si="23"/>
        <v>2.9014061622072429E-3</v>
      </c>
      <c r="J117" s="19">
        <v>3.9757878984159056E-4</v>
      </c>
      <c r="K117" s="24">
        <v>-2.2067418052915677E-3</v>
      </c>
      <c r="L117" s="13"/>
      <c r="M117" s="143">
        <v>17652.88</v>
      </c>
      <c r="N117" s="148">
        <f t="shared" ref="N117:O132" si="30">N116*(1+J117)</f>
        <v>14612.794612794605</v>
      </c>
      <c r="O117" s="146">
        <f t="shared" si="30"/>
        <v>14819.357650993283</v>
      </c>
      <c r="P117" s="13"/>
      <c r="Q117" s="29">
        <f t="shared" si="22"/>
        <v>0.76528800000000008</v>
      </c>
      <c r="R117" s="28">
        <f t="shared" si="25"/>
        <v>0.46127946127946051</v>
      </c>
      <c r="S117" s="27">
        <f t="shared" si="26"/>
        <v>0.48193576509932828</v>
      </c>
      <c r="T117" s="13"/>
    </row>
    <row r="118" spans="7:20">
      <c r="G118" s="31">
        <f t="shared" si="27"/>
        <v>40663</v>
      </c>
      <c r="H118" s="30"/>
      <c r="I118" s="25">
        <f t="shared" si="23"/>
        <v>3.1822569461753547E-2</v>
      </c>
      <c r="J118" s="19">
        <v>2.9614546493766269E-2</v>
      </c>
      <c r="K118" s="24">
        <v>2.532809618224352E-2</v>
      </c>
      <c r="L118" s="13"/>
      <c r="M118" s="143">
        <v>18214.64</v>
      </c>
      <c r="N118" s="148">
        <f t="shared" si="30"/>
        <v>15045.545898259068</v>
      </c>
      <c r="O118" s="146">
        <f t="shared" si="30"/>
        <v>15194.703766936707</v>
      </c>
      <c r="P118" s="13"/>
      <c r="Q118" s="29">
        <f t="shared" si="22"/>
        <v>0.82146399999999997</v>
      </c>
      <c r="R118" s="28">
        <f t="shared" si="25"/>
        <v>0.50455458982590684</v>
      </c>
      <c r="S118" s="27">
        <f t="shared" si="26"/>
        <v>0.51947037669367069</v>
      </c>
      <c r="T118" s="13"/>
    </row>
    <row r="119" spans="7:20">
      <c r="G119" s="31">
        <f t="shared" si="27"/>
        <v>40694</v>
      </c>
      <c r="H119" s="62"/>
      <c r="I119" s="25">
        <f t="shared" si="23"/>
        <v>-9.3457789997496432E-3</v>
      </c>
      <c r="J119" s="19">
        <v>-1.1319478176393227E-2</v>
      </c>
      <c r="K119" s="24">
        <v>-1.8293926689336715E-2</v>
      </c>
      <c r="L119" s="13"/>
      <c r="M119" s="143">
        <v>18044.41</v>
      </c>
      <c r="N119" s="148">
        <f t="shared" si="30"/>
        <v>14875.238169811802</v>
      </c>
      <c r="O119" s="146">
        <f t="shared" si="30"/>
        <v>14916.732970158178</v>
      </c>
      <c r="P119" s="13"/>
      <c r="Q119" s="29">
        <f t="shared" si="22"/>
        <v>0.80444099999999996</v>
      </c>
      <c r="R119" s="28">
        <f t="shared" si="25"/>
        <v>0.48752381698118025</v>
      </c>
      <c r="S119" s="27">
        <f t="shared" si="26"/>
        <v>0.49167329701581786</v>
      </c>
      <c r="T119" s="13"/>
    </row>
    <row r="120" spans="7:20">
      <c r="G120" s="31">
        <f t="shared" si="27"/>
        <v>40724</v>
      </c>
      <c r="H120" s="30"/>
      <c r="I120" s="25">
        <f t="shared" si="23"/>
        <v>-1.4150642775241806E-2</v>
      </c>
      <c r="J120" s="19">
        <v>-1.6669152417465805E-2</v>
      </c>
      <c r="K120" s="24">
        <v>-2.1141915604373285E-2</v>
      </c>
      <c r="L120" s="13"/>
      <c r="M120" s="143">
        <v>17789.07</v>
      </c>
      <c r="N120" s="148">
        <f t="shared" si="30"/>
        <v>14627.280557513104</v>
      </c>
      <c r="O120" s="146">
        <f t="shared" si="30"/>
        <v>14601.364660610121</v>
      </c>
      <c r="P120" s="13"/>
      <c r="Q120" s="29">
        <f t="shared" si="22"/>
        <v>0.77890700000000002</v>
      </c>
      <c r="R120" s="28">
        <f t="shared" si="25"/>
        <v>0.46272805575131043</v>
      </c>
      <c r="S120" s="27">
        <f t="shared" si="26"/>
        <v>0.46013646606101211</v>
      </c>
      <c r="T120" s="13"/>
    </row>
    <row r="121" spans="7:20">
      <c r="G121" s="31">
        <f t="shared" si="27"/>
        <v>40755</v>
      </c>
      <c r="H121" s="30"/>
      <c r="I121" s="25">
        <f t="shared" si="23"/>
        <v>-1.7225183778578512E-2</v>
      </c>
      <c r="J121" s="19">
        <v>-2.0333145972181277E-2</v>
      </c>
      <c r="K121" s="24">
        <v>-3.5648221340701447E-2</v>
      </c>
      <c r="L121" s="13"/>
      <c r="M121" s="143">
        <v>17482.650000000001</v>
      </c>
      <c r="N121" s="148">
        <f t="shared" si="30"/>
        <v>14329.861926761141</v>
      </c>
      <c r="O121" s="146">
        <f t="shared" si="30"/>
        <v>14080.851981312395</v>
      </c>
      <c r="P121" s="13"/>
      <c r="Q121" s="29">
        <f t="shared" si="22"/>
        <v>0.74826500000000018</v>
      </c>
      <c r="R121" s="28">
        <f t="shared" si="25"/>
        <v>0.4329861926761141</v>
      </c>
      <c r="S121" s="27">
        <f t="shared" si="26"/>
        <v>0.4080851981312395</v>
      </c>
      <c r="T121" s="13"/>
    </row>
    <row r="122" spans="7:20" ht="15.75" thickBot="1">
      <c r="G122" s="31">
        <f t="shared" si="27"/>
        <v>40786</v>
      </c>
      <c r="H122" s="26"/>
      <c r="I122" s="25">
        <f t="shared" si="23"/>
        <v>-2.7263601341901977E-2</v>
      </c>
      <c r="J122" s="19">
        <v>-5.432406833995107E-2</v>
      </c>
      <c r="K122" s="24">
        <v>-6.1779615423183887E-2</v>
      </c>
      <c r="L122" s="13"/>
      <c r="M122" s="143">
        <v>17006.009999999998</v>
      </c>
      <c r="N122" s="148">
        <f t="shared" si="30"/>
        <v>13551.405528149706</v>
      </c>
      <c r="O122" s="146">
        <f t="shared" si="30"/>
        <v>13210.942361076139</v>
      </c>
      <c r="P122" s="13"/>
      <c r="Q122" s="29">
        <f t="shared" si="22"/>
        <v>0.70060099999999981</v>
      </c>
      <c r="R122" s="28">
        <f t="shared" si="25"/>
        <v>0.35514055281497059</v>
      </c>
      <c r="S122" s="27">
        <f t="shared" si="26"/>
        <v>0.3210942361076139</v>
      </c>
      <c r="T122" s="13"/>
    </row>
    <row r="123" spans="7:20">
      <c r="G123" s="31">
        <f t="shared" si="27"/>
        <v>40816</v>
      </c>
      <c r="H123" s="30"/>
      <c r="I123" s="25">
        <f t="shared" si="23"/>
        <v>-5.0050540955814959E-2</v>
      </c>
      <c r="J123" s="19">
        <v>-7.0296324117143039E-2</v>
      </c>
      <c r="K123" s="24">
        <v>-7.4924129905390213E-2</v>
      </c>
      <c r="L123" s="13"/>
      <c r="M123" s="143">
        <v>16154.85</v>
      </c>
      <c r="N123" s="148">
        <f t="shared" si="30"/>
        <v>12598.79153290005</v>
      </c>
      <c r="O123" s="146">
        <f t="shared" si="30"/>
        <v>12221.123999442247</v>
      </c>
      <c r="P123" s="13"/>
      <c r="Q123" s="29">
        <f t="shared" si="22"/>
        <v>0.61548500000000006</v>
      </c>
      <c r="R123" s="28">
        <f t="shared" si="25"/>
        <v>0.25987915329000499</v>
      </c>
      <c r="S123" s="27">
        <f t="shared" si="26"/>
        <v>0.22211239994422466</v>
      </c>
      <c r="T123" s="13"/>
    </row>
    <row r="124" spans="7:20">
      <c r="G124" s="31">
        <f t="shared" si="27"/>
        <v>40847</v>
      </c>
      <c r="H124" s="30"/>
      <c r="I124" s="25">
        <f t="shared" si="23"/>
        <v>8.1138481632450965E-2</v>
      </c>
      <c r="J124" s="19">
        <v>0.10929205144008414</v>
      </c>
      <c r="K124" s="24">
        <v>0.11313011799708428</v>
      </c>
      <c r="L124" s="13"/>
      <c r="M124" s="143">
        <v>17465.63</v>
      </c>
      <c r="N124" s="148">
        <f t="shared" si="30"/>
        <v>13975.739305196659</v>
      </c>
      <c r="O124" s="146">
        <f t="shared" si="30"/>
        <v>13603.701199556146</v>
      </c>
      <c r="P124" s="13"/>
      <c r="Q124" s="29">
        <f t="shared" si="22"/>
        <v>0.74656300000000009</v>
      </c>
      <c r="R124" s="28">
        <f t="shared" si="25"/>
        <v>0.39757393051966594</v>
      </c>
      <c r="S124" s="27">
        <f t="shared" si="26"/>
        <v>0.36037011995561463</v>
      </c>
      <c r="T124" s="13"/>
    </row>
    <row r="125" spans="7:20">
      <c r="G125" s="31">
        <f t="shared" si="27"/>
        <v>40877</v>
      </c>
      <c r="H125" s="62"/>
      <c r="I125" s="25">
        <f t="shared" si="23"/>
        <v>-1.9495431885365733E-3</v>
      </c>
      <c r="J125" s="19">
        <v>-2.2084125109136377E-3</v>
      </c>
      <c r="K125" s="24">
        <v>-3.1500376634937544E-3</v>
      </c>
      <c r="L125" s="13"/>
      <c r="M125" s="143">
        <v>17431.580000000002</v>
      </c>
      <c r="N125" s="148">
        <f t="shared" si="30"/>
        <v>13944.875107665795</v>
      </c>
      <c r="O125" s="146">
        <f t="shared" si="30"/>
        <v>13560.849028414628</v>
      </c>
      <c r="P125" s="13"/>
      <c r="Q125" s="29">
        <f t="shared" si="22"/>
        <v>0.74315800000000021</v>
      </c>
      <c r="R125" s="28">
        <f t="shared" si="25"/>
        <v>0.39448751076657956</v>
      </c>
      <c r="S125" s="27">
        <f t="shared" si="26"/>
        <v>0.35608490284146282</v>
      </c>
      <c r="T125" s="13"/>
    </row>
    <row r="126" spans="7:20">
      <c r="G126" s="31">
        <f t="shared" si="27"/>
        <v>40908</v>
      </c>
      <c r="H126" s="30"/>
      <c r="I126" s="25">
        <f t="shared" si="23"/>
        <v>1.9478440852751078E-2</v>
      </c>
      <c r="J126" s="19">
        <v>1.0228910475976516E-2</v>
      </c>
      <c r="K126" s="24">
        <v>1.8220718122600177E-2</v>
      </c>
      <c r="L126" s="13"/>
      <c r="M126" s="143">
        <v>17771.12</v>
      </c>
      <c r="N126" s="148">
        <f t="shared" si="30"/>
        <v>14087.515986740782</v>
      </c>
      <c r="O126" s="146">
        <f t="shared" si="30"/>
        <v>13807.937436064507</v>
      </c>
      <c r="P126" s="13"/>
      <c r="Q126" s="29">
        <f t="shared" si="22"/>
        <v>0.77711199999999991</v>
      </c>
      <c r="R126" s="28">
        <f t="shared" si="25"/>
        <v>0.40875159867407818</v>
      </c>
      <c r="S126" s="27">
        <f t="shared" si="26"/>
        <v>0.38079374360645069</v>
      </c>
      <c r="T126" s="13"/>
    </row>
    <row r="127" spans="7:20">
      <c r="G127" s="31">
        <f t="shared" si="27"/>
        <v>40939</v>
      </c>
      <c r="H127" s="30"/>
      <c r="I127" s="25">
        <f t="shared" si="23"/>
        <v>3.4791279334110747E-2</v>
      </c>
      <c r="J127" s="19">
        <v>4.4813658554661018E-2</v>
      </c>
      <c r="K127" s="24">
        <v>4.9105627444058442E-2</v>
      </c>
      <c r="L127" s="13"/>
      <c r="M127" s="143">
        <v>18389.400000000001</v>
      </c>
      <c r="N127" s="148">
        <f t="shared" si="30"/>
        <v>14718.829118053913</v>
      </c>
      <c r="O127" s="146">
        <f t="shared" si="30"/>
        <v>14485.984867570758</v>
      </c>
      <c r="P127" s="13"/>
      <c r="Q127" s="29">
        <f t="shared" si="22"/>
        <v>0.83894000000000013</v>
      </c>
      <c r="R127" s="28">
        <f t="shared" si="25"/>
        <v>0.47188291180539127</v>
      </c>
      <c r="S127" s="27">
        <f t="shared" si="26"/>
        <v>0.44859848675707581</v>
      </c>
      <c r="T127" s="13"/>
    </row>
    <row r="128" spans="7:20">
      <c r="G128" s="31">
        <f t="shared" si="27"/>
        <v>40968</v>
      </c>
      <c r="H128" s="62"/>
      <c r="I128" s="25">
        <f t="shared" si="23"/>
        <v>2.305458579398989E-2</v>
      </c>
      <c r="J128" s="19">
        <v>4.3241757511005563E-2</v>
      </c>
      <c r="K128" s="24">
        <v>4.1680670909395978E-2</v>
      </c>
      <c r="L128" s="13"/>
      <c r="M128" s="143">
        <v>18813.36</v>
      </c>
      <c r="N128" s="148">
        <f t="shared" si="30"/>
        <v>15355.297157622728</v>
      </c>
      <c r="O128" s="146">
        <f t="shared" si="30"/>
        <v>15089.770435634466</v>
      </c>
      <c r="P128" s="13"/>
      <c r="Q128" s="29">
        <f t="shared" si="22"/>
        <v>0.88133600000000001</v>
      </c>
      <c r="R128" s="28">
        <f t="shared" si="25"/>
        <v>0.53552971576227282</v>
      </c>
      <c r="S128" s="27">
        <f t="shared" si="26"/>
        <v>0.50897704356344653</v>
      </c>
      <c r="T128" s="13"/>
    </row>
    <row r="129" spans="7:20">
      <c r="G129" s="31">
        <f t="shared" si="27"/>
        <v>40999</v>
      </c>
      <c r="H129" s="30"/>
      <c r="I129" s="25">
        <f t="shared" si="23"/>
        <v>1.8779739504267035E-2</v>
      </c>
      <c r="J129" s="19">
        <v>3.2907960547842841E-2</v>
      </c>
      <c r="K129" s="24">
        <v>3.3710875361432135E-2</v>
      </c>
      <c r="L129" s="13"/>
      <c r="M129" s="143">
        <v>19166.669999999998</v>
      </c>
      <c r="N129" s="148">
        <f t="shared" si="30"/>
        <v>15860.608670686181</v>
      </c>
      <c r="O129" s="146">
        <f t="shared" si="30"/>
        <v>15598.459806022762</v>
      </c>
      <c r="P129" s="13"/>
      <c r="Q129" s="29">
        <f t="shared" si="22"/>
        <v>0.91666699999999979</v>
      </c>
      <c r="R129" s="28">
        <f t="shared" si="25"/>
        <v>0.58606086706861804</v>
      </c>
      <c r="S129" s="27">
        <f t="shared" si="26"/>
        <v>0.55984598060227619</v>
      </c>
      <c r="T129" s="13"/>
    </row>
    <row r="130" spans="7:20">
      <c r="G130" s="31">
        <f t="shared" si="27"/>
        <v>41029</v>
      </c>
      <c r="H130" s="30"/>
      <c r="I130" s="25">
        <f t="shared" si="23"/>
        <v>-9.2191288314547037E-4</v>
      </c>
      <c r="J130" s="19">
        <v>-6.2739902989710217E-3</v>
      </c>
      <c r="K130" s="24">
        <v>-1.3288300301013245E-2</v>
      </c>
      <c r="L130" s="13"/>
      <c r="M130" s="143">
        <v>19149</v>
      </c>
      <c r="N130" s="148">
        <f t="shared" si="30"/>
        <v>15761.099365750521</v>
      </c>
      <c r="O130" s="146">
        <f t="shared" si="30"/>
        <v>15391.182787887046</v>
      </c>
      <c r="P130" s="13"/>
      <c r="Q130" s="29">
        <f t="shared" si="22"/>
        <v>0.91490000000000005</v>
      </c>
      <c r="R130" s="28">
        <f t="shared" si="25"/>
        <v>0.57610993657505205</v>
      </c>
      <c r="S130" s="27">
        <f t="shared" si="26"/>
        <v>0.53911827878870466</v>
      </c>
      <c r="T130" s="13"/>
    </row>
    <row r="131" spans="7:20">
      <c r="G131" s="31">
        <f t="shared" si="27"/>
        <v>41060</v>
      </c>
      <c r="H131" s="62"/>
      <c r="I131" s="25">
        <f t="shared" si="23"/>
        <v>-4.9815656170034917E-2</v>
      </c>
      <c r="J131" s="19">
        <v>-6.0101348833743184E-2</v>
      </c>
      <c r="K131" s="24">
        <v>-6.6739018882634116E-2</v>
      </c>
      <c r="L131" s="13"/>
      <c r="M131" s="143">
        <v>18195.080000000002</v>
      </c>
      <c r="N131" s="148">
        <f t="shared" si="30"/>
        <v>14813.83603476626</v>
      </c>
      <c r="O131" s="146">
        <f t="shared" si="30"/>
        <v>14363.99034918018</v>
      </c>
      <c r="P131" s="13"/>
      <c r="Q131" s="29">
        <f t="shared" si="22"/>
        <v>0.81950800000000013</v>
      </c>
      <c r="R131" s="28">
        <f t="shared" si="25"/>
        <v>0.48138360347662601</v>
      </c>
      <c r="S131" s="27">
        <f t="shared" si="26"/>
        <v>0.43639903491801796</v>
      </c>
      <c r="T131" s="13"/>
    </row>
    <row r="132" spans="7:20">
      <c r="G132" s="31">
        <f t="shared" si="27"/>
        <v>41090</v>
      </c>
      <c r="H132" s="30"/>
      <c r="I132" s="25">
        <f t="shared" si="23"/>
        <v>3.6893489888475184E-2</v>
      </c>
      <c r="J132" s="19">
        <v>4.1202510736702891E-2</v>
      </c>
      <c r="K132" s="24">
        <v>4.7053343410929038E-2</v>
      </c>
      <c r="L132" s="13"/>
      <c r="M132" s="143">
        <v>18866.36</v>
      </c>
      <c r="N132" s="148">
        <f t="shared" si="30"/>
        <v>15424.203273040474</v>
      </c>
      <c r="O132" s="146">
        <f t="shared" si="30"/>
        <v>15039.864119831425</v>
      </c>
      <c r="P132" s="13"/>
      <c r="Q132" s="29">
        <f t="shared" ref="Q132:Q195" si="31">(M132-$M$3)/$M$3</f>
        <v>0.88663600000000009</v>
      </c>
      <c r="R132" s="28">
        <f t="shared" si="25"/>
        <v>0.54242032730404732</v>
      </c>
      <c r="S132" s="27">
        <f t="shared" si="26"/>
        <v>0.50398641198314253</v>
      </c>
      <c r="T132" s="13"/>
    </row>
    <row r="133" spans="7:20">
      <c r="G133" s="31">
        <f t="shared" si="27"/>
        <v>41121</v>
      </c>
      <c r="H133" s="30"/>
      <c r="I133" s="25">
        <f t="shared" ref="I133:I190" si="32">M133/M132-1</f>
        <v>1.4045104620075133E-2</v>
      </c>
      <c r="J133" s="19">
        <v>1.3888712618295163E-2</v>
      </c>
      <c r="K133" s="24">
        <v>8.61550112368481E-3</v>
      </c>
      <c r="L133" s="13"/>
      <c r="M133" s="143">
        <v>19131.34</v>
      </c>
      <c r="N133" s="148">
        <f t="shared" ref="N133:O148" si="33">N132*(1+J133)</f>
        <v>15638.425599665899</v>
      </c>
      <c r="O133" s="146">
        <f t="shared" si="33"/>
        <v>15169.4400860559</v>
      </c>
      <c r="P133" s="13"/>
      <c r="Q133" s="29">
        <f t="shared" si="31"/>
        <v>0.913134</v>
      </c>
      <c r="R133" s="28">
        <f t="shared" ref="R133:R196" si="34">(N133-$N$3)/$N$3</f>
        <v>0.56384255996658994</v>
      </c>
      <c r="S133" s="27">
        <f t="shared" ref="S133:S196" si="35">(O133-$O$3)/$O$3</f>
        <v>0.51694400860558998</v>
      </c>
      <c r="T133" s="13"/>
    </row>
    <row r="134" spans="7:20" ht="15.75" thickBot="1">
      <c r="G134" s="31">
        <f t="shared" ref="G134:G197" si="36">EOMONTH(G133,1)</f>
        <v>41152</v>
      </c>
      <c r="H134" s="26"/>
      <c r="I134" s="25">
        <f t="shared" si="32"/>
        <v>1.7543465329663332E-2</v>
      </c>
      <c r="J134" s="19">
        <v>2.2523387103504211E-2</v>
      </c>
      <c r="K134" s="24">
        <v>2.1878501435045106E-2</v>
      </c>
      <c r="L134" s="13"/>
      <c r="M134" s="143">
        <v>19466.97</v>
      </c>
      <c r="N134" s="148">
        <f t="shared" si="33"/>
        <v>15990.655913136525</v>
      </c>
      <c r="O134" s="146">
        <f t="shared" si="33"/>
        <v>15501.324702747504</v>
      </c>
      <c r="P134" s="13"/>
      <c r="Q134" s="29">
        <f t="shared" si="31"/>
        <v>0.94669700000000012</v>
      </c>
      <c r="R134" s="28">
        <f t="shared" si="34"/>
        <v>0.59906559131365245</v>
      </c>
      <c r="S134" s="27">
        <f t="shared" si="35"/>
        <v>0.55013247027475043</v>
      </c>
      <c r="T134" s="13"/>
    </row>
    <row r="135" spans="7:20">
      <c r="G135" s="31">
        <f t="shared" si="36"/>
        <v>41182</v>
      </c>
      <c r="H135" s="30"/>
      <c r="I135" s="25">
        <f t="shared" si="32"/>
        <v>1.17969052194562E-2</v>
      </c>
      <c r="J135" s="19">
        <v>2.5842650779400955E-2</v>
      </c>
      <c r="K135" s="24">
        <v>3.1314974168132226E-2</v>
      </c>
      <c r="L135" s="13"/>
      <c r="M135" s="143">
        <v>19696.62</v>
      </c>
      <c r="N135" s="148">
        <f t="shared" si="33"/>
        <v>16403.896849633275</v>
      </c>
      <c r="O135" s="146">
        <f t="shared" si="33"/>
        <v>15986.748285385873</v>
      </c>
      <c r="P135" s="13"/>
      <c r="Q135" s="29">
        <f t="shared" si="31"/>
        <v>0.96966199999999991</v>
      </c>
      <c r="R135" s="28">
        <f t="shared" si="34"/>
        <v>0.64038968496332749</v>
      </c>
      <c r="S135" s="27">
        <f t="shared" si="35"/>
        <v>0.59867482853858733</v>
      </c>
      <c r="T135" s="13"/>
    </row>
    <row r="136" spans="7:20">
      <c r="G136" s="31">
        <f t="shared" si="36"/>
        <v>41213</v>
      </c>
      <c r="H136" s="30"/>
      <c r="I136" s="25">
        <f t="shared" si="32"/>
        <v>2.6903093017991431E-3</v>
      </c>
      <c r="J136" s="19">
        <v>-1.8465112393741934E-2</v>
      </c>
      <c r="K136" s="24">
        <v>-6.7462797060046098E-3</v>
      </c>
      <c r="L136" s="13"/>
      <c r="M136" s="143">
        <v>19749.61</v>
      </c>
      <c r="N136" s="148">
        <f t="shared" si="33"/>
        <v>16100.997050609447</v>
      </c>
      <c r="O136" s="146">
        <f t="shared" si="33"/>
        <v>15878.897209863169</v>
      </c>
      <c r="P136" s="13"/>
      <c r="Q136" s="29">
        <f t="shared" si="31"/>
        <v>0.97496100000000008</v>
      </c>
      <c r="R136" s="28">
        <f t="shared" si="34"/>
        <v>0.61009970506094469</v>
      </c>
      <c r="S136" s="27">
        <f t="shared" si="35"/>
        <v>0.58788972098631698</v>
      </c>
      <c r="T136" s="13"/>
    </row>
    <row r="137" spans="7:20">
      <c r="G137" s="31">
        <f t="shared" si="36"/>
        <v>41243</v>
      </c>
      <c r="H137" s="62"/>
      <c r="I137" s="25">
        <f t="shared" si="32"/>
        <v>-1.788896084530367E-3</v>
      </c>
      <c r="J137" s="19">
        <v>5.7993685942507867E-3</v>
      </c>
      <c r="K137" s="24">
        <v>1.6157437420831755E-3</v>
      </c>
      <c r="L137" s="13"/>
      <c r="M137" s="143">
        <v>19714.28</v>
      </c>
      <c r="N137" s="148">
        <f t="shared" si="33"/>
        <v>16194.372667240876</v>
      </c>
      <c r="O137" s="146">
        <f t="shared" si="33"/>
        <v>15904.553438661187</v>
      </c>
      <c r="P137" s="13"/>
      <c r="Q137" s="29">
        <f t="shared" si="31"/>
        <v>0.97142799999999985</v>
      </c>
      <c r="R137" s="28">
        <f t="shared" si="34"/>
        <v>0.61943726672408761</v>
      </c>
      <c r="S137" s="27">
        <f t="shared" si="35"/>
        <v>0.59045534386611875</v>
      </c>
      <c r="T137" s="13"/>
    </row>
    <row r="138" spans="7:20">
      <c r="G138" s="31">
        <f t="shared" si="36"/>
        <v>41274</v>
      </c>
      <c r="H138" s="30"/>
      <c r="I138" s="25">
        <f t="shared" si="32"/>
        <v>4.7950013898556687E-3</v>
      </c>
      <c r="J138" s="19">
        <v>9.1142790371581128E-3</v>
      </c>
      <c r="K138" s="24">
        <v>2.1698336320897571E-2</v>
      </c>
      <c r="L138" s="13"/>
      <c r="M138" s="143">
        <v>19808.810000000001</v>
      </c>
      <c r="N138" s="148">
        <f t="shared" si="33"/>
        <v>16341.972698561836</v>
      </c>
      <c r="O138" s="146">
        <f t="shared" si="33"/>
        <v>16249.655788206945</v>
      </c>
      <c r="P138" s="13"/>
      <c r="Q138" s="29">
        <f t="shared" si="31"/>
        <v>0.98088100000000011</v>
      </c>
      <c r="R138" s="28">
        <f t="shared" si="34"/>
        <v>0.63419726985618363</v>
      </c>
      <c r="S138" s="27">
        <f t="shared" si="35"/>
        <v>0.62496557882069448</v>
      </c>
      <c r="T138" s="13"/>
    </row>
    <row r="139" spans="7:20">
      <c r="G139" s="31">
        <f t="shared" si="36"/>
        <v>41305</v>
      </c>
      <c r="H139" s="30"/>
      <c r="I139" s="25">
        <f t="shared" si="32"/>
        <v>4.5454522507914374E-2</v>
      </c>
      <c r="J139" s="19">
        <v>5.1796010285732441E-2</v>
      </c>
      <c r="K139" s="24">
        <v>6.4992889819606159E-2</v>
      </c>
      <c r="L139" s="13"/>
      <c r="M139" s="143">
        <v>20709.21</v>
      </c>
      <c r="N139" s="148">
        <f t="shared" si="33"/>
        <v>17188.421684545705</v>
      </c>
      <c r="O139" s="146">
        <f t="shared" si="33"/>
        <v>17305.767876456404</v>
      </c>
      <c r="P139" s="13"/>
      <c r="Q139" s="29">
        <f t="shared" si="31"/>
        <v>1.070921</v>
      </c>
      <c r="R139" s="28">
        <f t="shared" si="34"/>
        <v>0.7188421684545705</v>
      </c>
      <c r="S139" s="27">
        <f t="shared" si="35"/>
        <v>0.73057678764564038</v>
      </c>
      <c r="T139" s="13"/>
    </row>
    <row r="140" spans="7:20">
      <c r="G140" s="31">
        <f t="shared" si="36"/>
        <v>41333</v>
      </c>
      <c r="H140" s="62"/>
      <c r="I140" s="25">
        <f t="shared" si="32"/>
        <v>1.5971637739923494E-2</v>
      </c>
      <c r="J140" s="19">
        <v>1.3575485164151191E-2</v>
      </c>
      <c r="K140" s="24">
        <v>1.3597314595538812E-2</v>
      </c>
      <c r="L140" s="13"/>
      <c r="M140" s="143">
        <v>21039.97</v>
      </c>
      <c r="N140" s="148">
        <f t="shared" si="33"/>
        <v>17421.76284811943</v>
      </c>
      <c r="O140" s="146">
        <f t="shared" si="33"/>
        <v>17541.079846589953</v>
      </c>
      <c r="P140" s="13"/>
      <c r="Q140" s="29">
        <f t="shared" si="31"/>
        <v>1.1039970000000001</v>
      </c>
      <c r="R140" s="28">
        <f t="shared" si="34"/>
        <v>0.74217628481194298</v>
      </c>
      <c r="S140" s="27">
        <f t="shared" si="35"/>
        <v>0.75410798465899531</v>
      </c>
      <c r="T140" s="13"/>
    </row>
    <row r="141" spans="7:20">
      <c r="G141" s="31">
        <f t="shared" si="36"/>
        <v>41364</v>
      </c>
      <c r="H141" s="30"/>
      <c r="I141" s="25">
        <f t="shared" si="32"/>
        <v>3.0567534079183556E-2</v>
      </c>
      <c r="J141" s="19">
        <v>3.7502996344459749E-2</v>
      </c>
      <c r="K141" s="24">
        <v>3.7251979686750536E-2</v>
      </c>
      <c r="L141" s="13"/>
      <c r="M141" s="143">
        <v>21683.11</v>
      </c>
      <c r="N141" s="148">
        <f t="shared" si="33"/>
        <v>18075.131156526499</v>
      </c>
      <c r="O141" s="146">
        <f t="shared" si="33"/>
        <v>18194.519796718792</v>
      </c>
      <c r="P141" s="13"/>
      <c r="Q141" s="29">
        <f t="shared" si="31"/>
        <v>1.1683110000000001</v>
      </c>
      <c r="R141" s="28">
        <f t="shared" si="34"/>
        <v>0.80751311565264983</v>
      </c>
      <c r="S141" s="27">
        <f t="shared" si="35"/>
        <v>0.81945197967187922</v>
      </c>
      <c r="T141" s="13"/>
    </row>
    <row r="142" spans="7:20">
      <c r="G142" s="31">
        <f t="shared" si="36"/>
        <v>41394</v>
      </c>
      <c r="H142" s="30"/>
      <c r="I142" s="25">
        <f t="shared" si="32"/>
        <v>1.1864534192742582E-2</v>
      </c>
      <c r="J142" s="19">
        <v>1.9266800238262771E-2</v>
      </c>
      <c r="K142" s="24">
        <v>1.789409992860902E-2</v>
      </c>
      <c r="L142" s="13"/>
      <c r="M142" s="143">
        <v>21940.37</v>
      </c>
      <c r="N142" s="148">
        <f t="shared" si="33"/>
        <v>18423.381097799695</v>
      </c>
      <c r="O142" s="146">
        <f t="shared" si="33"/>
        <v>18520.094352114334</v>
      </c>
      <c r="P142" s="13"/>
      <c r="Q142" s="29">
        <f t="shared" si="31"/>
        <v>1.1940369999999998</v>
      </c>
      <c r="R142" s="28">
        <f t="shared" si="34"/>
        <v>0.84233810977996948</v>
      </c>
      <c r="S142" s="27">
        <f t="shared" si="35"/>
        <v>0.85200943521143346</v>
      </c>
      <c r="T142" s="13"/>
    </row>
    <row r="143" spans="7:20">
      <c r="G143" s="31">
        <f t="shared" si="36"/>
        <v>41425</v>
      </c>
      <c r="H143" s="62"/>
      <c r="I143" s="25">
        <f t="shared" si="32"/>
        <v>2.5127197034509052E-3</v>
      </c>
      <c r="J143" s="19">
        <v>2.3390073031996694E-2</v>
      </c>
      <c r="K143" s="24">
        <v>2.4871828778559868E-2</v>
      </c>
      <c r="L143" s="13"/>
      <c r="M143" s="143">
        <v>21995.5</v>
      </c>
      <c r="N143" s="148">
        <f t="shared" si="33"/>
        <v>18854.305327173537</v>
      </c>
      <c r="O143" s="146">
        <f t="shared" si="33"/>
        <v>18980.722967802896</v>
      </c>
      <c r="P143" s="13"/>
      <c r="Q143" s="29">
        <f t="shared" si="31"/>
        <v>1.1995499999999999</v>
      </c>
      <c r="R143" s="28">
        <f t="shared" si="34"/>
        <v>0.88543053271735372</v>
      </c>
      <c r="S143" s="27">
        <f t="shared" si="35"/>
        <v>0.89807229678028966</v>
      </c>
      <c r="T143" s="13"/>
    </row>
    <row r="144" spans="7:20">
      <c r="G144" s="31">
        <f t="shared" si="36"/>
        <v>41455</v>
      </c>
      <c r="H144" s="30"/>
      <c r="I144" s="25">
        <f t="shared" si="32"/>
        <v>-3.3420472369347642E-3</v>
      </c>
      <c r="J144" s="19">
        <v>-1.3428114595806839E-2</v>
      </c>
      <c r="K144" s="24">
        <v>-9.195505900989942E-3</v>
      </c>
      <c r="L144" s="13"/>
      <c r="M144" s="143">
        <v>21921.99</v>
      </c>
      <c r="N144" s="148">
        <f t="shared" si="33"/>
        <v>18601.12755461592</v>
      </c>
      <c r="O144" s="146">
        <f t="shared" si="33"/>
        <v>18806.185617747411</v>
      </c>
      <c r="P144" s="13"/>
      <c r="Q144" s="29">
        <f t="shared" si="31"/>
        <v>1.1921990000000002</v>
      </c>
      <c r="R144" s="28">
        <f t="shared" si="34"/>
        <v>0.86011275546159194</v>
      </c>
      <c r="S144" s="27">
        <f t="shared" si="35"/>
        <v>0.88061856177474107</v>
      </c>
      <c r="T144" s="13"/>
    </row>
    <row r="145" spans="7:20">
      <c r="G145" s="31">
        <f t="shared" si="36"/>
        <v>41486</v>
      </c>
      <c r="H145" s="30"/>
      <c r="I145" s="25">
        <f t="shared" si="32"/>
        <v>3.3529346560234652E-2</v>
      </c>
      <c r="J145" s="19">
        <v>5.0886461380873271E-2</v>
      </c>
      <c r="K145" s="24">
        <v>5.1070521983054729E-2</v>
      </c>
      <c r="L145" s="13"/>
      <c r="M145" s="143">
        <v>22657.02</v>
      </c>
      <c r="N145" s="148">
        <f t="shared" si="33"/>
        <v>19547.673113564579</v>
      </c>
      <c r="O145" s="146">
        <f t="shared" si="33"/>
        <v>19766.627333755987</v>
      </c>
      <c r="P145" s="13"/>
      <c r="Q145" s="29">
        <f t="shared" si="31"/>
        <v>1.2657020000000001</v>
      </c>
      <c r="R145" s="28">
        <f t="shared" si="34"/>
        <v>0.95476731135645787</v>
      </c>
      <c r="S145" s="27">
        <f t="shared" si="35"/>
        <v>0.97666273337559872</v>
      </c>
      <c r="T145" s="13"/>
    </row>
    <row r="146" spans="7:20" ht="15.75" thickBot="1">
      <c r="G146" s="31">
        <f t="shared" si="36"/>
        <v>41517</v>
      </c>
      <c r="H146" s="26"/>
      <c r="I146" s="25">
        <f t="shared" si="32"/>
        <v>-3.730764239957407E-2</v>
      </c>
      <c r="J146" s="19">
        <v>-2.8961318147223247E-2</v>
      </c>
      <c r="K146" s="24">
        <v>-3.5902333417512367E-2</v>
      </c>
      <c r="L146" s="13"/>
      <c r="M146" s="143">
        <v>21811.74</v>
      </c>
      <c r="N146" s="148">
        <f t="shared" si="33"/>
        <v>18981.546733484713</v>
      </c>
      <c r="O146" s="146">
        <f t="shared" si="33"/>
        <v>19056.959288679765</v>
      </c>
      <c r="P146" s="13"/>
      <c r="Q146" s="29">
        <f t="shared" si="31"/>
        <v>1.1811740000000002</v>
      </c>
      <c r="R146" s="28">
        <f t="shared" si="34"/>
        <v>0.89815467334847121</v>
      </c>
      <c r="S146" s="27">
        <f t="shared" si="35"/>
        <v>0.90569592886797656</v>
      </c>
      <c r="T146" s="13"/>
    </row>
    <row r="147" spans="7:20">
      <c r="G147" s="31">
        <f t="shared" si="36"/>
        <v>41547</v>
      </c>
      <c r="H147" s="30"/>
      <c r="I147" s="25">
        <f t="shared" si="32"/>
        <v>2.0218927971817013E-2</v>
      </c>
      <c r="J147" s="19">
        <v>3.135828612287539E-2</v>
      </c>
      <c r="K147" s="24">
        <v>2.4715323377517029E-2</v>
      </c>
      <c r="L147" s="13"/>
      <c r="M147" s="143">
        <v>22252.75</v>
      </c>
      <c r="N147" s="148">
        <f t="shared" si="33"/>
        <v>19576.775507008057</v>
      </c>
      <c r="O147" s="146">
        <f t="shared" si="33"/>
        <v>19527.958200091663</v>
      </c>
      <c r="P147" s="13"/>
      <c r="Q147" s="29">
        <f t="shared" si="31"/>
        <v>1.2252749999999999</v>
      </c>
      <c r="R147" s="28">
        <f t="shared" si="34"/>
        <v>0.95767755070080562</v>
      </c>
      <c r="S147" s="27">
        <f t="shared" si="35"/>
        <v>0.95279582000916629</v>
      </c>
      <c r="T147" s="13"/>
    </row>
    <row r="148" spans="7:20">
      <c r="G148" s="31">
        <f t="shared" si="36"/>
        <v>41578</v>
      </c>
      <c r="H148" s="30"/>
      <c r="I148" s="25">
        <f t="shared" si="32"/>
        <v>3.7159452202536913E-2</v>
      </c>
      <c r="J148" s="19">
        <v>4.5967241965482186E-2</v>
      </c>
      <c r="K148" s="24">
        <v>4.3724805192155713E-2</v>
      </c>
      <c r="L148" s="13"/>
      <c r="M148" s="143">
        <v>23079.65</v>
      </c>
      <c r="N148" s="148">
        <f t="shared" si="33"/>
        <v>20476.665883642621</v>
      </c>
      <c r="O148" s="146">
        <f t="shared" si="33"/>
        <v>20381.81436819123</v>
      </c>
      <c r="P148" s="13"/>
      <c r="Q148" s="29">
        <f t="shared" si="31"/>
        <v>1.307965</v>
      </c>
      <c r="R148" s="28">
        <f t="shared" si="34"/>
        <v>1.0476665883642622</v>
      </c>
      <c r="S148" s="27">
        <f t="shared" si="35"/>
        <v>1.0381814368191229</v>
      </c>
      <c r="T148" s="13"/>
    </row>
    <row r="149" spans="7:20">
      <c r="G149" s="31">
        <f t="shared" si="36"/>
        <v>41608</v>
      </c>
      <c r="H149" s="62"/>
      <c r="I149" s="25">
        <f t="shared" si="32"/>
        <v>1.1942988736830973E-2</v>
      </c>
      <c r="J149" s="19">
        <v>3.0473950715243836E-2</v>
      </c>
      <c r="K149" s="24">
        <v>2.8188172580836168E-2</v>
      </c>
      <c r="L149" s="13"/>
      <c r="M149" s="143">
        <v>23355.29</v>
      </c>
      <c r="N149" s="148">
        <f t="shared" ref="N149:O164" si="37">N148*(1+J149)</f>
        <v>21100.67079059326</v>
      </c>
      <c r="O149" s="146">
        <f t="shared" si="37"/>
        <v>20956.340469112369</v>
      </c>
      <c r="P149" s="13"/>
      <c r="Q149" s="29">
        <f t="shared" si="31"/>
        <v>1.3355290000000002</v>
      </c>
      <c r="R149" s="28">
        <f t="shared" si="34"/>
        <v>1.1100670790593259</v>
      </c>
      <c r="S149" s="27">
        <f t="shared" si="35"/>
        <v>1.0956340469112369</v>
      </c>
      <c r="T149" s="13"/>
    </row>
    <row r="150" spans="7:20">
      <c r="G150" s="31">
        <f t="shared" si="36"/>
        <v>41639</v>
      </c>
      <c r="H150" s="30"/>
      <c r="I150" s="25">
        <f t="shared" si="32"/>
        <v>1.7459855989799156E-2</v>
      </c>
      <c r="J150" s="19">
        <v>2.5317590886038577E-2</v>
      </c>
      <c r="K150" s="24">
        <v>2.3423573538983167E-2</v>
      </c>
      <c r="L150" s="13"/>
      <c r="M150" s="143">
        <v>23763.07</v>
      </c>
      <c r="N150" s="148">
        <f t="shared" si="37"/>
        <v>21634.888941090485</v>
      </c>
      <c r="O150" s="146">
        <f t="shared" si="37"/>
        <v>21447.21285119859</v>
      </c>
      <c r="P150" s="13"/>
      <c r="Q150" s="29">
        <f t="shared" si="31"/>
        <v>1.3763069999999999</v>
      </c>
      <c r="R150" s="28">
        <f t="shared" si="34"/>
        <v>1.1634888941090484</v>
      </c>
      <c r="S150" s="27">
        <f t="shared" si="35"/>
        <v>1.1447212851198589</v>
      </c>
      <c r="T150" s="13"/>
    </row>
    <row r="151" spans="7:20">
      <c r="G151" s="31">
        <f t="shared" si="36"/>
        <v>41670</v>
      </c>
      <c r="H151" s="30"/>
      <c r="I151" s="25">
        <f t="shared" si="32"/>
        <v>-1.5139457990907657E-2</v>
      </c>
      <c r="J151" s="19">
        <v>-3.4576048305128282E-2</v>
      </c>
      <c r="K151" s="24">
        <v>-4.0029710927644291E-2</v>
      </c>
      <c r="L151" s="13"/>
      <c r="M151" s="143">
        <v>23403.31</v>
      </c>
      <c r="N151" s="148">
        <f t="shared" si="37"/>
        <v>20886.839975987255</v>
      </c>
      <c r="O151" s="146">
        <f t="shared" si="37"/>
        <v>20588.687120561452</v>
      </c>
      <c r="P151" s="13"/>
      <c r="Q151" s="29">
        <f t="shared" si="31"/>
        <v>1.3403310000000002</v>
      </c>
      <c r="R151" s="28">
        <f t="shared" si="34"/>
        <v>1.0886839975987255</v>
      </c>
      <c r="S151" s="27">
        <f t="shared" si="35"/>
        <v>1.0588687120561451</v>
      </c>
      <c r="T151" s="13"/>
    </row>
    <row r="152" spans="7:20">
      <c r="G152" s="31">
        <f t="shared" si="36"/>
        <v>41698</v>
      </c>
      <c r="H152" s="62"/>
      <c r="I152" s="25">
        <f t="shared" si="32"/>
        <v>2.9126221889125947E-2</v>
      </c>
      <c r="J152" s="19">
        <v>4.5745794217341818E-2</v>
      </c>
      <c r="K152" s="24">
        <v>3.8430334258850118E-2</v>
      </c>
      <c r="L152" s="13"/>
      <c r="M152" s="143">
        <v>24084.959999999999</v>
      </c>
      <c r="N152" s="148">
        <f t="shared" si="37"/>
        <v>21842.325059379316</v>
      </c>
      <c r="O152" s="146">
        <f t="shared" si="37"/>
        <v>21379.91724855551</v>
      </c>
      <c r="P152" s="13"/>
      <c r="Q152" s="29">
        <f t="shared" si="31"/>
        <v>1.408496</v>
      </c>
      <c r="R152" s="28">
        <f t="shared" si="34"/>
        <v>1.1842325059379317</v>
      </c>
      <c r="S152" s="27">
        <f t="shared" si="35"/>
        <v>1.1379917248555511</v>
      </c>
      <c r="T152" s="13"/>
    </row>
    <row r="153" spans="7:20">
      <c r="G153" s="31">
        <f t="shared" si="36"/>
        <v>41729</v>
      </c>
      <c r="H153" s="30"/>
      <c r="I153" s="25">
        <f t="shared" si="32"/>
        <v>2.4370810663584264E-2</v>
      </c>
      <c r="J153" s="19">
        <v>8.4035872831886849E-3</v>
      </c>
      <c r="K153" s="24">
        <v>2.580074100057006E-2</v>
      </c>
      <c r="L153" s="13"/>
      <c r="M153" s="143">
        <v>24671.93</v>
      </c>
      <c r="N153" s="148">
        <f t="shared" si="37"/>
        <v>22025.878944483589</v>
      </c>
      <c r="O153" s="146">
        <f t="shared" si="37"/>
        <v>21931.534956099113</v>
      </c>
      <c r="P153" s="13"/>
      <c r="Q153" s="29">
        <f t="shared" si="31"/>
        <v>1.467193</v>
      </c>
      <c r="R153" s="28">
        <f t="shared" si="34"/>
        <v>1.202587894448359</v>
      </c>
      <c r="S153" s="27">
        <f t="shared" si="35"/>
        <v>1.1931534956099112</v>
      </c>
      <c r="T153" s="13"/>
    </row>
    <row r="154" spans="7:20">
      <c r="G154" s="31">
        <f t="shared" si="36"/>
        <v>41759</v>
      </c>
      <c r="H154" s="30"/>
      <c r="I154" s="25">
        <f t="shared" si="32"/>
        <v>1.1511867940610987E-2</v>
      </c>
      <c r="J154" s="19">
        <v>7.3914756584929631E-3</v>
      </c>
      <c r="K154" s="24">
        <v>1.2107862911304723E-2</v>
      </c>
      <c r="L154" s="13"/>
      <c r="M154" s="143">
        <v>24955.95</v>
      </c>
      <c r="N154" s="148">
        <f t="shared" si="37"/>
        <v>22188.682692558654</v>
      </c>
      <c r="O154" s="146">
        <f t="shared" si="37"/>
        <v>22197.078974782049</v>
      </c>
      <c r="P154" s="13"/>
      <c r="Q154" s="29">
        <f t="shared" si="31"/>
        <v>1.495595</v>
      </c>
      <c r="R154" s="28">
        <f t="shared" si="34"/>
        <v>1.2188682692558654</v>
      </c>
      <c r="S154" s="27">
        <f t="shared" si="35"/>
        <v>1.219707897478205</v>
      </c>
      <c r="T154" s="13"/>
    </row>
    <row r="155" spans="7:20">
      <c r="G155" s="31">
        <f t="shared" si="36"/>
        <v>41790</v>
      </c>
      <c r="H155" s="62"/>
      <c r="I155" s="25">
        <f t="shared" si="32"/>
        <v>1.2139790310527143E-2</v>
      </c>
      <c r="J155" s="19">
        <v>2.3476235568129056E-2</v>
      </c>
      <c r="K155" s="24">
        <v>1.2717650061645713E-2</v>
      </c>
      <c r="L155" s="13"/>
      <c r="M155" s="143">
        <v>25258.91</v>
      </c>
      <c r="N155" s="148">
        <f t="shared" si="37"/>
        <v>22709.589434395628</v>
      </c>
      <c r="O155" s="146">
        <f t="shared" si="37"/>
        <v>22479.37365757404</v>
      </c>
      <c r="P155" s="13"/>
      <c r="Q155" s="29">
        <f t="shared" si="31"/>
        <v>1.5258909999999999</v>
      </c>
      <c r="R155" s="28">
        <f t="shared" si="34"/>
        <v>1.2709589434395627</v>
      </c>
      <c r="S155" s="27">
        <f t="shared" si="35"/>
        <v>1.247937365757404</v>
      </c>
      <c r="T155" s="13"/>
    </row>
    <row r="156" spans="7:20">
      <c r="G156" s="31">
        <f t="shared" si="36"/>
        <v>41820</v>
      </c>
      <c r="H156" s="30"/>
      <c r="I156" s="25">
        <f t="shared" si="32"/>
        <v>1.8997256809577312E-2</v>
      </c>
      <c r="J156" s="19">
        <v>2.0656324616626698E-2</v>
      </c>
      <c r="K156" s="24">
        <v>2.052426842856292E-2</v>
      </c>
      <c r="L156" s="13"/>
      <c r="M156" s="143">
        <v>25738.76</v>
      </c>
      <c r="N156" s="148">
        <f t="shared" si="37"/>
        <v>23178.686085662819</v>
      </c>
      <c r="O156" s="146">
        <f t="shared" si="37"/>
        <v>22940.746356628057</v>
      </c>
      <c r="P156" s="13"/>
      <c r="Q156" s="29">
        <f t="shared" si="31"/>
        <v>1.5738759999999998</v>
      </c>
      <c r="R156" s="28">
        <f t="shared" si="34"/>
        <v>1.3178686085662819</v>
      </c>
      <c r="S156" s="27">
        <f t="shared" si="35"/>
        <v>1.2940746356628057</v>
      </c>
      <c r="T156" s="13"/>
    </row>
    <row r="157" spans="7:20">
      <c r="G157" s="31">
        <f t="shared" si="36"/>
        <v>41851</v>
      </c>
      <c r="H157" s="30"/>
      <c r="I157" s="25">
        <f t="shared" si="32"/>
        <v>-2.1688302000562598E-2</v>
      </c>
      <c r="J157" s="19">
        <v>-1.3791530834586063E-2</v>
      </c>
      <c r="K157" s="24">
        <v>-1.5262843625958311E-2</v>
      </c>
      <c r="L157" s="13"/>
      <c r="M157" s="143">
        <v>25180.53</v>
      </c>
      <c r="N157" s="148">
        <f t="shared" si="37"/>
        <v>22859.016521807211</v>
      </c>
      <c r="O157" s="146">
        <f t="shared" si="37"/>
        <v>22590.60533232407</v>
      </c>
      <c r="P157" s="13"/>
      <c r="Q157" s="29">
        <f t="shared" si="31"/>
        <v>1.5180529999999999</v>
      </c>
      <c r="R157" s="28">
        <f t="shared" si="34"/>
        <v>1.2859016521807212</v>
      </c>
      <c r="S157" s="27">
        <f t="shared" si="35"/>
        <v>1.259060533232407</v>
      </c>
      <c r="T157" s="13"/>
    </row>
    <row r="158" spans="7:20" ht="15.75" thickBot="1">
      <c r="G158" s="31">
        <f t="shared" si="36"/>
        <v>41882</v>
      </c>
      <c r="H158" s="26"/>
      <c r="I158" s="25">
        <f t="shared" si="32"/>
        <v>2.9295253118183151E-2</v>
      </c>
      <c r="J158" s="19">
        <v>4.0006394172168891E-2</v>
      </c>
      <c r="K158" s="24">
        <v>3.6162520488826955E-2</v>
      </c>
      <c r="L158" s="13"/>
      <c r="M158" s="143">
        <v>25918.2</v>
      </c>
      <c r="N158" s="148">
        <f t="shared" si="37"/>
        <v>23773.523347166753</v>
      </c>
      <c r="O158" s="146">
        <f t="shared" si="37"/>
        <v>23407.538560509242</v>
      </c>
      <c r="P158" s="13"/>
      <c r="Q158" s="29">
        <f t="shared" si="31"/>
        <v>1.59182</v>
      </c>
      <c r="R158" s="28">
        <f t="shared" si="34"/>
        <v>1.3773523347166752</v>
      </c>
      <c r="S158" s="27">
        <f t="shared" si="35"/>
        <v>1.3407538560509242</v>
      </c>
      <c r="T158" s="13"/>
    </row>
    <row r="159" spans="7:20">
      <c r="G159" s="31">
        <f t="shared" si="36"/>
        <v>41912</v>
      </c>
      <c r="H159" s="30"/>
      <c r="I159" s="25">
        <f t="shared" si="32"/>
        <v>-2.8461467231520765E-2</v>
      </c>
      <c r="J159" s="19">
        <v>-1.4022847167708741E-2</v>
      </c>
      <c r="K159" s="24">
        <v>-1.7468988990271828E-2</v>
      </c>
      <c r="L159" s="13"/>
      <c r="M159" s="143">
        <v>25180.53</v>
      </c>
      <c r="N159" s="148">
        <f t="shared" si="37"/>
        <v>23440.150862631479</v>
      </c>
      <c r="O159" s="146">
        <f t="shared" si="37"/>
        <v>22998.632527106343</v>
      </c>
      <c r="P159" s="13"/>
      <c r="Q159" s="29">
        <f t="shared" si="31"/>
        <v>1.5180529999999999</v>
      </c>
      <c r="R159" s="28">
        <f t="shared" si="34"/>
        <v>1.3440150862631479</v>
      </c>
      <c r="S159" s="27">
        <f t="shared" si="35"/>
        <v>1.2998632527106344</v>
      </c>
      <c r="T159" s="13"/>
    </row>
    <row r="160" spans="7:20">
      <c r="G160" s="31">
        <f t="shared" si="36"/>
        <v>41943</v>
      </c>
      <c r="H160" s="30"/>
      <c r="I160" s="25">
        <f t="shared" si="32"/>
        <v>2.6128123593903707E-2</v>
      </c>
      <c r="J160" s="19">
        <v>2.4424803396200012E-2</v>
      </c>
      <c r="K160" s="24">
        <v>1.8836287340761482E-2</v>
      </c>
      <c r="L160" s="13"/>
      <c r="M160" s="143">
        <v>25838.45</v>
      </c>
      <c r="N160" s="148">
        <f t="shared" si="37"/>
        <v>24012.671939028522</v>
      </c>
      <c r="O160" s="146">
        <f t="shared" si="37"/>
        <v>23431.841377831501</v>
      </c>
      <c r="P160" s="13"/>
      <c r="Q160" s="29">
        <f t="shared" si="31"/>
        <v>1.5838450000000002</v>
      </c>
      <c r="R160" s="28">
        <f t="shared" si="34"/>
        <v>1.4012671939028523</v>
      </c>
      <c r="S160" s="27">
        <f t="shared" si="35"/>
        <v>1.3431841377831502</v>
      </c>
      <c r="T160" s="13"/>
    </row>
    <row r="161" spans="1:20">
      <c r="G161" s="31">
        <f t="shared" si="36"/>
        <v>41973</v>
      </c>
      <c r="H161" s="62"/>
      <c r="I161" s="25">
        <f t="shared" si="32"/>
        <v>1.311727290143172E-2</v>
      </c>
      <c r="J161" s="19">
        <v>2.6894094820909986E-2</v>
      </c>
      <c r="K161" s="24">
        <v>2.2845508086080102E-2</v>
      </c>
      <c r="L161" s="13"/>
      <c r="M161" s="143">
        <v>26177.38</v>
      </c>
      <c r="N161" s="148">
        <f t="shared" si="37"/>
        <v>24658.47101506016</v>
      </c>
      <c r="O161" s="146">
        <f t="shared" si="37"/>
        <v>23967.153699500497</v>
      </c>
      <c r="P161" s="13"/>
      <c r="Q161" s="29">
        <f t="shared" si="31"/>
        <v>1.6177380000000001</v>
      </c>
      <c r="R161" s="28">
        <f t="shared" si="34"/>
        <v>1.4658471015060159</v>
      </c>
      <c r="S161" s="27">
        <f t="shared" si="35"/>
        <v>1.3967153699500496</v>
      </c>
      <c r="T161" s="13"/>
    </row>
    <row r="162" spans="1:20">
      <c r="G162" s="31">
        <f t="shared" si="36"/>
        <v>42004</v>
      </c>
      <c r="H162" s="30"/>
      <c r="I162" s="25">
        <f t="shared" si="32"/>
        <v>0</v>
      </c>
      <c r="J162" s="19">
        <v>-2.5192116349471716E-3</v>
      </c>
      <c r="K162" s="24">
        <v>5.4283988423522445E-3</v>
      </c>
      <c r="L162" s="13"/>
      <c r="M162" s="143">
        <v>26177.38</v>
      </c>
      <c r="N162" s="148">
        <f t="shared" si="37"/>
        <v>24596.351107979015</v>
      </c>
      <c r="O162" s="146">
        <f t="shared" si="37"/>
        <v>24097.256968897345</v>
      </c>
      <c r="P162" s="13"/>
      <c r="Q162" s="29">
        <f t="shared" si="31"/>
        <v>1.6177380000000001</v>
      </c>
      <c r="R162" s="28">
        <f t="shared" si="34"/>
        <v>1.4596351107979015</v>
      </c>
      <c r="S162" s="27">
        <f t="shared" si="35"/>
        <v>1.4097256968897345</v>
      </c>
      <c r="T162" s="13"/>
    </row>
    <row r="163" spans="1:20">
      <c r="C163" s="64"/>
      <c r="G163" s="31">
        <f t="shared" si="36"/>
        <v>42035</v>
      </c>
      <c r="H163" s="30"/>
      <c r="I163" s="25">
        <f t="shared" si="32"/>
        <v>-1.5993961198561557E-2</v>
      </c>
      <c r="J163" s="19">
        <v>-3.0020374379218118E-2</v>
      </c>
      <c r="K163" s="24">
        <v>-4.4366343578702727E-2</v>
      </c>
      <c r="L163" s="13"/>
      <c r="M163" s="143">
        <v>25758.7</v>
      </c>
      <c r="N163" s="148">
        <f t="shared" si="37"/>
        <v>23857.959439354789</v>
      </c>
      <c r="O163" s="146">
        <f t="shared" si="37"/>
        <v>23028.149786910955</v>
      </c>
      <c r="P163" s="13"/>
      <c r="Q163" s="29">
        <f t="shared" si="31"/>
        <v>1.5758700000000001</v>
      </c>
      <c r="R163" s="28">
        <f t="shared" si="34"/>
        <v>1.3857959439354788</v>
      </c>
      <c r="S163" s="27">
        <f t="shared" si="35"/>
        <v>1.3028149786910956</v>
      </c>
      <c r="T163" s="13"/>
    </row>
    <row r="164" spans="1:20">
      <c r="G164" s="31">
        <f t="shared" si="36"/>
        <v>42063</v>
      </c>
      <c r="H164" s="62"/>
      <c r="I164" s="25">
        <f t="shared" si="32"/>
        <v>3.0185917767589165E-2</v>
      </c>
      <c r="J164" s="19">
        <v>5.747371645497612E-2</v>
      </c>
      <c r="K164" s="24">
        <v>5.4878843081181738E-2</v>
      </c>
      <c r="L164" s="13"/>
      <c r="M164" s="143">
        <v>26536.25</v>
      </c>
      <c r="N164" s="148">
        <f t="shared" si="37"/>
        <v>25229.165035366586</v>
      </c>
      <c r="O164" s="146">
        <f t="shared" si="37"/>
        <v>24291.908005516791</v>
      </c>
      <c r="P164" s="13"/>
      <c r="Q164" s="29">
        <f t="shared" si="31"/>
        <v>1.6536249999999999</v>
      </c>
      <c r="R164" s="28">
        <f t="shared" si="34"/>
        <v>1.5229165035366585</v>
      </c>
      <c r="S164" s="27">
        <f t="shared" si="35"/>
        <v>1.4291908005516791</v>
      </c>
      <c r="T164" s="13"/>
    </row>
    <row r="165" spans="1:20">
      <c r="G165" s="31">
        <f t="shared" si="36"/>
        <v>42094</v>
      </c>
      <c r="H165" s="30"/>
      <c r="I165" s="25">
        <f t="shared" si="32"/>
        <v>-1.1269866691789532E-2</v>
      </c>
      <c r="J165" s="19">
        <v>-1.581566410271007E-2</v>
      </c>
      <c r="K165" s="24">
        <v>-1.48140269330157E-2</v>
      </c>
      <c r="L165" s="13"/>
      <c r="M165" s="143">
        <v>26237.19</v>
      </c>
      <c r="N165" s="148">
        <f t="shared" ref="N165:O180" si="38">N164*(1+J165)</f>
        <v>24830.149035575392</v>
      </c>
      <c r="O165" s="146">
        <f t="shared" si="38"/>
        <v>23932.047026068725</v>
      </c>
      <c r="P165" s="13"/>
      <c r="Q165" s="29">
        <f t="shared" si="31"/>
        <v>1.6237189999999999</v>
      </c>
      <c r="R165" s="28">
        <f t="shared" si="34"/>
        <v>1.4830149035575393</v>
      </c>
      <c r="S165" s="27">
        <f t="shared" si="35"/>
        <v>1.3932047026068726</v>
      </c>
      <c r="T165" s="13"/>
    </row>
    <row r="166" spans="1:20">
      <c r="G166" s="31">
        <f t="shared" si="36"/>
        <v>42124</v>
      </c>
      <c r="H166" s="30"/>
      <c r="I166" s="25">
        <f t="shared" si="32"/>
        <v>1.0638334364312829E-2</v>
      </c>
      <c r="J166" s="19">
        <v>9.5945885574479917E-3</v>
      </c>
      <c r="K166" s="24">
        <v>1.4987084784576332E-2</v>
      </c>
      <c r="L166" s="13"/>
      <c r="M166" s="143">
        <v>26516.31</v>
      </c>
      <c r="N166" s="148">
        <f t="shared" si="38"/>
        <v>25068.384099391853</v>
      </c>
      <c r="O166" s="146">
        <f t="shared" si="38"/>
        <v>24290.718643916884</v>
      </c>
      <c r="P166" s="13"/>
      <c r="Q166" s="29">
        <f t="shared" si="31"/>
        <v>1.6516310000000001</v>
      </c>
      <c r="R166" s="28">
        <f t="shared" si="34"/>
        <v>1.5068384099391854</v>
      </c>
      <c r="S166" s="27">
        <f t="shared" si="35"/>
        <v>1.4290718643916884</v>
      </c>
      <c r="T166" s="13"/>
    </row>
    <row r="167" spans="1:20">
      <c r="G167" s="31">
        <f t="shared" si="36"/>
        <v>42155</v>
      </c>
      <c r="H167" s="62"/>
      <c r="I167" s="25">
        <f t="shared" si="32"/>
        <v>-6.0151657602434128E-3</v>
      </c>
      <c r="J167" s="19">
        <v>1.2858622825877575E-2</v>
      </c>
      <c r="K167" s="24">
        <v>7.3640807200305858E-3</v>
      </c>
      <c r="L167" s="13"/>
      <c r="M167" s="143">
        <v>26356.81</v>
      </c>
      <c r="N167" s="148">
        <f t="shared" si="38"/>
        <v>25390.728995380159</v>
      </c>
      <c r="O167" s="146">
        <f t="shared" si="38"/>
        <v>24469.597456758238</v>
      </c>
      <c r="P167" s="13"/>
      <c r="Q167" s="29">
        <f t="shared" si="31"/>
        <v>1.6356810000000002</v>
      </c>
      <c r="R167" s="28">
        <f t="shared" si="34"/>
        <v>1.5390728995380158</v>
      </c>
      <c r="S167" s="27">
        <f t="shared" si="35"/>
        <v>1.4469597456758239</v>
      </c>
      <c r="T167" s="13"/>
    </row>
    <row r="168" spans="1:20">
      <c r="G168" s="31">
        <f t="shared" si="36"/>
        <v>42185</v>
      </c>
      <c r="H168" s="30"/>
      <c r="I168" s="25">
        <f t="shared" si="32"/>
        <v>-2.2692806906450369E-2</v>
      </c>
      <c r="J168" s="19">
        <v>-1.9359166114135018E-2</v>
      </c>
      <c r="K168" s="24">
        <v>-1.9653458210841523E-2</v>
      </c>
      <c r="L168" s="13"/>
      <c r="M168" s="143">
        <v>25758.7</v>
      </c>
      <c r="N168" s="148">
        <f t="shared" si="38"/>
        <v>24899.185654999612</v>
      </c>
      <c r="O168" s="146">
        <f t="shared" si="38"/>
        <v>23988.685245705725</v>
      </c>
      <c r="P168" s="13"/>
      <c r="Q168" s="29">
        <f t="shared" si="31"/>
        <v>1.5758700000000001</v>
      </c>
      <c r="R168" s="28">
        <f t="shared" si="34"/>
        <v>1.4899185654999612</v>
      </c>
      <c r="S168" s="27">
        <f t="shared" si="35"/>
        <v>1.3988685245705725</v>
      </c>
      <c r="T168" s="13"/>
    </row>
    <row r="169" spans="1:20">
      <c r="G169" s="31">
        <f t="shared" si="36"/>
        <v>42216</v>
      </c>
      <c r="H169" s="30"/>
      <c r="I169" s="25">
        <f t="shared" si="32"/>
        <v>7.7399092345498133E-3</v>
      </c>
      <c r="J169" s="19">
        <v>2.0952081449742588E-2</v>
      </c>
      <c r="K169" s="24">
        <v>3.8039910277101185E-3</v>
      </c>
      <c r="L169" s="13"/>
      <c r="M169" s="143">
        <v>25958.07</v>
      </c>
      <c r="N169" s="148">
        <f t="shared" si="38"/>
        <v>25420.875420875425</v>
      </c>
      <c r="O169" s="146">
        <f t="shared" si="38"/>
        <v>24079.937989146951</v>
      </c>
      <c r="P169" s="13"/>
      <c r="Q169" s="29">
        <f t="shared" si="31"/>
        <v>1.595807</v>
      </c>
      <c r="R169" s="28">
        <f t="shared" si="34"/>
        <v>1.5420875420875426</v>
      </c>
      <c r="S169" s="27">
        <f t="shared" si="35"/>
        <v>1.4079937989146951</v>
      </c>
      <c r="T169" s="13"/>
    </row>
    <row r="170" spans="1:20" ht="15.75" thickBot="1">
      <c r="G170" s="31">
        <f t="shared" si="36"/>
        <v>42247</v>
      </c>
      <c r="H170" s="26"/>
      <c r="I170" s="25">
        <f t="shared" si="32"/>
        <v>-4.0706416154976055E-2</v>
      </c>
      <c r="J170" s="19">
        <v>-6.0334206068073382E-2</v>
      </c>
      <c r="K170" s="24">
        <v>-5.9753394133615356E-2</v>
      </c>
      <c r="L170" s="13"/>
      <c r="M170" s="143">
        <v>24901.41</v>
      </c>
      <c r="N170" s="148">
        <f t="shared" si="38"/>
        <v>23887.127084801505</v>
      </c>
      <c r="O170" s="146">
        <f t="shared" si="38"/>
        <v>22641.079963768436</v>
      </c>
      <c r="P170" s="13"/>
      <c r="Q170" s="29">
        <f t="shared" si="31"/>
        <v>1.4901409999999999</v>
      </c>
      <c r="R170" s="28">
        <f t="shared" si="34"/>
        <v>1.3887127084801505</v>
      </c>
      <c r="S170" s="27">
        <f t="shared" si="35"/>
        <v>1.2641079963768436</v>
      </c>
      <c r="T170" s="13"/>
    </row>
    <row r="171" spans="1:20" ht="15.75" thickBot="1">
      <c r="A171" s="23"/>
      <c r="B171" s="22"/>
      <c r="C171" s="21"/>
      <c r="D171" s="21"/>
      <c r="E171" s="21"/>
      <c r="G171" s="31">
        <f t="shared" si="36"/>
        <v>42277</v>
      </c>
      <c r="H171" s="30"/>
      <c r="I171" s="25">
        <f t="shared" si="32"/>
        <v>-2.1117278097906866E-2</v>
      </c>
      <c r="J171" s="19">
        <v>-2.4743563477429453E-2</v>
      </c>
      <c r="K171" s="24">
        <v>-2.7892479378942237E-2</v>
      </c>
      <c r="L171" s="13"/>
      <c r="M171" s="143">
        <v>24375.56</v>
      </c>
      <c r="N171" s="148">
        <f t="shared" si="38"/>
        <v>23296.074439485295</v>
      </c>
      <c r="O171" s="146">
        <f t="shared" si="38"/>
        <v>22009.564107762042</v>
      </c>
      <c r="P171" s="13"/>
      <c r="Q171" s="29">
        <f t="shared" si="31"/>
        <v>1.4375560000000001</v>
      </c>
      <c r="R171" s="28">
        <f t="shared" si="34"/>
        <v>1.3296074439485295</v>
      </c>
      <c r="S171" s="27">
        <f t="shared" si="35"/>
        <v>1.2009564107762043</v>
      </c>
      <c r="T171" s="13"/>
    </row>
    <row r="172" spans="1:20">
      <c r="G172" s="31">
        <f t="shared" si="36"/>
        <v>42308</v>
      </c>
      <c r="H172" s="30"/>
      <c r="I172" s="25">
        <f t="shared" si="32"/>
        <v>5.7363194937880335E-2</v>
      </c>
      <c r="J172" s="19">
        <v>8.4354526535150853E-2</v>
      </c>
      <c r="K172" s="24">
        <v>7.3194345507146208E-2</v>
      </c>
      <c r="L172" s="13"/>
      <c r="M172" s="143">
        <v>25773.82</v>
      </c>
      <c r="N172" s="148">
        <f t="shared" si="38"/>
        <v>25261.203768955707</v>
      </c>
      <c r="O172" s="146">
        <f t="shared" si="38"/>
        <v>23620.539747527262</v>
      </c>
      <c r="P172" s="13"/>
      <c r="Q172" s="29">
        <f t="shared" si="31"/>
        <v>1.5773820000000001</v>
      </c>
      <c r="R172" s="28">
        <f t="shared" si="34"/>
        <v>1.5261203768955707</v>
      </c>
      <c r="S172" s="27">
        <f t="shared" si="35"/>
        <v>1.3620539747527263</v>
      </c>
      <c r="T172" s="13"/>
    </row>
    <row r="173" spans="1:20">
      <c r="G173" s="31">
        <f t="shared" si="36"/>
        <v>42338</v>
      </c>
      <c r="H173" s="62"/>
      <c r="I173" s="25">
        <f t="shared" si="32"/>
        <v>6.4778911313883025E-3</v>
      </c>
      <c r="J173" s="19">
        <v>2.9731384304618746E-3</v>
      </c>
      <c r="K173" s="24">
        <v>5.0965522185144607E-3</v>
      </c>
      <c r="L173" s="13"/>
      <c r="M173" s="143">
        <v>25940.78</v>
      </c>
      <c r="N173" s="148">
        <f t="shared" si="38"/>
        <v>25336.308824680917</v>
      </c>
      <c r="O173" s="146">
        <f t="shared" si="38"/>
        <v>23740.923061780031</v>
      </c>
      <c r="P173" s="13"/>
      <c r="Q173" s="29">
        <f t="shared" si="31"/>
        <v>1.5940779999999999</v>
      </c>
      <c r="R173" s="28">
        <f t="shared" si="34"/>
        <v>1.5336308824680918</v>
      </c>
      <c r="S173" s="27">
        <f t="shared" si="35"/>
        <v>1.374092306178003</v>
      </c>
      <c r="T173" s="13"/>
    </row>
    <row r="174" spans="1:20">
      <c r="G174" s="31">
        <f t="shared" si="36"/>
        <v>42369</v>
      </c>
      <c r="H174" s="30"/>
      <c r="I174" s="25">
        <f t="shared" si="32"/>
        <v>-2.172178323088203E-2</v>
      </c>
      <c r="J174" s="19">
        <v>-1.5771960729775159E-2</v>
      </c>
      <c r="K174" s="24">
        <v>-1.6805376772909719E-2</v>
      </c>
      <c r="L174" s="13"/>
      <c r="M174" s="143">
        <v>25377.3</v>
      </c>
      <c r="N174" s="148">
        <f t="shared" si="38"/>
        <v>24936.705556860594</v>
      </c>
      <c r="O174" s="146">
        <f t="shared" si="38"/>
        <v>23341.947904790155</v>
      </c>
      <c r="P174" s="13"/>
      <c r="Q174" s="29">
        <f t="shared" si="31"/>
        <v>1.5377299999999998</v>
      </c>
      <c r="R174" s="28">
        <f t="shared" si="34"/>
        <v>1.4936705556860594</v>
      </c>
      <c r="S174" s="27">
        <f t="shared" si="35"/>
        <v>1.3341947904790155</v>
      </c>
      <c r="T174" s="13"/>
    </row>
    <row r="175" spans="1:20">
      <c r="G175" s="31">
        <f t="shared" si="36"/>
        <v>42400</v>
      </c>
      <c r="H175" s="30"/>
      <c r="I175" s="25">
        <f t="shared" si="32"/>
        <v>-2.8782809833985512E-2</v>
      </c>
      <c r="J175" s="19">
        <v>-4.9623194473518928E-2</v>
      </c>
      <c r="K175" s="24">
        <v>-4.8811759239899333E-2</v>
      </c>
      <c r="L175" s="13"/>
      <c r="M175" s="143">
        <v>24646.87</v>
      </c>
      <c r="N175" s="148">
        <f t="shared" si="38"/>
        <v>23699.266567483621</v>
      </c>
      <c r="O175" s="146">
        <f t="shared" si="38"/>
        <v>22202.586363471266</v>
      </c>
      <c r="P175" s="13"/>
      <c r="Q175" s="29">
        <f t="shared" si="31"/>
        <v>1.4646869999999999</v>
      </c>
      <c r="R175" s="28">
        <f t="shared" si="34"/>
        <v>1.3699266567483621</v>
      </c>
      <c r="S175" s="27">
        <f t="shared" si="35"/>
        <v>1.2202586363471266</v>
      </c>
      <c r="T175" s="13"/>
    </row>
    <row r="176" spans="1:20">
      <c r="G176" s="31">
        <f t="shared" si="36"/>
        <v>42429</v>
      </c>
      <c r="H176" s="62"/>
      <c r="I176" s="25">
        <f t="shared" si="32"/>
        <v>2.624876911348184E-2</v>
      </c>
      <c r="J176" s="19">
        <v>-1.3491338010330756E-3</v>
      </c>
      <c r="K176" s="24">
        <v>5.5273301485960769E-3</v>
      </c>
      <c r="L176" s="13"/>
      <c r="M176" s="143">
        <v>25293.82</v>
      </c>
      <c r="N176" s="148">
        <f t="shared" si="38"/>
        <v>23667.293085897734</v>
      </c>
      <c r="O176" s="146">
        <f t="shared" si="38"/>
        <v>22325.30738845489</v>
      </c>
      <c r="P176" s="13"/>
      <c r="Q176" s="29">
        <f t="shared" si="31"/>
        <v>1.529382</v>
      </c>
      <c r="R176" s="28">
        <f t="shared" si="34"/>
        <v>1.3667293085897734</v>
      </c>
      <c r="S176" s="27">
        <f t="shared" si="35"/>
        <v>1.2325307388454891</v>
      </c>
      <c r="T176" s="13"/>
    </row>
    <row r="177" spans="7:20">
      <c r="G177" s="31">
        <f t="shared" si="36"/>
        <v>42460</v>
      </c>
      <c r="H177" s="30"/>
      <c r="I177" s="25">
        <f t="shared" si="32"/>
        <v>4.8679875163182063E-2</v>
      </c>
      <c r="J177" s="19">
        <v>6.7837311762143582E-2</v>
      </c>
      <c r="K177" s="24">
        <v>6.8503461113419206E-2</v>
      </c>
      <c r="L177" s="13"/>
      <c r="M177" s="143">
        <v>26525.119999999999</v>
      </c>
      <c r="N177" s="148">
        <f t="shared" si="38"/>
        <v>25272.818625531803</v>
      </c>
      <c r="O177" s="146">
        <f t="shared" si="38"/>
        <v>23854.668214985042</v>
      </c>
      <c r="P177" s="13"/>
      <c r="Q177" s="29">
        <f t="shared" si="31"/>
        <v>1.652512</v>
      </c>
      <c r="R177" s="28">
        <f t="shared" si="34"/>
        <v>1.5272818625531803</v>
      </c>
      <c r="S177" s="27">
        <f t="shared" si="35"/>
        <v>1.3854668214985042</v>
      </c>
      <c r="T177" s="13"/>
    </row>
    <row r="178" spans="7:20">
      <c r="G178" s="31">
        <f t="shared" si="36"/>
        <v>42490</v>
      </c>
      <c r="H178" s="30"/>
      <c r="I178" s="25">
        <f t="shared" si="32"/>
        <v>-8.6544377556067031E-3</v>
      </c>
      <c r="J178" s="19">
        <v>3.8780205054853578E-3</v>
      </c>
      <c r="K178" s="24">
        <v>2.1101753403528489E-2</v>
      </c>
      <c r="L178" s="13"/>
      <c r="M178" s="143">
        <v>26295.56</v>
      </c>
      <c r="N178" s="148">
        <f t="shared" si="38"/>
        <v>25370.827134393028</v>
      </c>
      <c r="O178" s="146">
        <f t="shared" si="38"/>
        <v>24358.043541180647</v>
      </c>
      <c r="P178" s="13"/>
      <c r="Q178" s="29">
        <f t="shared" si="31"/>
        <v>1.6295560000000002</v>
      </c>
      <c r="R178" s="28">
        <f t="shared" si="34"/>
        <v>1.5370827134393028</v>
      </c>
      <c r="S178" s="27">
        <f t="shared" si="35"/>
        <v>1.4358043541180647</v>
      </c>
      <c r="T178" s="13"/>
    </row>
    <row r="179" spans="7:20">
      <c r="G179" s="31">
        <f t="shared" si="36"/>
        <v>42521</v>
      </c>
      <c r="H179" s="62"/>
      <c r="I179" s="25">
        <f t="shared" si="32"/>
        <v>8.729990918618924E-3</v>
      </c>
      <c r="J179" s="19">
        <v>1.7957218508640294E-2</v>
      </c>
      <c r="K179" s="24">
        <v>9.1272821211971777E-3</v>
      </c>
      <c r="L179" s="13"/>
      <c r="M179" s="143">
        <v>26525.119999999999</v>
      </c>
      <c r="N179" s="148">
        <f t="shared" si="38"/>
        <v>25826.416620990265</v>
      </c>
      <c r="O179" s="146">
        <f t="shared" si="38"/>
        <v>24580.366276501409</v>
      </c>
      <c r="P179" s="13"/>
      <c r="Q179" s="29">
        <f t="shared" si="31"/>
        <v>1.652512</v>
      </c>
      <c r="R179" s="28">
        <f t="shared" si="34"/>
        <v>1.5826416620990265</v>
      </c>
      <c r="S179" s="27">
        <f t="shared" si="35"/>
        <v>1.4580366276501409</v>
      </c>
      <c r="T179" s="13"/>
    </row>
    <row r="180" spans="7:20">
      <c r="G180" s="31">
        <f t="shared" si="36"/>
        <v>42551</v>
      </c>
      <c r="H180" s="30"/>
      <c r="I180" s="25">
        <f t="shared" si="32"/>
        <v>4.4059744121798694E-2</v>
      </c>
      <c r="J180" s="19">
        <v>2.5922510390481435E-3</v>
      </c>
      <c r="K180" s="24">
        <v>8.9043355392561807E-3</v>
      </c>
      <c r="L180" s="13"/>
      <c r="M180" s="143">
        <v>27693.81</v>
      </c>
      <c r="N180" s="148">
        <f t="shared" si="38"/>
        <v>25893.365176310916</v>
      </c>
      <c r="O180" s="146">
        <f t="shared" si="38"/>
        <v>24799.238105505196</v>
      </c>
      <c r="P180" s="13"/>
      <c r="Q180" s="29">
        <f t="shared" si="31"/>
        <v>1.7693810000000001</v>
      </c>
      <c r="R180" s="28">
        <f t="shared" si="34"/>
        <v>1.5893365176310916</v>
      </c>
      <c r="S180" s="27">
        <f t="shared" si="35"/>
        <v>1.4799238105505195</v>
      </c>
      <c r="T180" s="13"/>
    </row>
    <row r="181" spans="7:20">
      <c r="G181" s="31">
        <f t="shared" si="36"/>
        <v>42582</v>
      </c>
      <c r="H181" s="30"/>
      <c r="I181" s="25">
        <f t="shared" si="32"/>
        <v>2.260794018591028E-3</v>
      </c>
      <c r="J181" s="19">
        <v>3.6868008497534133E-2</v>
      </c>
      <c r="K181" s="24">
        <v>2.7169705407551259E-2</v>
      </c>
      <c r="L181" s="13"/>
      <c r="M181" s="143">
        <v>27756.42</v>
      </c>
      <c r="N181" s="148">
        <f t="shared" ref="N181:O196" si="39">N180*(1+J181)</f>
        <v>26848.001983660899</v>
      </c>
      <c r="O181" s="146">
        <f t="shared" si="39"/>
        <v>25473.02609916349</v>
      </c>
      <c r="P181" s="13"/>
      <c r="Q181" s="29">
        <f t="shared" si="31"/>
        <v>1.7756419999999997</v>
      </c>
      <c r="R181" s="28">
        <f t="shared" si="34"/>
        <v>1.6848001983660899</v>
      </c>
      <c r="S181" s="27">
        <f t="shared" si="35"/>
        <v>1.5473026099163489</v>
      </c>
      <c r="T181" s="13"/>
    </row>
    <row r="182" spans="7:20" ht="15.75" thickBot="1">
      <c r="G182" s="31">
        <f t="shared" si="36"/>
        <v>42613</v>
      </c>
      <c r="H182" s="26"/>
      <c r="I182" s="25">
        <f t="shared" si="32"/>
        <v>-2.4811917387040472E-2</v>
      </c>
      <c r="J182" s="19">
        <v>1.4047845308431395E-3</v>
      </c>
      <c r="K182" s="24">
        <v>5.8612181848416434E-3</v>
      </c>
      <c r="L182" s="13"/>
      <c r="M182" s="143">
        <v>27067.73</v>
      </c>
      <c r="N182" s="148">
        <f t="shared" si="39"/>
        <v>26885.717641531592</v>
      </c>
      <c r="O182" s="146">
        <f t="shared" si="39"/>
        <v>25622.329062958852</v>
      </c>
      <c r="P182" s="13"/>
      <c r="Q182" s="29">
        <f t="shared" si="31"/>
        <v>1.7067729999999999</v>
      </c>
      <c r="R182" s="28">
        <f t="shared" si="34"/>
        <v>1.6885717641531592</v>
      </c>
      <c r="S182" s="27">
        <f t="shared" si="35"/>
        <v>1.5622329062958853</v>
      </c>
      <c r="T182" s="13"/>
    </row>
    <row r="183" spans="7:20">
      <c r="G183" s="31">
        <f t="shared" si="36"/>
        <v>42643</v>
      </c>
      <c r="H183" s="30"/>
      <c r="I183" s="25">
        <f t="shared" si="32"/>
        <v>-6.0171281448425651E-3</v>
      </c>
      <c r="J183" s="19">
        <v>1.8688004970535133E-4</v>
      </c>
      <c r="K183" s="24">
        <v>-3.7116866451081254E-3</v>
      </c>
      <c r="L183" s="13"/>
      <c r="M183" s="143">
        <v>26904.86</v>
      </c>
      <c r="N183" s="148">
        <f t="shared" si="39"/>
        <v>26890.742045780804</v>
      </c>
      <c r="O183" s="146">
        <f t="shared" si="39"/>
        <v>25527.227006359302</v>
      </c>
      <c r="P183" s="13"/>
      <c r="Q183" s="29">
        <f t="shared" si="31"/>
        <v>1.6904860000000002</v>
      </c>
      <c r="R183" s="28">
        <f t="shared" si="34"/>
        <v>1.6890742045780804</v>
      </c>
      <c r="S183" s="27">
        <f t="shared" si="35"/>
        <v>1.5527227006359303</v>
      </c>
      <c r="T183" s="13"/>
    </row>
    <row r="184" spans="7:20">
      <c r="G184" s="31">
        <f t="shared" si="36"/>
        <v>42674</v>
      </c>
      <c r="H184" s="30"/>
      <c r="I184" s="25">
        <f t="shared" si="32"/>
        <v>-2.3596480338496484E-2</v>
      </c>
      <c r="J184" s="19">
        <v>-1.8240452699062937E-2</v>
      </c>
      <c r="K184" s="24">
        <v>-1.5146723121646999E-2</v>
      </c>
      <c r="L184" s="13"/>
      <c r="M184" s="143">
        <v>26270</v>
      </c>
      <c r="N184" s="148">
        <f t="shared" si="39"/>
        <v>26400.242737452038</v>
      </c>
      <c r="O184" s="146">
        <f t="shared" si="39"/>
        <v>25140.573166830549</v>
      </c>
      <c r="P184" s="13"/>
      <c r="Q184" s="29">
        <f t="shared" si="31"/>
        <v>1.627</v>
      </c>
      <c r="R184" s="28">
        <f t="shared" si="34"/>
        <v>1.6400242737452038</v>
      </c>
      <c r="S184" s="27">
        <f t="shared" si="35"/>
        <v>1.5140573166830549</v>
      </c>
      <c r="T184" s="13"/>
    </row>
    <row r="185" spans="7:20">
      <c r="G185" s="31">
        <f t="shared" si="36"/>
        <v>42704</v>
      </c>
      <c r="H185" s="62"/>
      <c r="I185" s="25">
        <f t="shared" si="32"/>
        <v>2.0000000000000018E-2</v>
      </c>
      <c r="J185" s="19">
        <v>3.7035114647209877E-2</v>
      </c>
      <c r="K185" s="24">
        <v>6.2976405433899929E-2</v>
      </c>
      <c r="L185" s="13"/>
      <c r="M185" s="143">
        <v>26795.4</v>
      </c>
      <c r="N185" s="148">
        <f t="shared" si="39"/>
        <v>27377.978753947744</v>
      </c>
      <c r="O185" s="146">
        <f t="shared" si="39"/>
        <v>26723.836095425497</v>
      </c>
      <c r="P185" s="13"/>
      <c r="Q185" s="29">
        <f t="shared" si="31"/>
        <v>1.6795400000000003</v>
      </c>
      <c r="R185" s="28">
        <f t="shared" si="34"/>
        <v>1.7377978753947745</v>
      </c>
      <c r="S185" s="27">
        <f t="shared" si="35"/>
        <v>1.6723836095425497</v>
      </c>
      <c r="T185" s="13"/>
    </row>
    <row r="186" spans="7:20">
      <c r="G186" s="31">
        <f t="shared" si="36"/>
        <v>42735</v>
      </c>
      <c r="H186" s="30"/>
      <c r="I186" s="25">
        <f t="shared" si="32"/>
        <v>1.3072019824298176E-2</v>
      </c>
      <c r="J186" s="19">
        <v>1.9765332850302686E-2</v>
      </c>
      <c r="K186" s="24">
        <v>2.5419959006572457E-2</v>
      </c>
      <c r="L186" s="13"/>
      <c r="M186" s="143">
        <v>27145.67</v>
      </c>
      <c r="N186" s="148">
        <f t="shared" si="39"/>
        <v>27919.113616788036</v>
      </c>
      <c r="O186" s="146">
        <f t="shared" si="39"/>
        <v>27403.154913469574</v>
      </c>
      <c r="P186" s="13"/>
      <c r="Q186" s="29">
        <f t="shared" si="31"/>
        <v>1.7145669999999997</v>
      </c>
      <c r="R186" s="28">
        <f t="shared" si="34"/>
        <v>1.7919113616788036</v>
      </c>
      <c r="S186" s="27">
        <f t="shared" si="35"/>
        <v>1.7403154913469574</v>
      </c>
      <c r="T186" s="13"/>
    </row>
    <row r="187" spans="7:20">
      <c r="G187" s="31">
        <f t="shared" si="36"/>
        <v>42766</v>
      </c>
      <c r="H187" s="30"/>
      <c r="I187" s="25">
        <f t="shared" si="32"/>
        <v>8.0639011672967165E-4</v>
      </c>
      <c r="J187" s="19">
        <v>1.8966218395479073E-2</v>
      </c>
      <c r="K187" s="24">
        <v>6.6339331625033804E-3</v>
      </c>
      <c r="L187" s="13"/>
      <c r="M187" s="143">
        <v>27167.56</v>
      </c>
      <c r="N187" s="148">
        <f t="shared" si="39"/>
        <v>28448.633623052232</v>
      </c>
      <c r="O187" s="146">
        <f t="shared" si="39"/>
        <v>27584.945611607258</v>
      </c>
      <c r="P187" s="13"/>
      <c r="Q187" s="29">
        <f t="shared" si="31"/>
        <v>1.7167560000000002</v>
      </c>
      <c r="R187" s="28">
        <f t="shared" si="34"/>
        <v>1.8448633623052233</v>
      </c>
      <c r="S187" s="27">
        <f t="shared" si="35"/>
        <v>1.7584945611607259</v>
      </c>
      <c r="T187" s="13"/>
    </row>
    <row r="188" spans="7:20">
      <c r="G188" s="31">
        <f t="shared" si="36"/>
        <v>42794</v>
      </c>
      <c r="H188" s="62"/>
      <c r="I188" s="25">
        <f t="shared" si="32"/>
        <v>1.3698690644283085E-2</v>
      </c>
      <c r="J188" s="19">
        <v>3.970815241948622E-2</v>
      </c>
      <c r="K188" s="24">
        <v>3.8529856358904491E-2</v>
      </c>
      <c r="L188" s="13"/>
      <c r="M188" s="143">
        <v>27539.72</v>
      </c>
      <c r="N188" s="148">
        <f t="shared" si="39"/>
        <v>29578.276303082512</v>
      </c>
      <c r="O188" s="146">
        <f t="shared" si="39"/>
        <v>28647.789603690679</v>
      </c>
      <c r="P188" s="13"/>
      <c r="Q188" s="29">
        <f t="shared" si="31"/>
        <v>1.7539720000000001</v>
      </c>
      <c r="R188" s="28">
        <f t="shared" si="34"/>
        <v>1.9578276303082511</v>
      </c>
      <c r="S188" s="27">
        <f t="shared" si="35"/>
        <v>1.8647789603690679</v>
      </c>
      <c r="T188" s="13"/>
    </row>
    <row r="189" spans="7:20">
      <c r="G189" s="31">
        <f t="shared" si="36"/>
        <v>42825</v>
      </c>
      <c r="H189" s="30"/>
      <c r="I189" s="25">
        <f t="shared" si="32"/>
        <v>-7.1543937265884372E-3</v>
      </c>
      <c r="J189" s="19">
        <v>1.1648095161407301E-3</v>
      </c>
      <c r="K189" s="24">
        <v>-1.1949037129629692E-2</v>
      </c>
      <c r="L189" s="13"/>
      <c r="M189" s="143">
        <v>27342.69</v>
      </c>
      <c r="N189" s="148">
        <f t="shared" si="39"/>
        <v>29612.729360791382</v>
      </c>
      <c r="O189" s="146">
        <f t="shared" si="39"/>
        <v>28305.476102034358</v>
      </c>
      <c r="P189" s="13"/>
      <c r="Q189" s="29">
        <f t="shared" si="31"/>
        <v>1.7342689999999998</v>
      </c>
      <c r="R189" s="28">
        <f t="shared" si="34"/>
        <v>1.9612729360791381</v>
      </c>
      <c r="S189" s="27">
        <f t="shared" si="35"/>
        <v>1.8305476102034357</v>
      </c>
      <c r="T189" s="13"/>
    </row>
    <row r="190" spans="7:20">
      <c r="G190" s="31">
        <f t="shared" si="36"/>
        <v>42855</v>
      </c>
      <c r="H190" s="30"/>
      <c r="I190" s="25">
        <f t="shared" si="32"/>
        <v>5.6044229737455264E-3</v>
      </c>
      <c r="J190" s="19">
        <v>1.0270569233243876E-2</v>
      </c>
      <c r="K190" s="24">
        <v>-6.7644027651259098E-4</v>
      </c>
      <c r="L190" s="13"/>
      <c r="M190" s="143">
        <v>27495.93</v>
      </c>
      <c r="N190" s="148">
        <f t="shared" si="39"/>
        <v>29916.868947876705</v>
      </c>
      <c r="O190" s="146">
        <f t="shared" si="39"/>
        <v>28286.329137953078</v>
      </c>
      <c r="P190" s="13"/>
      <c r="Q190" s="29">
        <f t="shared" si="31"/>
        <v>1.749593</v>
      </c>
      <c r="R190" s="28">
        <f t="shared" si="34"/>
        <v>1.9916868947876705</v>
      </c>
      <c r="S190" s="27">
        <f t="shared" si="35"/>
        <v>1.8286329137953079</v>
      </c>
      <c r="T190" s="13"/>
    </row>
    <row r="191" spans="7:20">
      <c r="G191" s="31">
        <f t="shared" si="36"/>
        <v>42886</v>
      </c>
      <c r="H191" s="62"/>
      <c r="I191" s="25">
        <f>M191/M190-1</f>
        <v>-2.7866306031474442E-2</v>
      </c>
      <c r="J191" s="19">
        <v>1.40725262932897E-2</v>
      </c>
      <c r="K191" s="24">
        <v>-3.1906178766979432E-3</v>
      </c>
      <c r="L191" s="13"/>
      <c r="M191" s="143">
        <v>26729.72</v>
      </c>
      <c r="N191" s="148">
        <f t="shared" si="39"/>
        <v>30337.874872758603</v>
      </c>
      <c r="O191" s="146">
        <f t="shared" si="39"/>
        <v>28196.078270539365</v>
      </c>
      <c r="P191" s="13"/>
      <c r="Q191" s="29">
        <f t="shared" si="31"/>
        <v>1.6729720000000001</v>
      </c>
      <c r="R191" s="28">
        <f t="shared" si="34"/>
        <v>2.0337874872758603</v>
      </c>
      <c r="S191" s="27">
        <f t="shared" si="35"/>
        <v>1.8196078270539364</v>
      </c>
      <c r="T191" s="13"/>
    </row>
    <row r="192" spans="7:20">
      <c r="G192" s="31">
        <f t="shared" si="36"/>
        <v>42916</v>
      </c>
      <c r="H192" s="30"/>
      <c r="I192" s="25">
        <f t="shared" ref="I192:I196" si="40">M192/M191-1</f>
        <v>9.8280116664146711E-3</v>
      </c>
      <c r="J192" s="19">
        <v>6.2417461403123653E-3</v>
      </c>
      <c r="K192" s="24">
        <v>1.899116488495256E-2</v>
      </c>
      <c r="L192" s="13"/>
      <c r="M192" s="143">
        <v>26992.42</v>
      </c>
      <c r="N192" s="148">
        <f t="shared" si="39"/>
        <v>30527.236186150923</v>
      </c>
      <c r="O192" s="146">
        <f t="shared" si="39"/>
        <v>28731.554642084207</v>
      </c>
      <c r="P192" s="13"/>
      <c r="Q192" s="29">
        <f t="shared" si="31"/>
        <v>1.6992419999999999</v>
      </c>
      <c r="R192" s="28">
        <f t="shared" si="34"/>
        <v>2.0527236186150923</v>
      </c>
      <c r="S192" s="27">
        <f t="shared" si="35"/>
        <v>1.8731554642084207</v>
      </c>
      <c r="T192" s="13"/>
    </row>
    <row r="193" spans="6:20">
      <c r="G193" s="31">
        <f t="shared" si="36"/>
        <v>42947</v>
      </c>
      <c r="H193" s="30"/>
      <c r="I193" s="25">
        <f t="shared" si="40"/>
        <v>4.0552125374457848E-3</v>
      </c>
      <c r="J193" s="19">
        <v>2.0562761309518951E-2</v>
      </c>
      <c r="K193" s="24">
        <v>1.3719091922014703E-2</v>
      </c>
      <c r="L193" s="13"/>
      <c r="M193" s="143">
        <v>27101.88</v>
      </c>
      <c r="N193" s="148">
        <f t="shared" si="39"/>
        <v>31154.960457286055</v>
      </c>
      <c r="O193" s="146">
        <f t="shared" si="39"/>
        <v>29125.725481281348</v>
      </c>
      <c r="P193" s="13"/>
      <c r="Q193" s="29">
        <f t="shared" si="31"/>
        <v>1.710188</v>
      </c>
      <c r="R193" s="28">
        <f t="shared" si="34"/>
        <v>2.1154960457286056</v>
      </c>
      <c r="S193" s="27">
        <f t="shared" si="35"/>
        <v>1.9125725481281348</v>
      </c>
      <c r="T193" s="13"/>
    </row>
    <row r="194" spans="6:20">
      <c r="G194" s="31">
        <f t="shared" si="36"/>
        <v>42978</v>
      </c>
      <c r="H194" s="62"/>
      <c r="I194" s="25">
        <f>M194/M193-1</f>
        <v>-5.4927185863120953E-2</v>
      </c>
      <c r="J194" s="265">
        <v>3.0620622633290573E-3</v>
      </c>
      <c r="K194" s="266">
        <v>-1.1631258859830407E-2</v>
      </c>
      <c r="L194" s="13"/>
      <c r="M194" s="144">
        <v>25613.25</v>
      </c>
      <c r="N194" s="148">
        <f t="shared" si="39"/>
        <v>31250.358886017821</v>
      </c>
      <c r="O194" s="146">
        <f t="shared" si="39"/>
        <v>28786.956628728207</v>
      </c>
      <c r="P194" s="13"/>
      <c r="Q194" s="29">
        <f t="shared" si="31"/>
        <v>1.5613250000000001</v>
      </c>
      <c r="R194" s="28">
        <f t="shared" si="34"/>
        <v>2.1250358886017819</v>
      </c>
      <c r="S194" s="27">
        <f t="shared" si="35"/>
        <v>1.8786956628728206</v>
      </c>
      <c r="T194" s="13"/>
    </row>
    <row r="195" spans="6:20">
      <c r="G195" s="31">
        <f t="shared" si="36"/>
        <v>43008</v>
      </c>
      <c r="H195" s="16"/>
      <c r="I195" s="25">
        <f t="shared" si="40"/>
        <v>3.2360204191190123E-2</v>
      </c>
      <c r="J195" s="265">
        <v>2.0627748382813005E-2</v>
      </c>
      <c r="K195" s="266">
        <v>3.277884425947919E-2</v>
      </c>
      <c r="L195" s="13"/>
      <c r="M195" s="144">
        <v>26442.1</v>
      </c>
      <c r="N195" s="148">
        <f t="shared" si="39"/>
        <v>31894.983425991202</v>
      </c>
      <c r="O195" s="146">
        <f t="shared" si="39"/>
        <v>29730.559796765672</v>
      </c>
      <c r="P195" s="13"/>
      <c r="Q195" s="29">
        <f t="shared" si="31"/>
        <v>1.6442099999999999</v>
      </c>
      <c r="R195" s="28">
        <f t="shared" si="34"/>
        <v>2.1894983425991201</v>
      </c>
      <c r="S195" s="27">
        <f t="shared" si="35"/>
        <v>1.9730559796765672</v>
      </c>
      <c r="T195" s="13"/>
    </row>
    <row r="196" spans="6:20">
      <c r="G196" s="31">
        <f t="shared" si="36"/>
        <v>43039</v>
      </c>
      <c r="H196" s="16"/>
      <c r="I196" s="25">
        <f t="shared" si="40"/>
        <v>-1.9725362206481245E-2</v>
      </c>
      <c r="J196" s="265">
        <v>2.3334840434781512E-2</v>
      </c>
      <c r="K196" s="266">
        <v>1.1509130329737216E-2</v>
      </c>
      <c r="L196" s="13"/>
      <c r="M196" s="144">
        <v>25920.52</v>
      </c>
      <c r="N196" s="148">
        <f t="shared" si="39"/>
        <v>32639.247774906707</v>
      </c>
      <c r="O196" s="146">
        <f t="shared" si="39"/>
        <v>30072.732684242696</v>
      </c>
      <c r="P196" s="13"/>
      <c r="Q196" s="29">
        <f t="shared" ref="Q196:Q237" si="41">(M196-$M$3)/$M$3</f>
        <v>1.592052</v>
      </c>
      <c r="R196" s="28">
        <f t="shared" si="34"/>
        <v>2.2639247774906708</v>
      </c>
      <c r="S196" s="27">
        <f t="shared" si="35"/>
        <v>2.0072732684242696</v>
      </c>
      <c r="T196" s="13"/>
    </row>
    <row r="197" spans="6:20">
      <c r="F197" s="136"/>
      <c r="G197" s="31">
        <f t="shared" si="36"/>
        <v>43069</v>
      </c>
      <c r="H197" s="16"/>
      <c r="I197" s="25">
        <f>M197/M196-1</f>
        <v>1.1373614418229261E-2</v>
      </c>
      <c r="J197" s="265">
        <v>3.0669548163445581E-2</v>
      </c>
      <c r="K197" s="266">
        <v>3.3906586803948313E-2</v>
      </c>
      <c r="L197" s="13"/>
      <c r="M197" s="144">
        <v>26215.33</v>
      </c>
      <c r="N197" s="148">
        <f t="shared" ref="N197:O212" si="42">N196*(1+J197)</f>
        <v>33640.27875655784</v>
      </c>
      <c r="O197" s="146">
        <f t="shared" si="42"/>
        <v>31092.396405432904</v>
      </c>
      <c r="P197" s="13"/>
      <c r="Q197" s="29">
        <f t="shared" si="41"/>
        <v>1.6215330000000001</v>
      </c>
      <c r="R197" s="28">
        <f t="shared" ref="R197:R237" si="43">(N197-$N$3)/$N$3</f>
        <v>2.364027875655784</v>
      </c>
      <c r="S197" s="27">
        <f t="shared" ref="S197:S237" si="44">(O197-$O$3)/$O$3</f>
        <v>2.1092396405432905</v>
      </c>
      <c r="T197" s="13"/>
    </row>
    <row r="198" spans="6:20">
      <c r="F198" s="136"/>
      <c r="G198" s="31">
        <f t="shared" ref="G198:G208" si="45">EOMONTH(G197,1)</f>
        <v>43100</v>
      </c>
      <c r="H198" s="16"/>
      <c r="I198" s="25">
        <f t="shared" ref="I198" si="46">M198/M197-1</f>
        <v>1.903084950675793E-2</v>
      </c>
      <c r="J198" s="265">
        <v>1.1118352652732089E-2</v>
      </c>
      <c r="K198" s="266">
        <v>1.6722368322867665E-2</v>
      </c>
      <c r="L198" s="13"/>
      <c r="M198" s="144">
        <v>26714.23</v>
      </c>
      <c r="N198" s="148">
        <f t="shared" si="42"/>
        <v>34014.30323910946</v>
      </c>
      <c r="O198" s="146">
        <f t="shared" si="42"/>
        <v>31612.334910165158</v>
      </c>
      <c r="P198" s="13"/>
      <c r="Q198" s="29">
        <f t="shared" si="41"/>
        <v>1.6714229999999999</v>
      </c>
      <c r="R198" s="28">
        <f t="shared" si="43"/>
        <v>2.401430323910946</v>
      </c>
      <c r="S198" s="27">
        <f t="shared" si="44"/>
        <v>2.1612334910165156</v>
      </c>
      <c r="T198" s="13"/>
    </row>
    <row r="199" spans="6:20">
      <c r="G199" s="31">
        <f t="shared" si="45"/>
        <v>43131</v>
      </c>
      <c r="H199" s="16"/>
      <c r="I199" s="25">
        <f>M199/M198-1</f>
        <v>4.2445543068245772E-3</v>
      </c>
      <c r="J199" s="265">
        <v>5.7253738902232287E-2</v>
      </c>
      <c r="K199" s="266">
        <v>4.1480565506589073E-2</v>
      </c>
      <c r="L199" s="13"/>
      <c r="M199" s="144">
        <v>26827.62</v>
      </c>
      <c r="N199" s="148">
        <f t="shared" si="42"/>
        <v>35961.749275702787</v>
      </c>
      <c r="O199" s="146">
        <f t="shared" si="42"/>
        <v>32923.6324392225</v>
      </c>
      <c r="P199" s="13"/>
      <c r="Q199" s="29">
        <f t="shared" si="41"/>
        <v>1.6827619999999999</v>
      </c>
      <c r="R199" s="28">
        <f t="shared" si="43"/>
        <v>2.5961749275702788</v>
      </c>
      <c r="S199" s="27">
        <f t="shared" si="44"/>
        <v>2.2923632439222499</v>
      </c>
      <c r="T199" s="13"/>
    </row>
    <row r="200" spans="6:20">
      <c r="G200" s="31">
        <f>EOMONTH(G199,1)</f>
        <v>43159</v>
      </c>
      <c r="H200" s="16"/>
      <c r="I200" s="25">
        <f>M200/M199-1</f>
        <v>-4.9873227666114239E-2</v>
      </c>
      <c r="J200" s="265">
        <v>-3.6855790289246793E-2</v>
      </c>
      <c r="K200" s="266">
        <v>-5.4831664382614553E-2</v>
      </c>
      <c r="L200" s="13"/>
      <c r="M200" s="144">
        <v>25489.64</v>
      </c>
      <c r="N200" s="148">
        <f t="shared" si="42"/>
        <v>34636.35058596301</v>
      </c>
      <c r="O200" s="146">
        <f t="shared" si="42"/>
        <v>31118.374875058489</v>
      </c>
      <c r="P200" s="13"/>
      <c r="Q200" s="29">
        <f t="shared" si="41"/>
        <v>1.548964</v>
      </c>
      <c r="R200" s="28">
        <f t="shared" si="43"/>
        <v>2.4636350585963012</v>
      </c>
      <c r="S200" s="27">
        <f t="shared" si="44"/>
        <v>2.111837487505849</v>
      </c>
      <c r="T200" s="13"/>
    </row>
    <row r="201" spans="6:20">
      <c r="G201" s="31">
        <f t="shared" si="45"/>
        <v>43190</v>
      </c>
      <c r="H201" s="16"/>
      <c r="I201" s="25">
        <f t="shared" ref="I201" si="47">M201/M200-1</f>
        <v>0</v>
      </c>
      <c r="J201" s="265">
        <v>-2.5414037817746205E-2</v>
      </c>
      <c r="K201" s="266">
        <v>-2.0424086255699692E-2</v>
      </c>
      <c r="L201" s="13"/>
      <c r="M201" s="144">
        <v>25489.64</v>
      </c>
      <c r="N201" s="148">
        <f t="shared" si="42"/>
        <v>33756.10106230263</v>
      </c>
      <c r="O201" s="146">
        <f t="shared" si="42"/>
        <v>30482.810502473098</v>
      </c>
      <c r="P201" s="13"/>
      <c r="Q201" s="29">
        <f t="shared" si="41"/>
        <v>1.548964</v>
      </c>
      <c r="R201" s="28">
        <f t="shared" si="43"/>
        <v>2.3756101062302633</v>
      </c>
      <c r="S201" s="27">
        <f t="shared" si="44"/>
        <v>2.0482810502473097</v>
      </c>
      <c r="T201" s="13"/>
    </row>
    <row r="202" spans="6:20">
      <c r="G202" s="31">
        <f t="shared" si="45"/>
        <v>43220</v>
      </c>
      <c r="H202" s="16"/>
      <c r="I202" s="25">
        <f>M202/M201-1</f>
        <v>2.4911297295685531E-2</v>
      </c>
      <c r="J202" s="265">
        <v>3.8370908472336041E-3</v>
      </c>
      <c r="K202" s="266">
        <v>5.0434381486890167E-3</v>
      </c>
      <c r="L202" s="13"/>
      <c r="M202" s="144">
        <v>26124.62</v>
      </c>
      <c r="N202" s="148">
        <f t="shared" si="42"/>
        <v>33885.626288727086</v>
      </c>
      <c r="O202" s="146">
        <f t="shared" si="42"/>
        <v>30636.54867184053</v>
      </c>
      <c r="P202" s="13"/>
      <c r="Q202" s="29">
        <f t="shared" si="41"/>
        <v>1.6124619999999998</v>
      </c>
      <c r="R202" s="28">
        <f t="shared" si="43"/>
        <v>2.3885626288727084</v>
      </c>
      <c r="S202" s="27">
        <f t="shared" si="44"/>
        <v>2.0636548671840531</v>
      </c>
      <c r="T202" s="13"/>
    </row>
    <row r="203" spans="6:20">
      <c r="G203" s="31">
        <f>EOMONTH(G202,1)</f>
        <v>43251</v>
      </c>
      <c r="H203" s="16"/>
      <c r="I203" s="25">
        <f>M203/M202-1</f>
        <v>1.1284757443361881E-2</v>
      </c>
      <c r="J203" s="265">
        <v>2.4082233142822096E-2</v>
      </c>
      <c r="K203" s="266">
        <v>2.5903416305861349E-3</v>
      </c>
      <c r="L203" s="13"/>
      <c r="M203" s="144">
        <v>26419.43</v>
      </c>
      <c r="N203" s="148">
        <f t="shared" si="42"/>
        <v>34701.667841202754</v>
      </c>
      <c r="O203" s="146">
        <f t="shared" si="42"/>
        <v>30715.907799282675</v>
      </c>
      <c r="P203" s="13"/>
      <c r="Q203" s="29">
        <f t="shared" si="41"/>
        <v>1.6419429999999999</v>
      </c>
      <c r="R203" s="28">
        <f t="shared" si="43"/>
        <v>2.4701667841202752</v>
      </c>
      <c r="S203" s="27">
        <f t="shared" si="44"/>
        <v>2.0715907799282673</v>
      </c>
      <c r="T203" s="13"/>
    </row>
    <row r="204" spans="6:20">
      <c r="F204" s="136"/>
      <c r="G204" s="31">
        <f t="shared" si="45"/>
        <v>43281</v>
      </c>
      <c r="H204" s="16"/>
      <c r="I204" s="25">
        <f t="shared" ref="I204" si="48">M204/M203-1</f>
        <v>1.3733831502042326E-2</v>
      </c>
      <c r="J204" s="265">
        <v>6.154453658261394E-3</v>
      </c>
      <c r="K204" s="266">
        <v>6.3188293561287079E-3</v>
      </c>
      <c r="L204" s="13"/>
      <c r="M204" s="144">
        <v>26782.27</v>
      </c>
      <c r="N204" s="148">
        <f t="shared" si="42"/>
        <v>34915.237647795817</v>
      </c>
      <c r="O204" s="146">
        <f t="shared" si="42"/>
        <v>30909.996379184926</v>
      </c>
      <c r="P204" s="13"/>
      <c r="Q204" s="29">
        <f t="shared" si="41"/>
        <v>1.6782270000000001</v>
      </c>
      <c r="R204" s="28">
        <f t="shared" si="43"/>
        <v>2.4915237647795818</v>
      </c>
      <c r="S204" s="27">
        <f t="shared" si="44"/>
        <v>2.0909996379184927</v>
      </c>
      <c r="T204" s="13"/>
    </row>
    <row r="205" spans="6:20">
      <c r="G205" s="31">
        <f t="shared" si="45"/>
        <v>43312</v>
      </c>
      <c r="H205" s="16"/>
      <c r="I205" s="25">
        <f>M205/M204-1</f>
        <v>2.3708595275904631E-2</v>
      </c>
      <c r="J205" s="265">
        <v>3.7214787238615266E-2</v>
      </c>
      <c r="K205" s="266">
        <v>4.0517374716436239E-2</v>
      </c>
      <c r="L205" s="13"/>
      <c r="M205" s="144">
        <v>27417.24</v>
      </c>
      <c r="N205" s="148">
        <f t="shared" si="42"/>
        <v>36214.600788244228</v>
      </c>
      <c r="O205" s="146">
        <f t="shared" si="42"/>
        <v>32162.38828496405</v>
      </c>
      <c r="P205" s="13"/>
      <c r="Q205" s="29">
        <f t="shared" si="41"/>
        <v>1.741724</v>
      </c>
      <c r="R205" s="28">
        <f t="shared" si="43"/>
        <v>2.6214600788244229</v>
      </c>
      <c r="S205" s="27">
        <f t="shared" si="44"/>
        <v>2.216238828496405</v>
      </c>
      <c r="T205" s="13"/>
    </row>
    <row r="206" spans="6:20">
      <c r="G206" s="31">
        <f>EOMONTH(G205,1)</f>
        <v>43343</v>
      </c>
      <c r="H206" s="16"/>
      <c r="I206" s="25">
        <f>M206/M205-1</f>
        <v>5.789787739393093E-3</v>
      </c>
      <c r="J206" s="265">
        <v>3.2584018623557753E-2</v>
      </c>
      <c r="K206" s="266">
        <v>1.3573988017058225E-2</v>
      </c>
      <c r="L206" s="13"/>
      <c r="M206" s="144">
        <v>27575.98</v>
      </c>
      <c r="N206" s="148">
        <f t="shared" si="42"/>
        <v>37394.618014773085</v>
      </c>
      <c r="O206" s="146">
        <f t="shared" si="42"/>
        <v>32598.960158144127</v>
      </c>
      <c r="P206" s="13"/>
      <c r="Q206" s="29">
        <f t="shared" si="41"/>
        <v>1.757598</v>
      </c>
      <c r="R206" s="28">
        <f t="shared" si="43"/>
        <v>2.7394618014773084</v>
      </c>
      <c r="S206" s="27">
        <f t="shared" si="44"/>
        <v>2.2598960158144128</v>
      </c>
      <c r="T206" s="13"/>
    </row>
    <row r="207" spans="6:20">
      <c r="G207" s="31">
        <f t="shared" si="45"/>
        <v>43373</v>
      </c>
      <c r="H207" s="16"/>
      <c r="I207" s="25">
        <f t="shared" ref="I207:I237" si="49">M207/M206-1</f>
        <v>-1.2335373031166941E-2</v>
      </c>
      <c r="J207" s="265">
        <v>5.6920499755706011E-3</v>
      </c>
      <c r="K207" s="266">
        <v>3.7839792494009927E-3</v>
      </c>
      <c r="L207" s="13"/>
      <c r="M207" s="144">
        <v>27235.82</v>
      </c>
      <c r="N207" s="148">
        <f t="shared" si="42"/>
        <v>37607.470049330543</v>
      </c>
      <c r="O207" s="146">
        <f t="shared" si="42"/>
        <v>32722.313946934595</v>
      </c>
      <c r="P207" s="13"/>
      <c r="Q207" s="29">
        <f t="shared" si="41"/>
        <v>1.7235819999999999</v>
      </c>
      <c r="R207" s="28">
        <f t="shared" si="43"/>
        <v>2.7607470049330542</v>
      </c>
      <c r="S207" s="27">
        <f t="shared" si="44"/>
        <v>2.2722313946934594</v>
      </c>
      <c r="T207" s="13"/>
    </row>
    <row r="208" spans="6:20">
      <c r="G208" s="31">
        <f t="shared" si="45"/>
        <v>43404</v>
      </c>
      <c r="H208" s="16"/>
      <c r="I208" s="25">
        <f t="shared" si="49"/>
        <v>-3.3305771590501076E-2</v>
      </c>
      <c r="J208" s="265">
        <v>-6.8350042162466096E-2</v>
      </c>
      <c r="K208" s="266">
        <v>-5.3256575872894674E-2</v>
      </c>
      <c r="L208" s="13"/>
      <c r="M208" s="144">
        <v>26328.71</v>
      </c>
      <c r="N208" s="148">
        <f t="shared" si="42"/>
        <v>35036.997885835117</v>
      </c>
      <c r="O208" s="146">
        <f t="shared" si="42"/>
        <v>30979.635551482992</v>
      </c>
      <c r="P208" s="13"/>
      <c r="Q208" s="29">
        <f t="shared" si="41"/>
        <v>1.632871</v>
      </c>
      <c r="R208" s="28">
        <f t="shared" si="43"/>
        <v>2.5036997885835115</v>
      </c>
      <c r="S208" s="27">
        <f t="shared" si="44"/>
        <v>2.0979635551482994</v>
      </c>
      <c r="T208" s="13"/>
    </row>
    <row r="209" spans="3:20">
      <c r="G209" s="31">
        <f>EOMONTH(G208,1)</f>
        <v>43434</v>
      </c>
      <c r="H209" s="16"/>
      <c r="I209" s="25">
        <f t="shared" si="49"/>
        <v>1.6365404913495585E-2</v>
      </c>
      <c r="J209" s="265">
        <v>2.0378099223576251E-2</v>
      </c>
      <c r="K209" s="266">
        <v>2.6334641930040981E-2</v>
      </c>
      <c r="L209" s="13"/>
      <c r="M209" s="144">
        <v>26759.59</v>
      </c>
      <c r="N209" s="148">
        <f t="shared" si="42"/>
        <v>35750.985305248898</v>
      </c>
      <c r="O209" s="146">
        <f t="shared" si="42"/>
        <v>31795.473160854464</v>
      </c>
      <c r="P209" s="13"/>
      <c r="Q209" s="29">
        <f t="shared" si="41"/>
        <v>1.675959</v>
      </c>
      <c r="R209" s="28">
        <f t="shared" si="43"/>
        <v>2.5750985305248899</v>
      </c>
      <c r="S209" s="27">
        <f t="shared" si="44"/>
        <v>2.1795473160854466</v>
      </c>
      <c r="T209" s="13"/>
    </row>
    <row r="210" spans="3:20">
      <c r="G210" s="31">
        <f t="shared" ref="G210:G237" si="50">EOMONTH(G209,1)</f>
        <v>43465</v>
      </c>
      <c r="H210" s="16"/>
      <c r="I210" s="25">
        <f t="shared" si="49"/>
        <v>-4.7315747363842364E-2</v>
      </c>
      <c r="J210" s="265">
        <v>-9.028985692409619E-2</v>
      </c>
      <c r="K210" s="266">
        <v>-9.4773114028500971E-2</v>
      </c>
      <c r="L210" s="13"/>
      <c r="M210" s="144">
        <v>25493.439999999999</v>
      </c>
      <c r="N210" s="148">
        <f t="shared" si="42"/>
        <v>32523.03395714251</v>
      </c>
      <c r="O210" s="146">
        <f t="shared" si="42"/>
        <v>28782.117157390661</v>
      </c>
      <c r="P210" s="13"/>
      <c r="Q210" s="29">
        <f t="shared" si="41"/>
        <v>1.5493439999999998</v>
      </c>
      <c r="R210" s="28">
        <f t="shared" si="43"/>
        <v>2.2523033957142511</v>
      </c>
      <c r="S210" s="27">
        <f t="shared" si="44"/>
        <v>1.8782117157390661</v>
      </c>
      <c r="T210" s="13"/>
    </row>
    <row r="211" spans="3:20">
      <c r="G211" s="31">
        <f t="shared" si="50"/>
        <v>43496</v>
      </c>
      <c r="H211" s="16"/>
      <c r="I211" s="25">
        <f t="shared" si="49"/>
        <v>4.0037358630298669E-2</v>
      </c>
      <c r="J211" s="265">
        <v>8.0134905762586639E-2</v>
      </c>
      <c r="K211" s="266">
        <v>8.5737561490768721E-2</v>
      </c>
      <c r="L211" s="13"/>
      <c r="M211" s="144">
        <v>26514.13</v>
      </c>
      <c r="N211" s="148">
        <f t="shared" si="42"/>
        <v>35129.264218411532</v>
      </c>
      <c r="O211" s="146">
        <f t="shared" si="42"/>
        <v>31249.825697006952</v>
      </c>
      <c r="P211" s="13"/>
      <c r="Q211" s="29">
        <f t="shared" si="41"/>
        <v>1.651413</v>
      </c>
      <c r="R211" s="28">
        <f t="shared" si="43"/>
        <v>2.5129264218411533</v>
      </c>
      <c r="S211" s="27">
        <f t="shared" si="44"/>
        <v>2.1249825697006952</v>
      </c>
      <c r="T211" s="13"/>
    </row>
    <row r="212" spans="3:20">
      <c r="G212" s="31">
        <f t="shared" si="50"/>
        <v>43524</v>
      </c>
      <c r="H212" s="16"/>
      <c r="I212" s="25">
        <f t="shared" si="49"/>
        <v>2.238127368312659E-2</v>
      </c>
      <c r="J212" s="265">
        <v>3.2108447274422636E-2</v>
      </c>
      <c r="K212" s="266">
        <v>2.2476270756174754E-2</v>
      </c>
      <c r="L212" s="13"/>
      <c r="M212" s="144">
        <v>27107.55</v>
      </c>
      <c r="N212" s="148">
        <f t="shared" si="42"/>
        <v>36257.210346357657</v>
      </c>
      <c r="O212" s="146">
        <f t="shared" si="42"/>
        <v>31952.205240456147</v>
      </c>
      <c r="P212" s="13"/>
      <c r="Q212" s="29">
        <f t="shared" si="41"/>
        <v>1.710755</v>
      </c>
      <c r="R212" s="28">
        <f t="shared" si="43"/>
        <v>2.6257210346357658</v>
      </c>
      <c r="S212" s="27">
        <f t="shared" si="44"/>
        <v>2.1952205240456149</v>
      </c>
      <c r="T212" s="13"/>
    </row>
    <row r="213" spans="3:20">
      <c r="G213" s="31">
        <f t="shared" si="50"/>
        <v>43555</v>
      </c>
      <c r="H213" s="16"/>
      <c r="I213" s="25">
        <f t="shared" si="49"/>
        <v>-7.0054283769650505E-3</v>
      </c>
      <c r="J213" s="265">
        <v>1.9431331650016537E-2</v>
      </c>
      <c r="K213" s="266">
        <v>1.0630050337428809E-2</v>
      </c>
      <c r="L213" s="13"/>
      <c r="M213" s="144">
        <v>26917.65</v>
      </c>
      <c r="N213" s="148">
        <f t="shared" ref="N213:O228" si="51">N212*(1+J213)</f>
        <v>36961.736225302142</v>
      </c>
      <c r="O213" s="146">
        <f t="shared" si="51"/>
        <v>32291.858790554052</v>
      </c>
      <c r="P213" s="13"/>
      <c r="Q213" s="29">
        <f t="shared" si="41"/>
        <v>1.6917650000000002</v>
      </c>
      <c r="R213" s="28">
        <f t="shared" si="43"/>
        <v>2.696173622530214</v>
      </c>
      <c r="S213" s="27">
        <f t="shared" si="44"/>
        <v>2.2291858790554051</v>
      </c>
      <c r="T213" s="13"/>
    </row>
    <row r="214" spans="3:20">
      <c r="G214" s="31">
        <f t="shared" si="50"/>
        <v>43585</v>
      </c>
      <c r="H214" s="16"/>
      <c r="I214" s="25">
        <f t="shared" si="49"/>
        <v>2.2046129584120555E-2</v>
      </c>
      <c r="J214" s="265">
        <v>4.0489296420135323E-2</v>
      </c>
      <c r="K214" s="266">
        <v>4.1249423031703536E-2</v>
      </c>
      <c r="L214" s="13"/>
      <c r="M214" s="144">
        <v>27511.08</v>
      </c>
      <c r="N214" s="148">
        <f t="shared" si="51"/>
        <v>38458.290919531253</v>
      </c>
      <c r="O214" s="146">
        <f t="shared" si="51"/>
        <v>33623.879334285652</v>
      </c>
      <c r="P214" s="13"/>
      <c r="Q214" s="29">
        <f t="shared" si="41"/>
        <v>1.7511080000000001</v>
      </c>
      <c r="R214" s="28">
        <f t="shared" si="43"/>
        <v>2.8458290919531253</v>
      </c>
      <c r="S214" s="27">
        <f t="shared" si="44"/>
        <v>2.3623879334285651</v>
      </c>
      <c r="T214" s="13"/>
    </row>
    <row r="215" spans="3:20">
      <c r="G215" s="31">
        <f t="shared" si="50"/>
        <v>43616</v>
      </c>
      <c r="H215" s="16"/>
      <c r="I215" s="25">
        <f t="shared" si="49"/>
        <v>-4.9180548346339115E-2</v>
      </c>
      <c r="J215" s="265">
        <v>-6.3548027506824978E-2</v>
      </c>
      <c r="K215" s="266">
        <v>-7.5732755849230893E-2</v>
      </c>
      <c r="L215" s="13"/>
      <c r="M215" s="144">
        <v>26158.07</v>
      </c>
      <c r="N215" s="148">
        <f t="shared" si="51"/>
        <v>36014.342390311402</v>
      </c>
      <c r="O215" s="146">
        <f t="shared" si="51"/>
        <v>31077.450289958197</v>
      </c>
      <c r="P215" s="13"/>
      <c r="Q215" s="29">
        <f t="shared" si="41"/>
        <v>1.615807</v>
      </c>
      <c r="R215" s="28">
        <f t="shared" si="43"/>
        <v>2.60143423903114</v>
      </c>
      <c r="S215" s="27">
        <f t="shared" si="44"/>
        <v>2.1077450289958195</v>
      </c>
      <c r="T215" s="13"/>
    </row>
    <row r="216" spans="3:20">
      <c r="G216" s="31">
        <f t="shared" si="50"/>
        <v>43646</v>
      </c>
      <c r="H216" s="16"/>
      <c r="I216" s="25">
        <f t="shared" si="49"/>
        <v>3.5390225655027363E-2</v>
      </c>
      <c r="J216" s="265">
        <v>7.0476711594105623E-2</v>
      </c>
      <c r="K216" s="266">
        <v>8.0826605920902184E-2</v>
      </c>
      <c r="L216" s="13"/>
      <c r="M216" s="144">
        <v>27083.81</v>
      </c>
      <c r="N216" s="148">
        <f t="shared" si="51"/>
        <v>38552.514812204754</v>
      </c>
      <c r="O216" s="146">
        <f t="shared" si="51"/>
        <v>33589.335117571078</v>
      </c>
      <c r="P216" s="13"/>
      <c r="Q216" s="29">
        <f t="shared" si="41"/>
        <v>1.7083810000000001</v>
      </c>
      <c r="R216" s="28">
        <f t="shared" si="43"/>
        <v>2.8552514812204755</v>
      </c>
      <c r="S216" s="27">
        <f t="shared" si="44"/>
        <v>2.3589335117571077</v>
      </c>
      <c r="T216" s="13"/>
    </row>
    <row r="217" spans="3:20">
      <c r="G217" s="31">
        <f t="shared" si="50"/>
        <v>43677</v>
      </c>
      <c r="H217" s="16"/>
      <c r="I217" s="25">
        <f t="shared" si="49"/>
        <v>1.5775845422043577E-2</v>
      </c>
      <c r="J217" s="265">
        <v>1.4373122328946719E-2</v>
      </c>
      <c r="K217" s="266">
        <v>1.7614796806081801E-2</v>
      </c>
      <c r="L217" s="13"/>
      <c r="M217" s="144">
        <v>27511.08</v>
      </c>
      <c r="N217" s="148">
        <f t="shared" si="51"/>
        <v>39106.634823689106</v>
      </c>
      <c r="O217" s="146">
        <f t="shared" si="51"/>
        <v>34181.004430518478</v>
      </c>
      <c r="P217" s="13"/>
      <c r="Q217" s="29">
        <f t="shared" si="41"/>
        <v>1.7511080000000001</v>
      </c>
      <c r="R217" s="28">
        <f t="shared" si="43"/>
        <v>2.9106634823689106</v>
      </c>
      <c r="S217" s="27">
        <f t="shared" si="44"/>
        <v>2.418100443051848</v>
      </c>
      <c r="T217" s="13"/>
    </row>
    <row r="218" spans="3:20">
      <c r="G218" s="31">
        <f t="shared" si="50"/>
        <v>43708</v>
      </c>
      <c r="H218" s="16"/>
      <c r="I218" s="25">
        <f t="shared" si="49"/>
        <v>-1.6393758442053263E-2</v>
      </c>
      <c r="J218" s="265">
        <v>-1.5841366088397368E-2</v>
      </c>
      <c r="K218" s="266">
        <v>-2.5880325477840471E-2</v>
      </c>
      <c r="L218" s="13"/>
      <c r="M218" s="144">
        <v>27060.07</v>
      </c>
      <c r="N218" s="148">
        <f t="shared" si="51"/>
        <v>38487.132304961779</v>
      </c>
      <c r="O218" s="146">
        <f t="shared" si="51"/>
        <v>33296.388910697155</v>
      </c>
      <c r="P218" s="13"/>
      <c r="Q218" s="29">
        <f t="shared" si="41"/>
        <v>1.7060070000000001</v>
      </c>
      <c r="R218" s="28">
        <f t="shared" si="43"/>
        <v>2.8487132304961778</v>
      </c>
      <c r="S218" s="27">
        <f t="shared" si="44"/>
        <v>2.3296388910697154</v>
      </c>
      <c r="T218" s="13"/>
    </row>
    <row r="219" spans="3:20">
      <c r="G219" s="31">
        <f t="shared" si="50"/>
        <v>43738</v>
      </c>
      <c r="H219" s="16"/>
      <c r="I219" s="25">
        <f t="shared" si="49"/>
        <v>8.7730741273039925E-4</v>
      </c>
      <c r="J219" s="265">
        <v>1.8710697955149458E-2</v>
      </c>
      <c r="K219" s="266">
        <v>3.7393315984579401E-2</v>
      </c>
      <c r="L219" s="13"/>
      <c r="M219" s="144">
        <v>27083.81</v>
      </c>
      <c r="N219" s="148">
        <f t="shared" si="51"/>
        <v>39207.253412679791</v>
      </c>
      <c r="O219" s="146">
        <f t="shared" si="51"/>
        <v>34541.451302380301</v>
      </c>
      <c r="P219" s="13"/>
      <c r="Q219" s="29">
        <f t="shared" si="41"/>
        <v>1.7083810000000001</v>
      </c>
      <c r="R219" s="28">
        <f t="shared" si="43"/>
        <v>2.9207253412679792</v>
      </c>
      <c r="S219" s="27">
        <f t="shared" si="44"/>
        <v>2.4541451302380302</v>
      </c>
      <c r="T219" s="13"/>
    </row>
    <row r="220" spans="3:20">
      <c r="G220" s="31">
        <f t="shared" si="50"/>
        <v>43769</v>
      </c>
      <c r="H220" s="16"/>
      <c r="I220" s="25">
        <f t="shared" si="49"/>
        <v>-2.6144770621268076E-3</v>
      </c>
      <c r="J220" s="265">
        <v>2.1658991543773043E-2</v>
      </c>
      <c r="K220" s="266">
        <v>2.6498220345997803E-2</v>
      </c>
      <c r="L220" s="13"/>
      <c r="M220" s="264">
        <v>27013</v>
      </c>
      <c r="N220" s="148">
        <f t="shared" si="51"/>
        <v>40056.442982799592</v>
      </c>
      <c r="O220" s="146">
        <f t="shared" si="51"/>
        <v>35456.73829006133</v>
      </c>
      <c r="P220" s="13"/>
      <c r="Q220" s="29">
        <f t="shared" si="41"/>
        <v>1.7013</v>
      </c>
      <c r="R220" s="28">
        <f t="shared" si="43"/>
        <v>3.0056442982799592</v>
      </c>
      <c r="S220" s="27">
        <f t="shared" si="44"/>
        <v>2.5456738290061329</v>
      </c>
      <c r="T220" s="13"/>
    </row>
    <row r="221" spans="3:20">
      <c r="G221" s="31">
        <f t="shared" si="50"/>
        <v>43799</v>
      </c>
      <c r="H221" s="16"/>
      <c r="I221" s="25">
        <f t="shared" si="49"/>
        <v>6.1451893532742385E-3</v>
      </c>
      <c r="J221" s="265">
        <v>3.6299039052051674E-2</v>
      </c>
      <c r="K221" s="266">
        <v>3.855711795052974E-2</v>
      </c>
      <c r="L221" s="13"/>
      <c r="M221" s="264">
        <v>27179</v>
      </c>
      <c r="N221" s="148">
        <f t="shared" si="51"/>
        <v>41510.453370918513</v>
      </c>
      <c r="O221" s="146">
        <f t="shared" si="51"/>
        <v>36823.847930452292</v>
      </c>
      <c r="P221" s="13"/>
      <c r="Q221" s="29">
        <f t="shared" si="41"/>
        <v>1.7179</v>
      </c>
      <c r="R221" s="28">
        <f t="shared" si="43"/>
        <v>3.1510453370918512</v>
      </c>
      <c r="S221" s="27">
        <f t="shared" si="44"/>
        <v>2.6823847930452294</v>
      </c>
      <c r="T221" s="13"/>
    </row>
    <row r="222" spans="3:20">
      <c r="C222" s="315"/>
      <c r="G222" s="31">
        <f t="shared" si="50"/>
        <v>43830</v>
      </c>
      <c r="H222" s="16"/>
      <c r="I222" s="25">
        <f t="shared" si="49"/>
        <v>6.438794657640079E-3</v>
      </c>
      <c r="J222" s="265">
        <v>3.0182848232194415E-2</v>
      </c>
      <c r="K222" s="266">
        <v>3.1178725131410179E-2</v>
      </c>
      <c r="L222" s="13"/>
      <c r="M222" s="264">
        <v>27354</v>
      </c>
      <c r="N222" s="148">
        <f t="shared" si="51"/>
        <v>42763.357085062526</v>
      </c>
      <c r="O222" s="146">
        <f t="shared" si="51"/>
        <v>37971.968563356713</v>
      </c>
      <c r="P222" s="13"/>
      <c r="Q222" s="29">
        <f t="shared" si="41"/>
        <v>1.7354000000000001</v>
      </c>
      <c r="R222" s="28">
        <f t="shared" si="43"/>
        <v>3.2763357085062528</v>
      </c>
      <c r="S222" s="27">
        <f t="shared" si="44"/>
        <v>2.7971968563356713</v>
      </c>
      <c r="T222" s="13"/>
    </row>
    <row r="223" spans="3:20">
      <c r="C223" s="315"/>
      <c r="D223" s="64"/>
      <c r="G223" s="31">
        <f t="shared" si="50"/>
        <v>43861</v>
      </c>
      <c r="H223" s="16"/>
      <c r="I223" s="25">
        <f t="shared" si="49"/>
        <v>-5.373985523141056E-3</v>
      </c>
      <c r="J223" s="265">
        <v>-3.9215267403869269E-4</v>
      </c>
      <c r="K223" s="266">
        <v>-2.6389096331334017E-2</v>
      </c>
      <c r="L223" s="13"/>
      <c r="M223" s="264">
        <v>27207</v>
      </c>
      <c r="N223" s="148">
        <f t="shared" si="51"/>
        <v>42746.587320230748</v>
      </c>
      <c r="O223" s="146">
        <f t="shared" si="51"/>
        <v>36969.922627047905</v>
      </c>
      <c r="P223" s="13"/>
      <c r="Q223" s="29">
        <f t="shared" si="41"/>
        <v>1.7206999999999999</v>
      </c>
      <c r="R223" s="28">
        <f t="shared" si="43"/>
        <v>3.2746587320230747</v>
      </c>
      <c r="S223" s="27">
        <f t="shared" si="44"/>
        <v>2.6969922627047906</v>
      </c>
      <c r="T223" s="13"/>
    </row>
    <row r="224" spans="3:20">
      <c r="C224" s="315"/>
      <c r="D224" s="64"/>
      <c r="G224" s="31">
        <f t="shared" si="50"/>
        <v>43890</v>
      </c>
      <c r="H224" s="16"/>
      <c r="I224" s="25">
        <f t="shared" si="49"/>
        <v>-6.7335612158635594E-2</v>
      </c>
      <c r="J224" s="265">
        <v>-8.2318729964890869E-2</v>
      </c>
      <c r="K224" s="266">
        <v>-9.5100189080254749E-2</v>
      </c>
      <c r="L224" s="13"/>
      <c r="M224" s="264">
        <v>25375</v>
      </c>
      <c r="N224" s="148">
        <f t="shared" si="51"/>
        <v>39227.742541696047</v>
      </c>
      <c r="O224" s="146">
        <f t="shared" si="51"/>
        <v>33454.075994933264</v>
      </c>
      <c r="P224" s="13"/>
      <c r="Q224" s="29">
        <f t="shared" si="41"/>
        <v>1.5375000000000001</v>
      </c>
      <c r="R224" s="28">
        <f t="shared" si="43"/>
        <v>2.9227742541696049</v>
      </c>
      <c r="S224" s="27">
        <f t="shared" si="44"/>
        <v>2.3454075994933263</v>
      </c>
      <c r="T224" s="13"/>
    </row>
    <row r="225" spans="1:24">
      <c r="C225" s="315"/>
      <c r="D225" s="64"/>
      <c r="G225" s="31">
        <f t="shared" si="50"/>
        <v>43921</v>
      </c>
      <c r="H225" s="16"/>
      <c r="I225" s="25">
        <f t="shared" si="49"/>
        <v>-0.1270147783251232</v>
      </c>
      <c r="J225" s="265">
        <v>-0.12351353104680352</v>
      </c>
      <c r="K225" s="266">
        <v>-0.15253991507784248</v>
      </c>
      <c r="L225" s="13"/>
      <c r="M225" s="264">
        <v>22152</v>
      </c>
      <c r="N225" s="148">
        <f t="shared" si="51"/>
        <v>34382.585545376256</v>
      </c>
      <c r="O225" s="146">
        <f t="shared" si="51"/>
        <v>28350.994083658454</v>
      </c>
      <c r="P225" s="13"/>
      <c r="Q225" s="29">
        <f t="shared" si="41"/>
        <v>1.2152000000000001</v>
      </c>
      <c r="R225" s="28">
        <f t="shared" si="43"/>
        <v>2.4382585545376254</v>
      </c>
      <c r="S225" s="27">
        <f t="shared" si="44"/>
        <v>1.8350994083658454</v>
      </c>
      <c r="T225" s="13"/>
    </row>
    <row r="226" spans="1:24">
      <c r="C226" s="315"/>
      <c r="D226" s="64"/>
      <c r="G226" s="31">
        <f t="shared" si="50"/>
        <v>43951</v>
      </c>
      <c r="H226" s="16"/>
      <c r="I226" s="25">
        <f t="shared" si="49"/>
        <v>8.7080173347779066E-2</v>
      </c>
      <c r="J226" s="265">
        <v>0.12819403324982925</v>
      </c>
      <c r="K226" s="266">
        <v>0.10705811311646229</v>
      </c>
      <c r="L226" s="13"/>
      <c r="M226" s="264">
        <v>24081</v>
      </c>
      <c r="N226" s="148">
        <f t="shared" si="51"/>
        <v>38790.227859995321</v>
      </c>
      <c r="O226" s="146">
        <f t="shared" si="51"/>
        <v>31386.198015230915</v>
      </c>
      <c r="P226" s="13"/>
      <c r="Q226" s="29">
        <f t="shared" si="41"/>
        <v>1.4080999999999999</v>
      </c>
      <c r="R226" s="28">
        <f t="shared" si="43"/>
        <v>2.8790227859995321</v>
      </c>
      <c r="S226" s="27">
        <f t="shared" si="44"/>
        <v>2.1386198015230917</v>
      </c>
      <c r="T226" s="13"/>
    </row>
    <row r="227" spans="1:24">
      <c r="G227" s="31">
        <f t="shared" si="50"/>
        <v>43982</v>
      </c>
      <c r="H227" s="16"/>
      <c r="I227" s="25">
        <f t="shared" si="49"/>
        <v>2.7365973173871572E-2</v>
      </c>
      <c r="J227" s="265">
        <v>4.7627458500709929E-2</v>
      </c>
      <c r="K227" s="266">
        <v>3.1894776730962748E-2</v>
      </c>
      <c r="L227" s="13"/>
      <c r="M227" s="264">
        <v>24740</v>
      </c>
      <c r="N227" s="148">
        <f t="shared" si="51"/>
        <v>40637.707827630329</v>
      </c>
      <c r="O227" s="146">
        <f t="shared" si="51"/>
        <v>32387.253793360491</v>
      </c>
      <c r="P227" s="13"/>
      <c r="Q227" s="29">
        <f t="shared" si="41"/>
        <v>1.474</v>
      </c>
      <c r="R227" s="28">
        <f t="shared" si="43"/>
        <v>3.0637707827630329</v>
      </c>
      <c r="S227" s="27">
        <f t="shared" si="44"/>
        <v>2.2387253793360489</v>
      </c>
      <c r="T227" s="13"/>
    </row>
    <row r="228" spans="1:24">
      <c r="G228" s="31">
        <f t="shared" si="50"/>
        <v>44012</v>
      </c>
      <c r="H228" s="16"/>
      <c r="I228" s="25">
        <f t="shared" si="49"/>
        <v>-5.9013742926434798E-3</v>
      </c>
      <c r="J228" s="265">
        <v>1.9888211104706066E-2</v>
      </c>
      <c r="K228" s="266">
        <v>-9.5317347612544623E-3</v>
      </c>
      <c r="L228" s="13"/>
      <c r="M228" s="264">
        <v>24594</v>
      </c>
      <c r="N228" s="148">
        <f t="shared" si="51"/>
        <v>41445.919139717604</v>
      </c>
      <c r="O228" s="146">
        <f t="shared" si="51"/>
        <v>32078.547080556746</v>
      </c>
      <c r="P228" s="13"/>
      <c r="Q228" s="29">
        <f t="shared" si="41"/>
        <v>1.4594</v>
      </c>
      <c r="R228" s="28">
        <f t="shared" si="43"/>
        <v>3.1445919139717602</v>
      </c>
      <c r="S228" s="27">
        <f t="shared" si="44"/>
        <v>2.2078547080556747</v>
      </c>
      <c r="T228" s="13"/>
    </row>
    <row r="229" spans="1:24">
      <c r="G229" s="31">
        <f t="shared" si="50"/>
        <v>44043</v>
      </c>
      <c r="H229" s="16"/>
      <c r="I229" s="25">
        <f t="shared" si="49"/>
        <v>4.2693339838985045E-2</v>
      </c>
      <c r="J229" s="265">
        <v>5.6385171143966906E-2</v>
      </c>
      <c r="K229" s="266">
        <v>3.6559662183388353E-2</v>
      </c>
      <c r="L229" s="13"/>
      <c r="M229" s="264">
        <v>25644</v>
      </c>
      <c r="N229" s="148">
        <f t="shared" ref="N229:O237" si="52">N228*(1+J229)</f>
        <v>43782.854383629594</v>
      </c>
      <c r="O229" s="146">
        <f t="shared" si="52"/>
        <v>33251.32792515582</v>
      </c>
      <c r="P229" s="13"/>
      <c r="Q229" s="29">
        <f t="shared" si="41"/>
        <v>1.5644</v>
      </c>
      <c r="R229" s="28">
        <f t="shared" si="43"/>
        <v>3.3782854383629592</v>
      </c>
      <c r="S229" s="27">
        <f t="shared" si="44"/>
        <v>2.325132792515582</v>
      </c>
      <c r="T229" s="13"/>
    </row>
    <row r="230" spans="1:24">
      <c r="G230" s="31">
        <f t="shared" si="50"/>
        <v>44074</v>
      </c>
      <c r="H230" s="16"/>
      <c r="I230" s="25">
        <f t="shared" si="49"/>
        <v>2.5698019029792629E-2</v>
      </c>
      <c r="J230" s="265">
        <v>7.1879829682211405E-2</v>
      </c>
      <c r="K230" s="266">
        <v>3.5804085401201391E-2</v>
      </c>
      <c r="L230" s="13"/>
      <c r="M230" s="264">
        <v>26303</v>
      </c>
      <c r="N230" s="148">
        <f t="shared" si="52"/>
        <v>46929.958499725952</v>
      </c>
      <c r="O230" s="146">
        <f t="shared" si="52"/>
        <v>34441.86130989145</v>
      </c>
      <c r="P230" s="13"/>
      <c r="Q230" s="29">
        <f t="shared" si="41"/>
        <v>1.6303000000000001</v>
      </c>
      <c r="R230" s="28">
        <f t="shared" si="43"/>
        <v>3.6929958499725952</v>
      </c>
      <c r="S230" s="27">
        <f t="shared" si="44"/>
        <v>2.4441861309891451</v>
      </c>
      <c r="T230" s="13"/>
    </row>
    <row r="231" spans="1:24">
      <c r="G231" s="31">
        <f t="shared" si="50"/>
        <v>44104</v>
      </c>
      <c r="H231" s="16"/>
      <c r="I231" s="25">
        <f t="shared" si="49"/>
        <v>-2.1328365585674636E-2</v>
      </c>
      <c r="J231" s="265">
        <v>-3.7997194147475488E-2</v>
      </c>
      <c r="K231" s="266">
        <v>-2.3970278283856672E-2</v>
      </c>
      <c r="L231" s="13"/>
      <c r="M231" s="264">
        <v>25742</v>
      </c>
      <c r="N231" s="148">
        <f t="shared" si="52"/>
        <v>45146.7517552789</v>
      </c>
      <c r="O231" s="146">
        <f t="shared" si="52"/>
        <v>33616.280309679358</v>
      </c>
      <c r="P231" s="13"/>
      <c r="Q231" s="29">
        <f t="shared" si="41"/>
        <v>1.5742</v>
      </c>
      <c r="R231" s="28">
        <f t="shared" si="43"/>
        <v>3.51467517552789</v>
      </c>
      <c r="S231" s="27">
        <f t="shared" si="44"/>
        <v>2.3616280309679358</v>
      </c>
    </row>
    <row r="232" spans="1:24">
      <c r="G232" s="31">
        <f t="shared" si="50"/>
        <v>44135</v>
      </c>
      <c r="H232" s="16"/>
      <c r="I232" s="25">
        <f t="shared" si="49"/>
        <v>-1.2508740579597499E-2</v>
      </c>
      <c r="J232" s="265">
        <v>-2.6592646444557833E-2</v>
      </c>
      <c r="K232" s="266">
        <v>-0.02</v>
      </c>
      <c r="L232" s="13"/>
      <c r="M232" s="264">
        <v>25420</v>
      </c>
      <c r="N232" s="148">
        <f t="shared" si="52"/>
        <v>43946.180147730549</v>
      </c>
      <c r="O232" s="146">
        <f t="shared" si="52"/>
        <v>32943.954703485768</v>
      </c>
      <c r="P232" s="13"/>
      <c r="Q232" s="29">
        <f t="shared" si="41"/>
        <v>1.542</v>
      </c>
      <c r="R232" s="28">
        <f t="shared" si="43"/>
        <v>3.3946180147730547</v>
      </c>
      <c r="S232" s="27">
        <f t="shared" si="44"/>
        <v>2.2943954703485767</v>
      </c>
      <c r="T232" s="16"/>
    </row>
    <row r="233" spans="1:24">
      <c r="G233" s="31">
        <f t="shared" si="50"/>
        <v>44165</v>
      </c>
      <c r="H233" s="16"/>
      <c r="I233" s="25">
        <f t="shared" si="49"/>
        <v>5.4130605822187317E-2</v>
      </c>
      <c r="J233" s="265">
        <v>0.10946362497104611</v>
      </c>
      <c r="K233" s="266">
        <v>0.1288</v>
      </c>
      <c r="L233" s="13"/>
      <c r="M233" s="264">
        <v>26796</v>
      </c>
      <c r="N233" s="148">
        <f t="shared" si="52"/>
        <v>48756.688330331759</v>
      </c>
      <c r="O233" s="146">
        <f t="shared" si="52"/>
        <v>37187.136069294735</v>
      </c>
      <c r="P233" s="13"/>
      <c r="Q233" s="29">
        <f t="shared" si="41"/>
        <v>1.6796</v>
      </c>
      <c r="R233" s="28">
        <f t="shared" si="43"/>
        <v>3.8756688330331759</v>
      </c>
      <c r="S233" s="27">
        <f t="shared" si="44"/>
        <v>2.7187136069294735</v>
      </c>
      <c r="T233" s="16"/>
    </row>
    <row r="234" spans="1:24">
      <c r="G234" s="31">
        <f t="shared" si="50"/>
        <v>44196</v>
      </c>
      <c r="H234" s="16"/>
      <c r="I234" s="25">
        <f t="shared" si="49"/>
        <v>3.3027317510076148E-2</v>
      </c>
      <c r="J234" s="265">
        <v>3.8448567061827754E-2</v>
      </c>
      <c r="K234" s="266">
        <v>3.4997581538393607E-2</v>
      </c>
      <c r="L234" s="13"/>
      <c r="M234" s="264">
        <v>27681</v>
      </c>
      <c r="N234" s="148">
        <f t="shared" si="52"/>
        <v>50631.313131313153</v>
      </c>
      <c r="O234" s="146">
        <f t="shared" si="52"/>
        <v>38488.595896059218</v>
      </c>
      <c r="P234" s="13"/>
      <c r="Q234" s="29">
        <f t="shared" si="41"/>
        <v>1.7681</v>
      </c>
      <c r="R234" s="28">
        <f t="shared" si="43"/>
        <v>4.0631313131313149</v>
      </c>
      <c r="S234" s="27">
        <f t="shared" si="44"/>
        <v>2.8488595896059219</v>
      </c>
      <c r="T234" s="16"/>
    </row>
    <row r="235" spans="1:24">
      <c r="G235" s="31">
        <f t="shared" si="50"/>
        <v>44227</v>
      </c>
      <c r="H235" s="16"/>
      <c r="I235" s="25">
        <f t="shared" si="49"/>
        <v>7.1167949134784969E-3</v>
      </c>
      <c r="J235" s="265">
        <v>-1.009620651214338E-2</v>
      </c>
      <c r="K235" s="266">
        <v>-1.5814855521422921E-2</v>
      </c>
      <c r="L235" s="13"/>
      <c r="M235" s="264">
        <v>27878</v>
      </c>
      <c r="N235" s="148">
        <f t="shared" si="52"/>
        <v>50120.12893795842</v>
      </c>
      <c r="O235" s="146">
        <f t="shared" si="52"/>
        <v>37879.904312740611</v>
      </c>
      <c r="P235" s="13"/>
      <c r="Q235" s="29">
        <f t="shared" si="41"/>
        <v>1.7878000000000001</v>
      </c>
      <c r="R235" s="28">
        <f t="shared" si="43"/>
        <v>4.0120128937958421</v>
      </c>
      <c r="S235" s="27">
        <f t="shared" si="44"/>
        <v>2.7879904312740611</v>
      </c>
      <c r="T235" s="16"/>
    </row>
    <row r="236" spans="1:24">
      <c r="G236" s="31">
        <f t="shared" si="50"/>
        <v>44255</v>
      </c>
      <c r="H236" s="16"/>
      <c r="I236" s="25">
        <f t="shared" si="49"/>
        <v>1.7648324843962948E-2</v>
      </c>
      <c r="J236" s="265">
        <v>2.7574498666190994E-2</v>
      </c>
      <c r="K236" s="266">
        <v>5.917481922586143E-2</v>
      </c>
      <c r="L236" s="13"/>
      <c r="M236" s="264">
        <v>28370</v>
      </c>
      <c r="N236" s="148">
        <f t="shared" si="52"/>
        <v>51502.166366507474</v>
      </c>
      <c r="O236" s="146">
        <f t="shared" si="52"/>
        <v>40121.440802739962</v>
      </c>
      <c r="P236" s="13"/>
      <c r="Q236" s="29">
        <f t="shared" si="41"/>
        <v>1.837</v>
      </c>
      <c r="R236" s="28">
        <f t="shared" si="43"/>
        <v>4.1502166366507476</v>
      </c>
      <c r="S236" s="27">
        <f t="shared" si="44"/>
        <v>3.012144080273996</v>
      </c>
      <c r="T236" s="16"/>
    </row>
    <row r="237" spans="1:24">
      <c r="G237" s="31">
        <f t="shared" si="50"/>
        <v>44286</v>
      </c>
      <c r="H237" s="16"/>
      <c r="I237" s="25">
        <f t="shared" si="49"/>
        <v>4.7655974621078512E-2</v>
      </c>
      <c r="J237" s="265">
        <v>4.3795555701961586E-2</v>
      </c>
      <c r="K237" s="266">
        <v>6.2586249950714379E-2</v>
      </c>
      <c r="M237" s="264">
        <v>29722</v>
      </c>
      <c r="N237" s="148">
        <f t="shared" si="52"/>
        <v>53757.732362383547</v>
      </c>
      <c r="O237" s="146">
        <f t="shared" si="52"/>
        <v>42632.491325203038</v>
      </c>
      <c r="P237" s="13"/>
      <c r="Q237" s="29">
        <f t="shared" si="41"/>
        <v>1.9722</v>
      </c>
      <c r="R237" s="28">
        <f t="shared" si="43"/>
        <v>4.3757732362383548</v>
      </c>
      <c r="S237" s="27">
        <f t="shared" si="44"/>
        <v>3.2632491325203037</v>
      </c>
      <c r="T237" s="16"/>
    </row>
    <row r="238" spans="1:24">
      <c r="G238" s="20"/>
      <c r="H238" s="16"/>
      <c r="I238" s="19"/>
      <c r="J238" s="19"/>
      <c r="K238" s="19"/>
      <c r="L238"/>
      <c r="M238" s="205"/>
      <c r="N238" s="206"/>
      <c r="O238" s="205"/>
      <c r="P238" s="16"/>
      <c r="Q238" s="17"/>
      <c r="R238" s="15"/>
      <c r="S238" s="17"/>
      <c r="T238" s="16"/>
    </row>
    <row r="239" spans="1:24">
      <c r="G239" s="20"/>
      <c r="H239" s="16"/>
      <c r="I239" s="19"/>
      <c r="J239" s="19"/>
      <c r="K239" s="19"/>
      <c r="L239"/>
      <c r="M239" s="205"/>
      <c r="N239" s="206"/>
      <c r="O239" s="205"/>
      <c r="P239" s="16"/>
      <c r="Q239" s="17"/>
      <c r="R239" s="15"/>
      <c r="S239" s="17"/>
      <c r="T239" s="16"/>
    </row>
    <row r="240" spans="1:24" s="15" customFormat="1">
      <c r="A240"/>
      <c r="B240" s="14"/>
      <c r="C240" s="13"/>
      <c r="D240" s="13"/>
      <c r="E240" s="13"/>
      <c r="F240"/>
      <c r="G240" s="20"/>
      <c r="H240" s="16"/>
      <c r="I240" s="19"/>
      <c r="J240" s="19"/>
      <c r="K240" s="19"/>
      <c r="L240"/>
      <c r="M240" s="205"/>
      <c r="N240" s="206"/>
      <c r="O240" s="205"/>
      <c r="P240" s="16"/>
      <c r="Q240" s="17"/>
      <c r="S240" s="17"/>
      <c r="T240" s="16"/>
      <c r="U240"/>
      <c r="V240"/>
      <c r="W240"/>
      <c r="X240"/>
    </row>
    <row r="241" spans="1:24" s="15" customFormat="1">
      <c r="A241"/>
      <c r="B241" s="14"/>
      <c r="C241" s="13"/>
      <c r="D241" s="13"/>
      <c r="E241" s="13"/>
      <c r="F241"/>
      <c r="G241" s="20"/>
      <c r="H241" s="16"/>
      <c r="I241" s="19"/>
      <c r="J241" s="19"/>
      <c r="K241" s="19"/>
      <c r="L241"/>
      <c r="M241" s="18"/>
      <c r="O241" s="18"/>
      <c r="P241" s="16"/>
      <c r="Q241" s="17"/>
      <c r="S241" s="17"/>
      <c r="T241" s="16"/>
      <c r="U241"/>
      <c r="V241"/>
      <c r="W241"/>
      <c r="X241"/>
    </row>
    <row r="242" spans="1:24" s="15" customFormat="1">
      <c r="A242"/>
      <c r="B242" s="14"/>
      <c r="C242" s="13"/>
      <c r="D242" s="13"/>
      <c r="E242" s="13"/>
      <c r="F242"/>
      <c r="G242" s="20"/>
      <c r="H242" s="16"/>
      <c r="I242" s="19"/>
      <c r="J242" s="19"/>
      <c r="K242" s="19"/>
      <c r="L242"/>
      <c r="M242" s="18"/>
      <c r="O242" s="18"/>
      <c r="P242" s="16"/>
      <c r="Q242" s="17"/>
      <c r="S242" s="17"/>
      <c r="T242" s="16"/>
      <c r="U242"/>
      <c r="V242"/>
      <c r="W242"/>
      <c r="X242"/>
    </row>
    <row r="243" spans="1:24" s="15" customFormat="1">
      <c r="A243"/>
      <c r="B243" s="14"/>
      <c r="C243" s="13"/>
      <c r="D243" s="13"/>
      <c r="E243" s="13"/>
      <c r="F243"/>
      <c r="G243" s="20"/>
      <c r="H243" s="16"/>
      <c r="I243" s="19"/>
      <c r="J243" s="19"/>
      <c r="K243" s="19"/>
      <c r="L243"/>
      <c r="M243" s="18"/>
      <c r="O243" s="18"/>
      <c r="P243" s="16"/>
      <c r="Q243" s="17"/>
      <c r="S243" s="17"/>
      <c r="T243" s="16"/>
      <c r="U243"/>
      <c r="V243"/>
      <c r="W243"/>
      <c r="X243"/>
    </row>
    <row r="244" spans="1:24" s="15" customFormat="1">
      <c r="A244"/>
      <c r="B244" s="14"/>
      <c r="C244" s="13"/>
      <c r="D244" s="13"/>
      <c r="E244" s="13"/>
      <c r="F244"/>
      <c r="G244" s="20"/>
      <c r="H244" s="16"/>
      <c r="I244" s="19"/>
      <c r="J244" s="19"/>
      <c r="K244" s="19"/>
      <c r="L244"/>
      <c r="M244" s="18"/>
      <c r="O244" s="18"/>
      <c r="P244" s="16"/>
      <c r="Q244" s="17"/>
      <c r="S244" s="17"/>
      <c r="T244" s="16"/>
      <c r="U244"/>
      <c r="V244"/>
      <c r="W244"/>
      <c r="X244"/>
    </row>
    <row r="245" spans="1:24" s="15" customFormat="1">
      <c r="A245"/>
      <c r="B245" s="14"/>
      <c r="C245" s="13"/>
      <c r="D245" s="13"/>
      <c r="E245" s="13"/>
      <c r="F245"/>
      <c r="G245" s="20"/>
      <c r="H245" s="16"/>
      <c r="I245" s="19"/>
      <c r="J245" s="19"/>
      <c r="K245" s="19"/>
      <c r="L245"/>
      <c r="M245" s="18"/>
      <c r="O245" s="18"/>
      <c r="P245" s="16"/>
      <c r="Q245" s="17"/>
      <c r="S245" s="17"/>
      <c r="T245" s="16"/>
      <c r="U245"/>
      <c r="V245"/>
      <c r="W245"/>
      <c r="X245"/>
    </row>
    <row r="246" spans="1:24" s="15" customFormat="1">
      <c r="A246"/>
      <c r="B246" s="14"/>
      <c r="C246" s="13"/>
      <c r="D246" s="13"/>
      <c r="E246" s="13"/>
      <c r="F246"/>
      <c r="G246" s="20"/>
      <c r="H246" s="16"/>
      <c r="I246" s="19"/>
      <c r="J246" s="19"/>
      <c r="K246" s="19"/>
      <c r="L246"/>
      <c r="M246" s="18"/>
      <c r="O246" s="18"/>
      <c r="P246" s="16"/>
      <c r="Q246" s="17"/>
      <c r="S246" s="17"/>
      <c r="T246" s="16"/>
      <c r="U246"/>
      <c r="V246"/>
      <c r="W246"/>
      <c r="X246"/>
    </row>
    <row r="247" spans="1:24">
      <c r="G247" s="20"/>
      <c r="H247" s="16"/>
      <c r="I247" s="19"/>
      <c r="J247" s="19"/>
      <c r="K247" s="19"/>
      <c r="L247"/>
      <c r="M247" s="18"/>
      <c r="N247" s="15"/>
      <c r="O247" s="18"/>
      <c r="P247" s="16"/>
      <c r="Q247" s="17"/>
      <c r="R247" s="15"/>
      <c r="S247" s="17"/>
      <c r="T247" s="16"/>
    </row>
    <row r="248" spans="1:24">
      <c r="G248" s="20"/>
      <c r="H248" s="16"/>
      <c r="I248" s="19"/>
      <c r="J248" s="19"/>
      <c r="K248" s="19"/>
      <c r="L248"/>
      <c r="M248" s="18"/>
      <c r="N248" s="15"/>
      <c r="O248" s="18"/>
      <c r="P248" s="16"/>
      <c r="Q248" s="17"/>
      <c r="R248" s="15"/>
      <c r="S248" s="17"/>
      <c r="T248" s="16"/>
    </row>
    <row r="249" spans="1:24">
      <c r="G249" s="20"/>
      <c r="H249" s="16"/>
      <c r="I249" s="19"/>
      <c r="J249" s="19"/>
      <c r="K249" s="19"/>
      <c r="L249"/>
      <c r="M249" s="18"/>
      <c r="N249" s="15"/>
      <c r="O249" s="18"/>
      <c r="P249" s="16"/>
      <c r="Q249" s="17"/>
      <c r="R249" s="15"/>
      <c r="S249" s="17"/>
      <c r="T249" s="16"/>
    </row>
    <row r="250" spans="1:24">
      <c r="G250" s="20"/>
      <c r="H250" s="16"/>
      <c r="I250" s="19"/>
      <c r="J250" s="19"/>
      <c r="K250" s="19"/>
      <c r="L250"/>
      <c r="M250" s="18"/>
      <c r="N250" s="15"/>
      <c r="O250" s="18"/>
      <c r="P250" s="16"/>
      <c r="Q250" s="17"/>
      <c r="R250" s="15"/>
      <c r="S250" s="17"/>
      <c r="T250" s="16"/>
    </row>
    <row r="251" spans="1:24">
      <c r="G251" s="20"/>
      <c r="H251" s="16"/>
      <c r="I251" s="19"/>
      <c r="J251" s="19"/>
      <c r="K251" s="19"/>
      <c r="L251"/>
      <c r="M251" s="18"/>
      <c r="N251" s="15"/>
      <c r="O251" s="18"/>
      <c r="P251" s="16"/>
      <c r="Q251" s="17"/>
      <c r="R251" s="15"/>
      <c r="S251" s="17"/>
      <c r="T251" s="16"/>
    </row>
    <row r="252" spans="1:24">
      <c r="G252" s="20"/>
      <c r="H252" s="16"/>
      <c r="I252" s="19"/>
      <c r="J252" s="19"/>
      <c r="K252" s="19"/>
      <c r="L252"/>
      <c r="M252" s="18"/>
      <c r="N252" s="15"/>
      <c r="O252" s="18"/>
      <c r="P252" s="16"/>
      <c r="Q252" s="17"/>
      <c r="R252" s="15"/>
      <c r="S252" s="17"/>
      <c r="T252" s="16"/>
    </row>
    <row r="253" spans="1:24">
      <c r="G253" s="20"/>
      <c r="H253" s="16"/>
      <c r="I253" s="19"/>
      <c r="J253" s="19"/>
      <c r="K253" s="19"/>
      <c r="L253"/>
      <c r="M253" s="18"/>
      <c r="N253" s="15"/>
      <c r="O253" s="18"/>
      <c r="P253" s="16"/>
      <c r="Q253" s="17"/>
      <c r="R253" s="15"/>
      <c r="S253" s="17"/>
      <c r="T253" s="16"/>
    </row>
    <row r="254" spans="1:24">
      <c r="G254" s="20"/>
      <c r="H254" s="16"/>
      <c r="I254" s="19"/>
      <c r="J254" s="19"/>
      <c r="K254" s="19"/>
      <c r="L254"/>
      <c r="M254" s="18"/>
      <c r="N254" s="15"/>
      <c r="O254" s="18"/>
      <c r="P254" s="16"/>
      <c r="Q254" s="17"/>
      <c r="R254" s="15"/>
      <c r="S254" s="17"/>
      <c r="T254" s="16"/>
    </row>
    <row r="255" spans="1:24">
      <c r="G255" s="20"/>
      <c r="H255" s="16"/>
      <c r="I255" s="19"/>
      <c r="J255" s="19"/>
      <c r="K255" s="19"/>
      <c r="L255"/>
      <c r="M255" s="18"/>
      <c r="N255" s="15"/>
      <c r="O255" s="18"/>
      <c r="P255" s="16"/>
      <c r="Q255" s="17"/>
      <c r="R255" s="15"/>
      <c r="S255" s="17"/>
      <c r="T255" s="16"/>
    </row>
    <row r="256" spans="1:24">
      <c r="G256" s="20"/>
      <c r="H256" s="16"/>
      <c r="I256" s="19"/>
      <c r="J256" s="19"/>
      <c r="K256" s="19"/>
      <c r="L256"/>
      <c r="M256" s="18"/>
      <c r="N256" s="15"/>
      <c r="O256" s="18"/>
      <c r="P256" s="16"/>
      <c r="Q256" s="17"/>
      <c r="R256" s="15"/>
      <c r="S256" s="17"/>
      <c r="T256" s="16"/>
    </row>
    <row r="257" spans="7:24">
      <c r="G257" s="20"/>
      <c r="H257" s="16"/>
      <c r="I257" s="19"/>
      <c r="J257" s="19"/>
      <c r="K257" s="19"/>
      <c r="L257"/>
      <c r="M257" s="18"/>
      <c r="N257" s="15"/>
      <c r="O257" s="18"/>
      <c r="P257" s="16"/>
      <c r="Q257" s="17"/>
      <c r="R257" s="15"/>
      <c r="S257" s="17"/>
      <c r="T257" s="16"/>
    </row>
    <row r="258" spans="7:24">
      <c r="G258" s="20"/>
      <c r="H258" s="16"/>
      <c r="I258" s="19"/>
      <c r="J258" s="19"/>
      <c r="K258" s="19"/>
      <c r="L258"/>
      <c r="M258" s="18"/>
      <c r="N258" s="15"/>
      <c r="O258" s="18"/>
      <c r="P258" s="16"/>
      <c r="Q258" s="17"/>
      <c r="R258" s="15"/>
      <c r="S258" s="17"/>
      <c r="T258" s="16"/>
    </row>
    <row r="259" spans="7:24">
      <c r="G259" s="20"/>
      <c r="H259" s="16"/>
      <c r="I259" s="19"/>
      <c r="J259" s="19"/>
      <c r="K259" s="19"/>
      <c r="L259"/>
      <c r="M259" s="18"/>
      <c r="N259" s="15"/>
      <c r="O259" s="18"/>
      <c r="P259" s="16"/>
      <c r="Q259" s="17"/>
      <c r="R259" s="15"/>
      <c r="S259" s="17"/>
      <c r="T259" s="16"/>
    </row>
    <row r="260" spans="7:24">
      <c r="G260" s="20"/>
      <c r="H260" s="16"/>
      <c r="I260" s="19"/>
      <c r="J260" s="19"/>
      <c r="K260" s="19"/>
      <c r="L260"/>
      <c r="M260" s="18"/>
      <c r="N260" s="15"/>
      <c r="O260" s="18"/>
      <c r="P260" s="16"/>
      <c r="Q260" s="17"/>
      <c r="R260" s="15"/>
      <c r="S260" s="17"/>
      <c r="T260" s="16"/>
    </row>
    <row r="261" spans="7:24">
      <c r="G261" s="20"/>
      <c r="H261" s="16"/>
      <c r="I261" s="19"/>
      <c r="J261" s="19"/>
      <c r="K261" s="19"/>
      <c r="L261"/>
      <c r="M261" s="18"/>
      <c r="N261" s="15"/>
      <c r="O261" s="18"/>
      <c r="P261" s="16"/>
      <c r="Q261" s="17"/>
      <c r="R261" s="15"/>
      <c r="S261" s="17"/>
      <c r="T261" s="16"/>
      <c r="U261" s="15"/>
      <c r="V261" s="15"/>
      <c r="W261" s="15"/>
      <c r="X261" s="15"/>
    </row>
    <row r="262" spans="7:24">
      <c r="G262" s="20"/>
      <c r="H262" s="16"/>
      <c r="I262" s="19"/>
      <c r="J262" s="19"/>
      <c r="K262" s="19"/>
      <c r="L262"/>
      <c r="M262" s="18"/>
      <c r="N262" s="15"/>
      <c r="O262" s="18"/>
      <c r="P262" s="16"/>
      <c r="Q262" s="17"/>
      <c r="R262" s="15"/>
      <c r="S262" s="17"/>
      <c r="T262" s="16"/>
      <c r="U262" s="15"/>
      <c r="V262" s="15"/>
      <c r="W262" s="15"/>
      <c r="X262" s="15"/>
    </row>
    <row r="263" spans="7:24">
      <c r="G263" s="20"/>
      <c r="H263" s="16"/>
      <c r="I263" s="19"/>
      <c r="J263" s="19"/>
      <c r="K263" s="19"/>
      <c r="L263"/>
      <c r="M263" s="18"/>
      <c r="N263" s="15"/>
      <c r="O263" s="18"/>
      <c r="P263" s="16"/>
      <c r="Q263" s="17"/>
      <c r="R263" s="15"/>
      <c r="S263" s="17"/>
      <c r="T263" s="16"/>
      <c r="U263" s="15"/>
      <c r="V263" s="15"/>
      <c r="W263" s="15"/>
      <c r="X263" s="15"/>
    </row>
    <row r="264" spans="7:24">
      <c r="G264" s="20"/>
      <c r="H264" s="16"/>
      <c r="I264" s="19"/>
      <c r="J264" s="19"/>
      <c r="K264" s="19"/>
      <c r="L264"/>
      <c r="M264" s="18"/>
      <c r="N264" s="15"/>
      <c r="O264" s="18"/>
      <c r="P264" s="16"/>
      <c r="Q264" s="17"/>
      <c r="R264" s="15"/>
      <c r="S264" s="17"/>
      <c r="T264" s="16"/>
      <c r="U264" s="15"/>
      <c r="V264" s="15"/>
      <c r="W264" s="15"/>
      <c r="X264" s="15"/>
    </row>
    <row r="265" spans="7:24">
      <c r="G265" s="20"/>
      <c r="H265" s="16"/>
      <c r="I265" s="19"/>
      <c r="J265" s="19"/>
      <c r="K265" s="19"/>
      <c r="L265"/>
      <c r="M265" s="18"/>
      <c r="N265" s="15"/>
      <c r="O265" s="18"/>
      <c r="P265" s="16"/>
      <c r="Q265" s="17"/>
      <c r="R265" s="15"/>
      <c r="S265" s="17"/>
      <c r="T265" s="16"/>
      <c r="U265" s="15"/>
      <c r="V265" s="15"/>
      <c r="W265" s="15"/>
      <c r="X265" s="15"/>
    </row>
    <row r="266" spans="7:24">
      <c r="G266" s="20"/>
      <c r="H266" s="16"/>
      <c r="I266" s="19"/>
      <c r="J266" s="19"/>
      <c r="K266" s="19"/>
      <c r="L266"/>
      <c r="M266" s="18"/>
      <c r="N266" s="15"/>
      <c r="O266" s="18"/>
      <c r="P266" s="16"/>
      <c r="Q266" s="17"/>
      <c r="R266" s="15"/>
      <c r="S266" s="17"/>
      <c r="T266" s="16"/>
      <c r="U266" s="15"/>
      <c r="V266" s="15"/>
      <c r="W266" s="15"/>
      <c r="X266" s="15"/>
    </row>
    <row r="267" spans="7:24">
      <c r="G267" s="20"/>
      <c r="H267" s="16"/>
      <c r="I267" s="19"/>
      <c r="J267" s="19"/>
      <c r="K267" s="19"/>
      <c r="L267"/>
      <c r="M267" s="18"/>
      <c r="N267" s="15"/>
      <c r="O267" s="18"/>
      <c r="P267" s="16"/>
      <c r="Q267" s="17"/>
      <c r="R267" s="15"/>
      <c r="S267" s="17"/>
      <c r="T267" s="16"/>
      <c r="U267" s="15"/>
      <c r="V267" s="15"/>
      <c r="W267" s="15"/>
      <c r="X267" s="15"/>
    </row>
    <row r="268" spans="7:24">
      <c r="G268" s="20"/>
      <c r="H268" s="16"/>
      <c r="I268" s="19"/>
      <c r="J268" s="19"/>
      <c r="K268" s="19"/>
      <c r="L268"/>
      <c r="M268" s="18"/>
      <c r="N268" s="15"/>
      <c r="O268" s="18"/>
      <c r="P268" s="16"/>
      <c r="Q268" s="17"/>
      <c r="R268" s="15"/>
      <c r="S268" s="17"/>
      <c r="T268" s="16"/>
    </row>
    <row r="269" spans="7:24">
      <c r="G269" s="20"/>
      <c r="H269" s="16"/>
      <c r="I269" s="19"/>
      <c r="J269" s="19"/>
      <c r="K269" s="19"/>
      <c r="L269"/>
      <c r="M269" s="18"/>
      <c r="N269" s="15"/>
      <c r="O269" s="18"/>
      <c r="P269" s="16"/>
      <c r="Q269" s="17"/>
      <c r="R269" s="15"/>
      <c r="S269" s="17"/>
      <c r="T269" s="16"/>
    </row>
    <row r="270" spans="7:24">
      <c r="G270" s="20"/>
      <c r="H270" s="16"/>
      <c r="I270" s="19"/>
      <c r="J270" s="19"/>
      <c r="K270" s="19"/>
      <c r="L270"/>
      <c r="M270" s="18"/>
      <c r="N270" s="15"/>
      <c r="O270" s="18"/>
      <c r="P270" s="16"/>
      <c r="Q270" s="17"/>
      <c r="R270" s="15"/>
      <c r="S270" s="17"/>
      <c r="T270" s="16"/>
    </row>
    <row r="271" spans="7:24">
      <c r="G271" s="20"/>
      <c r="H271" s="16"/>
      <c r="I271" s="19"/>
      <c r="J271" s="19"/>
      <c r="K271" s="19"/>
      <c r="L271"/>
      <c r="M271" s="18"/>
      <c r="N271" s="15"/>
      <c r="O271" s="18"/>
      <c r="P271" s="16"/>
      <c r="Q271" s="17"/>
      <c r="R271" s="15"/>
      <c r="S271" s="17"/>
      <c r="T271" s="16"/>
    </row>
    <row r="272" spans="7:24">
      <c r="G272" s="20"/>
      <c r="H272" s="16"/>
      <c r="I272" s="19"/>
      <c r="J272" s="19"/>
      <c r="K272" s="19"/>
      <c r="L272"/>
      <c r="M272" s="18"/>
      <c r="N272" s="15"/>
      <c r="O272" s="18"/>
      <c r="P272" s="16"/>
      <c r="Q272" s="17"/>
      <c r="R272" s="15"/>
      <c r="S272" s="17"/>
      <c r="T272" s="16"/>
    </row>
    <row r="273" spans="7:20">
      <c r="G273" s="20"/>
      <c r="H273" s="16"/>
      <c r="I273" s="19"/>
      <c r="J273" s="19"/>
      <c r="K273" s="19"/>
      <c r="L273"/>
      <c r="M273" s="18"/>
      <c r="N273" s="15"/>
      <c r="O273" s="18"/>
      <c r="P273" s="16"/>
      <c r="Q273" s="17"/>
      <c r="R273" s="15"/>
      <c r="S273" s="17"/>
      <c r="T273" s="16"/>
    </row>
    <row r="274" spans="7:20">
      <c r="G274" s="20"/>
      <c r="H274" s="16"/>
      <c r="I274" s="19"/>
      <c r="J274" s="19"/>
      <c r="K274" s="19"/>
      <c r="L274"/>
      <c r="M274" s="18"/>
      <c r="N274" s="15"/>
      <c r="O274" s="18"/>
      <c r="P274" s="16"/>
      <c r="Q274" s="17"/>
      <c r="R274" s="15"/>
      <c r="S274" s="17"/>
      <c r="T274" s="16"/>
    </row>
    <row r="275" spans="7:20">
      <c r="G275" s="20"/>
      <c r="H275" s="16"/>
      <c r="I275" s="19"/>
      <c r="J275" s="19"/>
      <c r="K275" s="19"/>
      <c r="L275"/>
      <c r="M275" s="18"/>
      <c r="N275" s="15"/>
      <c r="O275" s="18"/>
      <c r="P275" s="16"/>
      <c r="Q275" s="17"/>
      <c r="R275" s="15"/>
      <c r="S275" s="17"/>
      <c r="T275" s="16"/>
    </row>
    <row r="276" spans="7:20">
      <c r="G276" s="20"/>
      <c r="H276" s="16"/>
      <c r="I276" s="19"/>
      <c r="J276" s="19"/>
      <c r="K276" s="19"/>
      <c r="L276"/>
      <c r="M276" s="18"/>
      <c r="N276" s="15"/>
      <c r="O276" s="18"/>
      <c r="P276" s="16"/>
      <c r="Q276" s="17"/>
      <c r="R276" s="15"/>
      <c r="S276" s="17"/>
      <c r="T276" s="16"/>
    </row>
    <row r="277" spans="7:20">
      <c r="G277" s="20"/>
      <c r="H277" s="16"/>
      <c r="I277" s="19"/>
      <c r="J277" s="19"/>
      <c r="K277" s="19"/>
      <c r="L277"/>
      <c r="M277" s="18"/>
      <c r="N277" s="15"/>
      <c r="O277" s="18"/>
      <c r="P277" s="16"/>
      <c r="Q277" s="17"/>
      <c r="R277" s="15"/>
      <c r="S277" s="17"/>
      <c r="T277" s="16"/>
    </row>
    <row r="278" spans="7:20">
      <c r="G278" s="20"/>
      <c r="H278" s="16"/>
      <c r="I278" s="19"/>
      <c r="J278" s="19"/>
      <c r="K278" s="19"/>
      <c r="L278"/>
      <c r="M278" s="18"/>
      <c r="N278" s="15"/>
      <c r="O278" s="18"/>
      <c r="P278" s="16"/>
      <c r="Q278" s="17"/>
      <c r="R278" s="15"/>
      <c r="S278" s="17"/>
      <c r="T278" s="16"/>
    </row>
    <row r="279" spans="7:20">
      <c r="G279" s="20"/>
      <c r="H279" s="16"/>
      <c r="I279" s="19"/>
      <c r="J279" s="19"/>
      <c r="K279" s="19"/>
      <c r="L279"/>
      <c r="M279" s="18"/>
      <c r="N279" s="15"/>
      <c r="O279" s="18"/>
      <c r="P279" s="16"/>
      <c r="Q279" s="17"/>
      <c r="R279" s="15"/>
      <c r="S279" s="17"/>
      <c r="T279" s="16"/>
    </row>
    <row r="280" spans="7:20">
      <c r="G280" s="20"/>
      <c r="H280" s="16"/>
      <c r="I280" s="19"/>
      <c r="J280" s="19"/>
      <c r="K280" s="19"/>
      <c r="L280"/>
      <c r="M280" s="18"/>
      <c r="N280" s="15"/>
      <c r="O280" s="18"/>
      <c r="P280" s="16"/>
      <c r="Q280" s="17"/>
      <c r="R280" s="15"/>
      <c r="S280" s="17"/>
      <c r="T280" s="16"/>
    </row>
    <row r="281" spans="7:20">
      <c r="G281" s="20"/>
      <c r="H281" s="16"/>
      <c r="I281" s="19"/>
      <c r="J281" s="19"/>
      <c r="K281" s="19"/>
      <c r="L281"/>
      <c r="M281" s="18"/>
      <c r="N281" s="15"/>
      <c r="O281" s="18"/>
      <c r="P281" s="16"/>
      <c r="Q281" s="17"/>
      <c r="R281" s="15"/>
      <c r="S281" s="17"/>
      <c r="T281" s="16"/>
    </row>
    <row r="282" spans="7:20">
      <c r="G282" s="20"/>
      <c r="H282" s="16"/>
      <c r="I282" s="19"/>
      <c r="J282" s="19"/>
      <c r="K282" s="19"/>
      <c r="L282"/>
      <c r="M282" s="18"/>
      <c r="N282" s="15"/>
      <c r="O282" s="18"/>
      <c r="P282" s="16"/>
      <c r="Q282" s="17"/>
      <c r="R282" s="15"/>
      <c r="S282" s="17"/>
      <c r="T282" s="16"/>
    </row>
    <row r="283" spans="7:20">
      <c r="G283" s="20"/>
      <c r="H283" s="16"/>
      <c r="I283" s="19"/>
      <c r="J283" s="19"/>
      <c r="K283" s="19"/>
      <c r="L283"/>
      <c r="M283" s="18"/>
      <c r="N283" s="15"/>
      <c r="O283" s="18"/>
      <c r="P283" s="16"/>
      <c r="Q283" s="17"/>
      <c r="R283" s="15"/>
      <c r="S283" s="17"/>
      <c r="T283" s="16"/>
    </row>
    <row r="284" spans="7:20">
      <c r="G284" s="20"/>
      <c r="H284" s="16"/>
      <c r="I284" s="19"/>
      <c r="J284" s="19"/>
      <c r="K284" s="19"/>
      <c r="L284"/>
      <c r="M284" s="18"/>
      <c r="N284" s="15"/>
      <c r="O284" s="18"/>
      <c r="P284" s="16"/>
      <c r="Q284" s="17"/>
      <c r="R284" s="15"/>
      <c r="S284" s="17"/>
      <c r="T284" s="16"/>
    </row>
    <row r="285" spans="7:20">
      <c r="G285" s="20"/>
      <c r="H285" s="16"/>
      <c r="I285" s="19"/>
      <c r="J285" s="19"/>
      <c r="K285" s="19"/>
      <c r="L285"/>
      <c r="M285" s="18"/>
      <c r="N285" s="15"/>
      <c r="O285" s="18"/>
      <c r="P285" s="16"/>
      <c r="Q285" s="17"/>
      <c r="R285" s="15"/>
      <c r="S285" s="17"/>
      <c r="T285" s="16"/>
    </row>
    <row r="286" spans="7:20">
      <c r="G286" s="20"/>
      <c r="H286" s="16"/>
      <c r="I286" s="19"/>
      <c r="J286" s="19"/>
      <c r="K286" s="19"/>
      <c r="L286"/>
      <c r="M286" s="18"/>
      <c r="N286" s="15"/>
      <c r="O286" s="18"/>
      <c r="P286" s="16"/>
      <c r="Q286" s="17"/>
      <c r="R286" s="15"/>
      <c r="S286" s="17"/>
      <c r="T286" s="16"/>
    </row>
    <row r="287" spans="7:20">
      <c r="G287" s="20"/>
      <c r="H287" s="16"/>
      <c r="I287" s="19"/>
      <c r="J287" s="19"/>
      <c r="K287" s="19"/>
      <c r="L287"/>
      <c r="M287" s="18"/>
      <c r="N287" s="15"/>
      <c r="O287" s="18"/>
      <c r="P287" s="16"/>
      <c r="Q287" s="17"/>
      <c r="R287" s="15"/>
      <c r="S287" s="17"/>
      <c r="T287" s="16"/>
    </row>
    <row r="288" spans="7:20">
      <c r="G288" s="20"/>
      <c r="H288" s="16"/>
      <c r="I288" s="19"/>
      <c r="J288" s="19"/>
      <c r="K288" s="19"/>
      <c r="L288"/>
      <c r="M288" s="18"/>
      <c r="N288" s="15"/>
      <c r="O288" s="18"/>
      <c r="P288" s="16"/>
      <c r="Q288" s="17"/>
      <c r="R288" s="15"/>
      <c r="S288" s="17"/>
      <c r="T288" s="16"/>
    </row>
    <row r="289" spans="7:20">
      <c r="G289" s="20"/>
      <c r="H289" s="16"/>
      <c r="I289" s="19"/>
      <c r="J289" s="19"/>
      <c r="K289" s="19"/>
      <c r="L289"/>
      <c r="M289" s="18"/>
      <c r="N289" s="15"/>
      <c r="O289" s="18"/>
      <c r="P289" s="16"/>
      <c r="Q289" s="17"/>
      <c r="R289" s="15"/>
      <c r="S289" s="17"/>
      <c r="T289" s="16"/>
    </row>
    <row r="290" spans="7:20">
      <c r="G290" s="20"/>
      <c r="H290" s="16"/>
      <c r="I290" s="19"/>
      <c r="J290" s="19"/>
      <c r="K290" s="19"/>
      <c r="L290"/>
      <c r="M290" s="18"/>
      <c r="N290" s="15"/>
      <c r="O290" s="18"/>
      <c r="P290" s="16"/>
      <c r="Q290" s="17"/>
      <c r="R290" s="15"/>
      <c r="S290" s="17"/>
    </row>
    <row r="291" spans="7:20">
      <c r="G291" s="20"/>
      <c r="H291" s="16"/>
      <c r="I291" s="19"/>
      <c r="J291" s="19"/>
      <c r="K291" s="19"/>
      <c r="L291"/>
      <c r="M291" s="18"/>
      <c r="N291" s="15"/>
      <c r="O291" s="18"/>
      <c r="P291" s="16"/>
      <c r="Q291" s="17"/>
      <c r="R291" s="15"/>
      <c r="S291" s="17"/>
    </row>
    <row r="292" spans="7:20">
      <c r="G292" s="20"/>
      <c r="H292" s="16"/>
      <c r="I292" s="19"/>
      <c r="J292" s="19"/>
      <c r="K292" s="19"/>
      <c r="L292"/>
      <c r="M292" s="18"/>
      <c r="N292" s="15"/>
      <c r="O292" s="18"/>
      <c r="P292" s="16"/>
      <c r="Q292" s="17"/>
      <c r="R292" s="15"/>
      <c r="S292" s="17"/>
    </row>
    <row r="293" spans="7:20">
      <c r="I293" s="19"/>
      <c r="J293" s="19"/>
      <c r="K293" s="19"/>
      <c r="L293"/>
      <c r="M293" s="18"/>
      <c r="N293" s="15"/>
      <c r="O293" s="18"/>
      <c r="P293" s="16"/>
      <c r="Q293" s="17"/>
      <c r="R293" s="15"/>
      <c r="S293" s="17"/>
    </row>
    <row r="294" spans="7:20">
      <c r="I294" s="19"/>
      <c r="J294" s="19"/>
      <c r="K294" s="19"/>
      <c r="L294"/>
      <c r="M294" s="18"/>
      <c r="N294" s="15"/>
      <c r="O294" s="18"/>
      <c r="P294" s="16"/>
      <c r="Q294" s="17"/>
      <c r="R294" s="15"/>
      <c r="S294" s="17"/>
    </row>
    <row r="295" spans="7:20">
      <c r="I295" s="19"/>
      <c r="J295" s="19"/>
      <c r="K295" s="19"/>
      <c r="L295"/>
      <c r="M295" s="18"/>
      <c r="N295" s="15"/>
      <c r="O295" s="18"/>
      <c r="P295" s="16"/>
      <c r="Q295" s="17"/>
      <c r="R295" s="15"/>
      <c r="S295" s="17"/>
    </row>
  </sheetData>
  <mergeCells count="8">
    <mergeCell ref="V1:X1"/>
    <mergeCell ref="A7:A8"/>
    <mergeCell ref="I1:K1"/>
    <mergeCell ref="M1:O1"/>
    <mergeCell ref="Q1:S1"/>
    <mergeCell ref="C6:E6"/>
    <mergeCell ref="C7:E7"/>
    <mergeCell ref="C8:E8"/>
  </mergeCells>
  <dataValidations disablePrompts="1" count="1">
    <dataValidation type="list" allowBlank="1" showInputMessage="1" showErrorMessage="1" sqref="A9:A43" xr:uid="{93CC499D-FA85-48AA-A24E-F412D9757F34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29CB998-519A-4B75-9525-B80B6A97D091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40"/>
  <sheetViews>
    <sheetView zoomScale="115" zoomScaleNormal="115" workbookViewId="0">
      <selection activeCell="D10" sqref="D10"/>
    </sheetView>
  </sheetViews>
  <sheetFormatPr defaultColWidth="8.85546875" defaultRowHeight="15"/>
  <cols>
    <col min="1" max="1" width="3.5703125" style="284" customWidth="1"/>
    <col min="2" max="2" width="2.5703125" style="94" bestFit="1" customWidth="1"/>
    <col min="3" max="4" width="21.140625" style="281" customWidth="1"/>
    <col min="5" max="5" width="10" style="282" bestFit="1" customWidth="1"/>
    <col min="6" max="6" width="13.42578125" style="282" bestFit="1" customWidth="1"/>
    <col min="7" max="7" width="14.85546875" style="282" bestFit="1" customWidth="1"/>
    <col min="8" max="8" width="13.42578125" style="282" bestFit="1" customWidth="1"/>
    <col min="9" max="9" width="7.85546875" style="282" bestFit="1" customWidth="1"/>
    <col min="10" max="10" width="8.7109375" style="282" bestFit="1" customWidth="1"/>
    <col min="11" max="13" width="1.7109375" style="94" customWidth="1"/>
    <col min="14" max="14" width="30.140625" style="97" bestFit="1" customWidth="1"/>
    <col min="15" max="15" width="8.28515625" style="97" customWidth="1"/>
    <col min="16" max="16" width="6.7109375" style="97" bestFit="1" customWidth="1"/>
    <col min="17" max="17" width="31.85546875" style="97" bestFit="1" customWidth="1"/>
    <col min="18" max="18" width="10.7109375" style="283" bestFit="1" customWidth="1"/>
    <col min="19" max="19" width="9.7109375" style="283" customWidth="1"/>
    <col min="20" max="20" width="9.140625" style="283" bestFit="1" customWidth="1"/>
    <col min="21" max="21" width="1.85546875" style="283" customWidth="1"/>
    <col min="22" max="22" width="11.28515625" style="281" bestFit="1" customWidth="1"/>
    <col min="23" max="23" width="6" style="283" bestFit="1" customWidth="1"/>
    <col min="24" max="24" width="19.7109375" style="284" bestFit="1" customWidth="1"/>
    <col min="25" max="25" width="6" style="284" bestFit="1" customWidth="1"/>
    <col min="26" max="26" width="47.28515625" style="284" customWidth="1"/>
    <col min="27" max="16384" width="8.85546875" style="284"/>
  </cols>
  <sheetData>
    <row r="1" spans="2:23" ht="15.75" thickBot="1"/>
    <row r="2" spans="2:23" ht="21.75" thickBot="1">
      <c r="B2" s="352" t="s">
        <v>61</v>
      </c>
      <c r="C2" s="353"/>
      <c r="D2" s="353"/>
      <c r="E2" s="353"/>
      <c r="F2" s="353"/>
      <c r="G2" s="353"/>
      <c r="H2" s="353"/>
      <c r="I2" s="353"/>
      <c r="J2" s="353"/>
      <c r="K2" s="354"/>
      <c r="M2" s="355" t="s">
        <v>63</v>
      </c>
      <c r="N2" s="356"/>
      <c r="O2" s="356"/>
      <c r="P2" s="356"/>
      <c r="Q2" s="356"/>
      <c r="R2" s="356"/>
      <c r="S2" s="356"/>
      <c r="T2" s="356"/>
      <c r="U2" s="357"/>
      <c r="W2" s="281"/>
    </row>
    <row r="3" spans="2:23" ht="7.5" customHeight="1" thickBot="1">
      <c r="B3" s="285"/>
      <c r="C3" s="286"/>
      <c r="D3" s="286"/>
      <c r="E3" s="287"/>
      <c r="F3" s="287"/>
      <c r="G3" s="287"/>
      <c r="H3" s="287"/>
      <c r="I3" s="287"/>
      <c r="J3" s="287"/>
      <c r="K3" s="288"/>
      <c r="M3" s="289"/>
      <c r="T3" s="281"/>
      <c r="U3" s="290"/>
      <c r="V3" s="97"/>
      <c r="W3" s="284"/>
    </row>
    <row r="4" spans="2:23" ht="15" customHeight="1">
      <c r="B4" s="289"/>
      <c r="C4" s="358" t="s">
        <v>60</v>
      </c>
      <c r="D4" s="214"/>
      <c r="E4" s="360">
        <f>[1]INPUTS!C2</f>
        <v>44286</v>
      </c>
      <c r="F4" s="159" t="str">
        <f>[1]DATA!C2</f>
        <v>VHAD</v>
      </c>
      <c r="G4" s="160" t="s">
        <v>45</v>
      </c>
      <c r="H4" s="161" t="s">
        <v>120</v>
      </c>
      <c r="K4" s="291"/>
      <c r="M4" s="289"/>
      <c r="N4" s="362" t="s">
        <v>46</v>
      </c>
      <c r="O4" s="363"/>
      <c r="P4" s="363"/>
      <c r="Q4" s="363"/>
      <c r="R4" s="364"/>
      <c r="S4" s="162"/>
      <c r="U4" s="292"/>
      <c r="W4" s="284"/>
    </row>
    <row r="5" spans="2:23">
      <c r="B5" s="289"/>
      <c r="C5" s="359"/>
      <c r="D5" s="215"/>
      <c r="E5" s="361"/>
      <c r="F5" s="163">
        <f>VLOOKUP([1]DATA!$C$6,[1]DATA!$U:$X,2,0)</f>
        <v>11288.817416424879</v>
      </c>
      <c r="G5" s="163">
        <f>VLOOKUP([1]DATA!$C$6,[1]DATA!$U:$X,3,0)</f>
        <v>15343.133146723418</v>
      </c>
      <c r="H5" s="163">
        <f>VLOOKUP([1]DATA!$C$6,[1]DATA!$U:$X,4,0)</f>
        <v>13761.456700920486</v>
      </c>
      <c r="K5" s="291"/>
      <c r="M5" s="289"/>
      <c r="N5" s="164" t="str">
        <f>[1]INPUTS!B7</f>
        <v>SPDR S&amp;P 500 ETF Trust</v>
      </c>
      <c r="O5" s="165">
        <f>[1]INPUTS!C7</f>
        <v>0.19334001612813612</v>
      </c>
      <c r="P5" s="165"/>
      <c r="Q5" s="166" t="str">
        <f>[1]INPUTS!B12</f>
        <v>VEON Ltd</v>
      </c>
      <c r="R5" s="167">
        <f>[1]INPUTS!C12</f>
        <v>1.4371915289714921E-2</v>
      </c>
      <c r="S5" s="168"/>
      <c r="U5" s="292"/>
      <c r="W5" s="284"/>
    </row>
    <row r="6" spans="2:23" ht="15.75" thickBot="1">
      <c r="B6" s="289"/>
      <c r="C6" s="293"/>
      <c r="D6" s="293"/>
      <c r="E6" s="294"/>
      <c r="F6" s="294"/>
      <c r="G6" s="294"/>
      <c r="K6" s="291"/>
      <c r="M6" s="289"/>
      <c r="N6" s="169" t="str">
        <f>[1]INPUTS!B8</f>
        <v>iShares Core S&amp;P 500 ETF</v>
      </c>
      <c r="O6" s="170">
        <f>[1]INPUTS!C8</f>
        <v>6.8046825082851745E-2</v>
      </c>
      <c r="P6" s="170"/>
      <c r="Q6" s="171" t="str">
        <f>[1]INPUTS!B13</f>
        <v>H&amp;R Block Inc</v>
      </c>
      <c r="R6" s="172">
        <f>[1]INPUTS!C13</f>
        <v>1.4248321283783482E-2</v>
      </c>
      <c r="S6" s="168"/>
      <c r="U6" s="292"/>
      <c r="W6" s="284"/>
    </row>
    <row r="7" spans="2:23" ht="15" customHeight="1" thickBot="1">
      <c r="B7" s="289"/>
      <c r="C7" s="216" t="s">
        <v>49</v>
      </c>
      <c r="D7" s="217" t="s">
        <v>116</v>
      </c>
      <c r="E7" s="258" t="s">
        <v>117</v>
      </c>
      <c r="F7" s="259" t="s">
        <v>44</v>
      </c>
      <c r="G7" s="259" t="s">
        <v>43</v>
      </c>
      <c r="H7" s="259" t="s">
        <v>40</v>
      </c>
      <c r="I7" s="259" t="s">
        <v>39</v>
      </c>
      <c r="J7" s="260" t="s">
        <v>26</v>
      </c>
      <c r="K7" s="291"/>
      <c r="M7" s="289"/>
      <c r="N7" s="169" t="str">
        <f>[1]INPUTS!B9</f>
        <v>ProShares VIX Short-Term Futur</v>
      </c>
      <c r="O7" s="170">
        <f>[1]INPUTS!C9</f>
        <v>3.165145790366844E-2</v>
      </c>
      <c r="P7" s="170"/>
      <c r="Q7" s="171" t="str">
        <f>[1]INPUTS!B14</f>
        <v>American Airlines Group Inc</v>
      </c>
      <c r="R7" s="172">
        <f>[1]INPUTS!C14</f>
        <v>1.4218094192653531E-2</v>
      </c>
      <c r="S7" s="168"/>
      <c r="U7" s="292"/>
      <c r="W7" s="284"/>
    </row>
    <row r="8" spans="2:23">
      <c r="B8" s="289"/>
      <c r="C8" s="182" t="s">
        <v>50</v>
      </c>
      <c r="D8" s="218">
        <f t="shared" ref="D8:F8" si="0">D17*100</f>
        <v>5.1442590907457397</v>
      </c>
      <c r="E8" s="261">
        <f t="shared" si="0"/>
        <v>7.3732885372638268</v>
      </c>
      <c r="F8" s="261">
        <f t="shared" si="0"/>
        <v>7.3732885372638268</v>
      </c>
      <c r="G8" s="316">
        <v>34.17</v>
      </c>
      <c r="H8" s="261">
        <f t="shared" ref="H8:I8" si="1">H17*100</f>
        <v>2.3020024186251264</v>
      </c>
      <c r="I8" s="261">
        <f t="shared" si="1"/>
        <v>5.3479881169987475</v>
      </c>
      <c r="J8" s="316">
        <v>5.76</v>
      </c>
      <c r="K8" s="291"/>
      <c r="M8" s="289"/>
      <c r="N8" s="169" t="str">
        <f>[1]INPUTS!B10</f>
        <v>Cash and Equivalents</v>
      </c>
      <c r="O8" s="170">
        <f>[1]INPUTS!C10</f>
        <v>1.9735237613578652E-2</v>
      </c>
      <c r="P8" s="170"/>
      <c r="Q8" s="171" t="str">
        <f>[1]INPUTS!B15</f>
        <v>NVIDIA Corp</v>
      </c>
      <c r="R8" s="172">
        <f>[1]INPUTS!C15</f>
        <v>1.4146939368590562E-2</v>
      </c>
      <c r="S8" s="168"/>
      <c r="U8" s="292"/>
      <c r="W8" s="284"/>
    </row>
    <row r="9" spans="2:23" ht="15.75" thickBot="1">
      <c r="B9" s="289"/>
      <c r="C9" s="183" t="s">
        <v>38</v>
      </c>
      <c r="D9" s="219">
        <f t="shared" ref="D9:J10" si="2">D15*100</f>
        <v>14.124365430243625</v>
      </c>
      <c r="E9" s="252">
        <f t="shared" si="2"/>
        <v>10.766553917255544</v>
      </c>
      <c r="F9" s="184">
        <f t="shared" si="2"/>
        <v>10.766553917255544</v>
      </c>
      <c r="G9" s="184">
        <f t="shared" si="2"/>
        <v>50.373885301526187</v>
      </c>
      <c r="H9" s="184">
        <f t="shared" si="2"/>
        <v>12.313889235198561</v>
      </c>
      <c r="I9" s="184">
        <f t="shared" si="2"/>
        <v>11.145307901394075</v>
      </c>
      <c r="J9" s="262">
        <f t="shared" si="2"/>
        <v>7.7313514100522562</v>
      </c>
      <c r="K9" s="291"/>
      <c r="M9" s="289"/>
      <c r="N9" s="173" t="str">
        <f>[1]INPUTS!B11</f>
        <v>Walgreens Boots Alliance Inc</v>
      </c>
      <c r="O9" s="174">
        <f>[1]INPUTS!C11</f>
        <v>1.4389722022983348E-2</v>
      </c>
      <c r="P9" s="174"/>
      <c r="Q9" s="175" t="str">
        <f>[1]INPUTS!B16</f>
        <v>CenterPoint Energy Inc</v>
      </c>
      <c r="R9" s="176">
        <f>[1]INPUTS!C16</f>
        <v>1.4063206553014683E-2</v>
      </c>
      <c r="S9" s="168"/>
      <c r="U9" s="292"/>
      <c r="W9" s="284"/>
    </row>
    <row r="10" spans="2:23" ht="15.75" thickBot="1">
      <c r="B10" s="289"/>
      <c r="C10" s="250" t="s">
        <v>54</v>
      </c>
      <c r="D10" s="220">
        <f t="shared" si="2"/>
        <v>19.379554349071636</v>
      </c>
      <c r="E10" s="253">
        <f t="shared" si="2"/>
        <v>6.174872895281176</v>
      </c>
      <c r="F10" s="251">
        <f t="shared" si="2"/>
        <v>6.174872895281176</v>
      </c>
      <c r="G10" s="251">
        <f t="shared" si="2"/>
        <v>56.351628330676384</v>
      </c>
      <c r="H10" s="251">
        <f t="shared" si="2"/>
        <v>16.294038412866541</v>
      </c>
      <c r="I10" s="251">
        <f t="shared" si="2"/>
        <v>13.912338106903842</v>
      </c>
      <c r="J10" s="267">
        <v>9.0299999999999994</v>
      </c>
      <c r="K10" s="291"/>
      <c r="M10" s="289"/>
      <c r="N10" s="94"/>
      <c r="O10" s="94"/>
      <c r="P10" s="94"/>
      <c r="R10" s="97"/>
      <c r="S10" s="97"/>
      <c r="T10" s="97"/>
      <c r="U10" s="292"/>
      <c r="W10" s="284"/>
    </row>
    <row r="11" spans="2:23">
      <c r="B11" s="289"/>
      <c r="C11" s="295"/>
      <c r="D11" s="295"/>
      <c r="K11" s="291"/>
      <c r="M11" s="289"/>
      <c r="N11" s="177" t="s">
        <v>55</v>
      </c>
      <c r="O11" s="178" t="s">
        <v>47</v>
      </c>
      <c r="P11" s="94"/>
      <c r="R11" s="97"/>
      <c r="S11" s="97"/>
      <c r="T11" s="97"/>
      <c r="U11" s="292"/>
      <c r="W11" s="284"/>
    </row>
    <row r="12" spans="2:23" ht="15.75" thickBot="1">
      <c r="B12" s="197"/>
      <c r="C12" s="198"/>
      <c r="D12" s="198"/>
      <c r="E12" s="199"/>
      <c r="F12" s="199"/>
      <c r="G12" s="199"/>
      <c r="H12" s="199"/>
      <c r="I12" s="199"/>
      <c r="J12" s="296"/>
      <c r="K12" s="297"/>
      <c r="M12" s="289"/>
      <c r="N12" s="180" t="str">
        <f>[1]INPUTS!B20</f>
        <v>ETF/ETN</v>
      </c>
      <c r="O12" s="181">
        <f>[1]INPUTS!C20</f>
        <v>0.29955059803088202</v>
      </c>
      <c r="P12" s="94"/>
      <c r="R12" s="97"/>
      <c r="S12" s="97"/>
      <c r="T12" s="97"/>
      <c r="U12" s="292"/>
      <c r="W12" s="284"/>
    </row>
    <row r="13" spans="2:23" ht="15" customHeight="1">
      <c r="C13" s="293"/>
      <c r="D13" s="293"/>
      <c r="E13" s="294"/>
      <c r="F13" s="294"/>
      <c r="G13" s="294"/>
      <c r="M13" s="289"/>
      <c r="N13" s="180" t="str">
        <f>[1]INPUTS!B21</f>
        <v>Industrials</v>
      </c>
      <c r="O13" s="181">
        <f>[1]INPUTS!C21</f>
        <v>0.14741626321004378</v>
      </c>
      <c r="P13" s="94"/>
      <c r="R13" s="97"/>
      <c r="S13" s="97"/>
      <c r="T13" s="97"/>
      <c r="U13" s="292"/>
      <c r="W13" s="284"/>
    </row>
    <row r="14" spans="2:23">
      <c r="C14" s="200"/>
      <c r="D14" s="298" t="str">
        <f>D7</f>
        <v>Strategy Chage</v>
      </c>
      <c r="E14" s="298" t="str">
        <f>E7</f>
        <v>QTD</v>
      </c>
      <c r="F14" s="298" t="str">
        <f t="shared" ref="F14:J14" si="3">F7</f>
        <v>YTD</v>
      </c>
      <c r="G14" s="298" t="str">
        <f t="shared" si="3"/>
        <v>1yr</v>
      </c>
      <c r="H14" s="298" t="str">
        <f t="shared" si="3"/>
        <v>5yr</v>
      </c>
      <c r="I14" s="298" t="str">
        <f t="shared" si="3"/>
        <v>10yr</v>
      </c>
      <c r="J14" s="298" t="str">
        <f t="shared" si="3"/>
        <v>Inception*</v>
      </c>
      <c r="M14" s="289"/>
      <c r="N14" s="180" t="str">
        <f>[1]INPUTS!B22</f>
        <v>Communication Services</v>
      </c>
      <c r="O14" s="181">
        <f>[1]INPUTS!C22</f>
        <v>8.1567385337265208E-2</v>
      </c>
      <c r="P14" s="94"/>
      <c r="R14" s="97"/>
      <c r="S14" s="97"/>
      <c r="T14" s="97"/>
      <c r="U14" s="292"/>
      <c r="W14" s="284"/>
    </row>
    <row r="15" spans="2:23" ht="14.45" customHeight="1">
      <c r="C15" s="201" t="s">
        <v>38</v>
      </c>
      <c r="D15" s="299">
        <f>SUMIF([1]DATA!$B$9:$B$43,'[1]Fact Sheet'!D$14,[1]DATA!$E$9:$E$43)</f>
        <v>0.14124365430243624</v>
      </c>
      <c r="E15" s="299">
        <f>SUMIF([1]DATA!$B$9:$B$43,'[1]Fact Sheet'!E$14,[1]DATA!$E$9:$E$43)</f>
        <v>0.10766553917255545</v>
      </c>
      <c r="F15" s="299">
        <f>SUMIF([1]DATA!$B$9:$B$43,'[1]Fact Sheet'!F$14,[1]DATA!$E$9:$E$43)</f>
        <v>0.10766553917255545</v>
      </c>
      <c r="G15" s="299">
        <f>SUMIF([1]DATA!$B$9:$B$43,'[1]Fact Sheet'!G$14,[1]DATA!$E$9:$E$43)</f>
        <v>0.50373885301526189</v>
      </c>
      <c r="H15" s="299">
        <f>SUMIF([1]DATA!$B$9:$B$43,'[1]Fact Sheet'!H$14,[1]DATA!$E$9:$E$43)</f>
        <v>0.12313889235198561</v>
      </c>
      <c r="I15" s="299">
        <f>SUMIF([1]DATA!$B$9:$B$43,'[1]Fact Sheet'!I$14,[1]DATA!$E$9:$E$43)</f>
        <v>0.11145307901394075</v>
      </c>
      <c r="J15" s="299">
        <f>SUMIF([1]DATA!$B$9:$B$43,'[1]Fact Sheet'!J$14,[1]DATA!$E$9:$E$43)</f>
        <v>7.7313514100522562E-2</v>
      </c>
      <c r="M15" s="289"/>
      <c r="N15" s="180" t="str">
        <f>[1]INPUTS!B23</f>
        <v>Financials</v>
      </c>
      <c r="O15" s="181">
        <f>[1]INPUTS!C23</f>
        <v>7.9976350323899936E-2</v>
      </c>
      <c r="P15" s="94"/>
      <c r="R15" s="97"/>
      <c r="S15" s="97"/>
      <c r="T15" s="97"/>
      <c r="U15" s="291"/>
      <c r="V15" s="97"/>
      <c r="W15" s="284"/>
    </row>
    <row r="16" spans="2:23" s="281" customFormat="1">
      <c r="B16" s="94"/>
      <c r="C16" s="213" t="s">
        <v>54</v>
      </c>
      <c r="D16" s="299">
        <f>SUMIF([1]DATA!$B$9:$B$43,'[1]Fact Sheet'!D$14,[1]DATA!$D$9:$D$43)</f>
        <v>0.19379554349071637</v>
      </c>
      <c r="E16" s="299">
        <f>SUMIF([1]DATA!$B$9:$B$43,'[1]Fact Sheet'!E$14,[1]DATA!$D$9:$D$43)</f>
        <v>6.1748728952811763E-2</v>
      </c>
      <c r="F16" s="299">
        <f>SUMIF([1]DATA!$B$9:$B$43,'[1]Fact Sheet'!F$14,[1]DATA!$D$9:$D$43)</f>
        <v>6.1748728952811763E-2</v>
      </c>
      <c r="G16" s="299">
        <f>SUMIF([1]DATA!$B$9:$B$43,'[1]Fact Sheet'!G$14,[1]DATA!$D$9:$D$43)</f>
        <v>0.56351628330676384</v>
      </c>
      <c r="H16" s="299">
        <f>SUMIF([1]DATA!$B$9:$B$43,'[1]Fact Sheet'!H$14,[1]DATA!$D$9:$D$43)</f>
        <v>0.16294038412866541</v>
      </c>
      <c r="I16" s="299">
        <f>SUMIF([1]DATA!$B$9:$B$43,'[1]Fact Sheet'!I$14,[1]DATA!$D$9:$D$43)</f>
        <v>0.13912338106903843</v>
      </c>
      <c r="J16" s="299">
        <f>SUMIF([1]DATA!$B$9:$B$43,'[1]Fact Sheet'!J$14,[1]DATA!$D$9:$D$43)</f>
        <v>9.0219263839004027E-2</v>
      </c>
      <c r="K16" s="94"/>
      <c r="L16" s="99"/>
      <c r="M16" s="289"/>
      <c r="N16" s="180" t="str">
        <f>[1]INPUTS!B24</f>
        <v>Information Technology</v>
      </c>
      <c r="O16" s="181">
        <f>[1]INPUTS!C24</f>
        <v>6.8906366167825917E-2</v>
      </c>
      <c r="P16" s="94"/>
      <c r="Q16" s="97"/>
      <c r="R16" s="283"/>
      <c r="S16" s="283"/>
      <c r="T16" s="283"/>
      <c r="U16" s="290"/>
      <c r="V16" s="94"/>
    </row>
    <row r="17" spans="3:23" ht="14.45" customHeight="1">
      <c r="C17" s="213" t="s">
        <v>111</v>
      </c>
      <c r="D17" s="300">
        <f>SUMIF([1]DATA!$B$9:$B$43,'[1]Fact Sheet'!D$14,[1]DATA!$C$9:$C$43)</f>
        <v>5.1442590907457397E-2</v>
      </c>
      <c r="E17" s="300">
        <f>SUMIF([1]DATA!$B$9:$B$43,'[1]Fact Sheet'!E$14,[1]DATA!$C$9:$C$43)</f>
        <v>7.3732885372638265E-2</v>
      </c>
      <c r="F17" s="300">
        <f>SUMIF([1]DATA!$B$9:$B$43,'[1]Fact Sheet'!F$14,[1]DATA!$C$9:$C$43)</f>
        <v>7.3732885372638265E-2</v>
      </c>
      <c r="G17" s="300">
        <f>SUMIF([1]DATA!$B$9:$B$43,'[1]Fact Sheet'!G$14,[1]DATA!$C$9:$C$43)</f>
        <v>0.34172986637775371</v>
      </c>
      <c r="H17" s="300">
        <f>SUMIF([1]DATA!$B$9:$B$43,'[1]Fact Sheet'!H$14,[1]DATA!$C$9:$C$43)</f>
        <v>2.3020024186251264E-2</v>
      </c>
      <c r="I17" s="299">
        <f>SUMIF([1]DATA!$B$9:$B$43,'[1]Fact Sheet'!I$14,[1]DATA!$C$9:$C$43)</f>
        <v>5.3479881169987475E-2</v>
      </c>
      <c r="J17" s="299">
        <f>SUMIF([1]DATA!$B$9:$B$43,'[1]Fact Sheet'!J$14,[1]DATA!$C$9:$C$43)</f>
        <v>5.7538664536806783E-2</v>
      </c>
      <c r="M17" s="289"/>
      <c r="N17" s="180" t="str">
        <f>[1]INPUTS!B25</f>
        <v>Consumer Discretionary</v>
      </c>
      <c r="O17" s="181">
        <f>[1]INPUTS!C25</f>
        <v>6.852606827604453E-2</v>
      </c>
      <c r="P17" s="94"/>
      <c r="R17" s="97"/>
      <c r="S17" s="97"/>
      <c r="T17" s="97"/>
      <c r="U17" s="290"/>
      <c r="V17" s="97"/>
      <c r="W17" s="284"/>
    </row>
    <row r="18" spans="3:23" ht="14.45" customHeight="1">
      <c r="C18" s="295"/>
      <c r="D18" s="295"/>
      <c r="M18" s="289"/>
      <c r="N18" s="180" t="str">
        <f>[1]INPUTS!B26</f>
        <v>Real Estate</v>
      </c>
      <c r="O18" s="181">
        <f>[1]INPUTS!C26</f>
        <v>6.677791527456868E-2</v>
      </c>
      <c r="P18" s="94"/>
      <c r="R18" s="97"/>
      <c r="S18" s="97"/>
      <c r="T18" s="97"/>
      <c r="U18" s="290"/>
      <c r="V18" s="97"/>
      <c r="W18" s="284"/>
    </row>
    <row r="19" spans="3:23" ht="14.45" customHeight="1">
      <c r="C19" s="295"/>
      <c r="D19" s="295"/>
      <c r="M19" s="289"/>
      <c r="N19" s="180" t="str">
        <f>[1]INPUTS!B27</f>
        <v>Health Care</v>
      </c>
      <c r="O19" s="181">
        <f>[1]INPUTS!C27</f>
        <v>5.4382834136738389E-2</v>
      </c>
      <c r="P19" s="94"/>
      <c r="R19" s="97"/>
      <c r="S19" s="97"/>
      <c r="T19" s="97"/>
      <c r="U19" s="290"/>
      <c r="V19" s="97"/>
      <c r="W19" s="284"/>
    </row>
    <row r="20" spans="3:23" ht="14.45" customHeight="1">
      <c r="C20" s="295"/>
      <c r="D20" s="295"/>
      <c r="M20" s="289"/>
      <c r="N20" s="180" t="str">
        <f>[1]INPUTS!B28</f>
        <v>Consumer Staples</v>
      </c>
      <c r="O20" s="181">
        <f>[1]INPUTS!C28</f>
        <v>4.1064527918774366E-2</v>
      </c>
      <c r="P20" s="94"/>
      <c r="R20" s="97"/>
      <c r="S20" s="97"/>
      <c r="T20" s="97"/>
      <c r="U20" s="185"/>
      <c r="V20" s="97"/>
      <c r="W20" s="284"/>
    </row>
    <row r="21" spans="3:23" ht="14.45" customHeight="1">
      <c r="C21" s="295"/>
      <c r="D21" s="295"/>
      <c r="M21" s="289"/>
      <c r="N21" s="180" t="str">
        <f>[1]INPUTS!B29</f>
        <v>Energy</v>
      </c>
      <c r="O21" s="181">
        <f>[1]INPUTS!C29</f>
        <v>3.0857514218069038E-2</v>
      </c>
      <c r="P21" s="94"/>
      <c r="R21" s="97"/>
      <c r="S21" s="97"/>
      <c r="T21" s="97"/>
      <c r="U21" s="185"/>
      <c r="V21" s="97"/>
      <c r="W21" s="284"/>
    </row>
    <row r="22" spans="3:23" ht="14.45" customHeight="1">
      <c r="M22" s="289"/>
      <c r="N22" s="180" t="str">
        <f>[1]INPUTS!B30</f>
        <v>Materials</v>
      </c>
      <c r="O22" s="181">
        <f>[1]INPUTS!C30</f>
        <v>2.717573293929482E-2</v>
      </c>
      <c r="P22" s="94"/>
      <c r="R22" s="97"/>
      <c r="S22" s="97"/>
      <c r="T22" s="97"/>
      <c r="U22" s="301"/>
      <c r="V22" s="97"/>
      <c r="W22" s="284"/>
    </row>
    <row r="23" spans="3:23" ht="14.45" customHeight="1">
      <c r="M23" s="289"/>
      <c r="N23" s="180" t="str">
        <f>[1]INPUTS!B31</f>
        <v>Cash</v>
      </c>
      <c r="O23" s="181">
        <f>[1]INPUTS!C31</f>
        <v>1.9735237613578652E-2</v>
      </c>
      <c r="P23" s="94"/>
      <c r="R23" s="97"/>
      <c r="S23" s="97"/>
      <c r="T23" s="97"/>
      <c r="U23" s="301"/>
      <c r="V23" s="97"/>
      <c r="W23" s="284"/>
    </row>
    <row r="24" spans="3:23" ht="14.45" customHeight="1">
      <c r="G24" s="302"/>
      <c r="M24" s="289"/>
      <c r="N24" s="180" t="str">
        <f>[1]INPUTS!B32</f>
        <v>Utilities</v>
      </c>
      <c r="O24" s="181">
        <f>[1]INPUTS!C32</f>
        <v>1.4063206553014683E-2</v>
      </c>
      <c r="P24" s="94"/>
      <c r="R24" s="97"/>
      <c r="S24" s="97"/>
      <c r="T24" s="97"/>
      <c r="U24" s="301"/>
      <c r="V24" s="282"/>
      <c r="W24" s="284"/>
    </row>
    <row r="25" spans="3:23" s="94" customFormat="1" ht="14.45" customHeight="1">
      <c r="C25" s="281"/>
      <c r="D25" s="281"/>
      <c r="E25" s="282"/>
      <c r="F25" s="282"/>
      <c r="G25" s="303"/>
      <c r="H25" s="282"/>
      <c r="I25" s="282"/>
      <c r="J25" s="282"/>
      <c r="M25" s="304"/>
      <c r="N25" s="180" t="str">
        <f>[1]INPUTS!B33</f>
        <v>Futures</v>
      </c>
      <c r="O25" s="181">
        <f>[1]INPUTS!C33</f>
        <v>0</v>
      </c>
      <c r="Q25" s="97"/>
      <c r="R25" s="283"/>
      <c r="S25" s="283"/>
      <c r="T25" s="283"/>
      <c r="U25" s="301"/>
      <c r="V25" s="282"/>
    </row>
    <row r="26" spans="3:23" ht="14.45" customHeight="1" thickBot="1">
      <c r="G26" s="303"/>
      <c r="M26" s="289"/>
      <c r="U26" s="292"/>
      <c r="V26" s="282"/>
      <c r="W26" s="284"/>
    </row>
    <row r="27" spans="3:23" ht="14.45" customHeight="1">
      <c r="M27" s="289"/>
      <c r="N27" s="177" t="s">
        <v>48</v>
      </c>
      <c r="O27" s="178" t="s">
        <v>47</v>
      </c>
      <c r="P27" s="179" t="s">
        <v>118</v>
      </c>
      <c r="Q27" s="94"/>
      <c r="R27" s="94"/>
      <c r="S27" s="94"/>
      <c r="T27" s="94"/>
      <c r="U27" s="292"/>
      <c r="V27" s="282"/>
      <c r="W27" s="284"/>
    </row>
    <row r="28" spans="3:23" ht="14.45" customHeight="1">
      <c r="M28" s="289"/>
      <c r="N28" s="186" t="s">
        <v>51</v>
      </c>
      <c r="O28" s="187">
        <f>[1]INPUTS!C37</f>
        <v>56</v>
      </c>
      <c r="P28" s="188">
        <f>[1]INPUTS!D37</f>
        <v>505</v>
      </c>
      <c r="U28" s="292"/>
      <c r="W28" s="189"/>
    </row>
    <row r="29" spans="3:23">
      <c r="M29" s="289"/>
      <c r="N29" s="186" t="s">
        <v>52</v>
      </c>
      <c r="O29" s="190">
        <f>[1]INPUTS!C38</f>
        <v>0.3982</v>
      </c>
      <c r="P29" s="191">
        <f>[1]INPUTS!D38</f>
        <v>0.26300000000000001</v>
      </c>
      <c r="U29" s="292"/>
      <c r="W29" s="284"/>
    </row>
    <row r="30" spans="3:23">
      <c r="M30" s="289"/>
      <c r="N30" s="186" t="s">
        <v>62</v>
      </c>
      <c r="O30" s="192">
        <f>[1]INPUTS!C39</f>
        <v>42520.824754266381</v>
      </c>
      <c r="P30" s="193">
        <f>[1]INPUTS!D39</f>
        <v>29132.67</v>
      </c>
      <c r="U30" s="292"/>
    </row>
    <row r="31" spans="3:23" ht="14.25" customHeight="1" thickBot="1">
      <c r="M31" s="289"/>
      <c r="N31" s="194" t="s">
        <v>53</v>
      </c>
      <c r="O31" s="195">
        <f>[1]INPUTS!C40</f>
        <v>74.78665104362166</v>
      </c>
      <c r="P31" s="196">
        <f>[1]INPUTS!D40</f>
        <v>39.9</v>
      </c>
      <c r="U31" s="292"/>
    </row>
    <row r="32" spans="3:23">
      <c r="M32" s="289"/>
      <c r="U32" s="292"/>
    </row>
    <row r="33" spans="6:21" ht="15.75" thickBot="1">
      <c r="M33" s="305"/>
      <c r="N33" s="306"/>
      <c r="O33" s="306"/>
      <c r="P33" s="306"/>
      <c r="Q33" s="306"/>
      <c r="R33" s="307"/>
      <c r="S33" s="307"/>
      <c r="T33" s="307"/>
      <c r="U33" s="308"/>
    </row>
    <row r="35" spans="6:21">
      <c r="F35" s="309"/>
      <c r="H35" s="284"/>
    </row>
    <row r="36" spans="6:21">
      <c r="F36" s="309"/>
      <c r="H36" s="284"/>
    </row>
    <row r="37" spans="6:21">
      <c r="F37" s="309"/>
      <c r="H37" s="284"/>
    </row>
    <row r="38" spans="6:21">
      <c r="F38" s="283"/>
      <c r="H38" s="284"/>
    </row>
    <row r="39" spans="6:21">
      <c r="F39" s="283"/>
      <c r="H39" s="284"/>
      <c r="N39" s="310"/>
    </row>
    <row r="40" spans="6:21">
      <c r="F40" s="283"/>
      <c r="H40" s="284"/>
    </row>
  </sheetData>
  <mergeCells count="5">
    <mergeCell ref="B2:K2"/>
    <mergeCell ref="M2:U2"/>
    <mergeCell ref="C4:C5"/>
    <mergeCell ref="E4:E5"/>
    <mergeCell ref="N4:R4"/>
  </mergeCells>
  <conditionalFormatting sqref="N5:O9 Q5:R9 O28:P31 O12:O25">
    <cfRule type="containsBlanks" dxfId="5" priority="6">
      <formula>LEN(TRIM(N5))=0</formula>
    </cfRule>
  </conditionalFormatting>
  <conditionalFormatting sqref="E8:J10">
    <cfRule type="containsErrors" dxfId="4" priority="5">
      <formula>ISERROR(E8)</formula>
    </cfRule>
  </conditionalFormatting>
  <conditionalFormatting sqref="D8">
    <cfRule type="cellIs" dxfId="3" priority="3" operator="equal">
      <formula>0</formula>
    </cfRule>
    <cfRule type="containsErrors" dxfId="2" priority="4">
      <formula>ISERROR(D8)</formula>
    </cfRule>
  </conditionalFormatting>
  <conditionalFormatting sqref="D9:D10">
    <cfRule type="cellIs" dxfId="1" priority="1" operator="equal">
      <formula>0</formula>
    </cfRule>
    <cfRule type="containsErrors" dxfId="0" priority="2">
      <formula>ISERROR(D9)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6166-9316-4B7A-BDB1-6467747B788A}">
  <sheetPr>
    <tabColor rgb="FF00B0F0"/>
  </sheetPr>
  <dimension ref="A1:Q98"/>
  <sheetViews>
    <sheetView showGridLines="0" zoomScale="80" zoomScaleNormal="80" workbookViewId="0">
      <pane ySplit="2" topLeftCell="A3" activePane="bottomLeft" state="frozenSplit"/>
      <selection pane="bottomLeft"/>
    </sheetView>
  </sheetViews>
  <sheetFormatPr defaultColWidth="8.85546875" defaultRowHeight="1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7.5703125" customWidth="1"/>
    <col min="9" max="9" width="18.140625" customWidth="1"/>
    <col min="14" max="14" width="19.42578125" customWidth="1"/>
    <col min="15" max="15" width="12.5703125" customWidth="1"/>
    <col min="16" max="16" width="11.42578125" customWidth="1"/>
    <col min="17" max="17" width="11.5703125" customWidth="1"/>
  </cols>
  <sheetData>
    <row r="1" spans="1:17" ht="38.1" customHeight="1"/>
    <row r="2" spans="1:17" ht="3" customHeight="1"/>
    <row r="3" spans="1:17" ht="18" customHeight="1">
      <c r="C3" s="317" t="s">
        <v>89</v>
      </c>
    </row>
    <row r="4" spans="1:17" ht="18" customHeight="1">
      <c r="C4" s="317" t="s">
        <v>90</v>
      </c>
    </row>
    <row r="5" spans="1:17" ht="18" customHeight="1">
      <c r="C5" s="317" t="s">
        <v>191</v>
      </c>
    </row>
    <row r="6" spans="1:17" ht="18" customHeight="1">
      <c r="C6" s="317" t="s">
        <v>91</v>
      </c>
    </row>
    <row r="7" spans="1:17" ht="13.15" customHeight="1">
      <c r="A7" s="221" t="s">
        <v>92</v>
      </c>
      <c r="B7" s="221" t="s">
        <v>93</v>
      </c>
      <c r="C7" s="221" t="s">
        <v>192</v>
      </c>
      <c r="D7" s="221" t="s">
        <v>94</v>
      </c>
      <c r="E7" s="221" t="s">
        <v>95</v>
      </c>
      <c r="F7" s="221" t="s">
        <v>96</v>
      </c>
      <c r="G7" s="221" t="s">
        <v>97</v>
      </c>
      <c r="H7" s="268" t="s">
        <v>66</v>
      </c>
      <c r="I7" s="223" t="s">
        <v>98</v>
      </c>
      <c r="J7" s="222" t="s">
        <v>99</v>
      </c>
      <c r="K7" s="222" t="s">
        <v>100</v>
      </c>
      <c r="L7" s="222" t="s">
        <v>101</v>
      </c>
      <c r="N7" s="224" t="s">
        <v>102</v>
      </c>
    </row>
    <row r="8" spans="1:17" ht="13.15" customHeight="1">
      <c r="A8" s="225" t="s">
        <v>103</v>
      </c>
      <c r="B8" s="226"/>
      <c r="C8" s="226"/>
      <c r="D8" s="226"/>
      <c r="E8" s="227"/>
      <c r="F8" s="227"/>
      <c r="G8" s="227"/>
    </row>
    <row r="9" spans="1:17" ht="13.15" customHeight="1">
      <c r="A9" s="225" t="s">
        <v>132</v>
      </c>
      <c r="B9" s="226"/>
      <c r="C9" s="226"/>
      <c r="D9" s="226"/>
      <c r="E9" s="227"/>
      <c r="F9" s="227"/>
      <c r="G9" s="227"/>
      <c r="N9" s="228" t="s">
        <v>51</v>
      </c>
      <c r="O9" s="318">
        <v>56</v>
      </c>
    </row>
    <row r="10" spans="1:17" ht="13.15" customHeight="1">
      <c r="A10" s="227" t="s">
        <v>193</v>
      </c>
      <c r="B10" s="227" t="s">
        <v>194</v>
      </c>
      <c r="C10" s="207" t="s">
        <v>185</v>
      </c>
      <c r="D10" s="230">
        <v>3126</v>
      </c>
      <c r="E10" s="231">
        <v>54.9</v>
      </c>
      <c r="F10" s="232">
        <v>165224.73000000001</v>
      </c>
      <c r="G10" s="232">
        <v>171617.4</v>
      </c>
      <c r="H10" s="269">
        <v>1.4389722022983348E-2</v>
      </c>
      <c r="I10" s="242" t="s">
        <v>76</v>
      </c>
      <c r="J10" s="243">
        <v>47792.367371219996</v>
      </c>
      <c r="K10" s="243">
        <v>22.100097136311646</v>
      </c>
      <c r="L10" s="244">
        <v>5</v>
      </c>
      <c r="N10" s="228"/>
      <c r="O10" s="235"/>
    </row>
    <row r="11" spans="1:17" ht="13.15" customHeight="1">
      <c r="A11" s="227" t="s">
        <v>195</v>
      </c>
      <c r="B11" s="227" t="s">
        <v>196</v>
      </c>
      <c r="C11" s="207" t="s">
        <v>187</v>
      </c>
      <c r="D11" s="230">
        <v>7795</v>
      </c>
      <c r="E11" s="231">
        <v>21.8</v>
      </c>
      <c r="F11" s="232">
        <v>165059.13</v>
      </c>
      <c r="G11" s="232">
        <v>169931</v>
      </c>
      <c r="H11" s="269">
        <v>1.4248321283783482E-2</v>
      </c>
      <c r="I11" s="242" t="s">
        <v>77</v>
      </c>
      <c r="J11" s="243">
        <v>4022.3313002400005</v>
      </c>
      <c r="K11" s="243">
        <v>24.018538884458529</v>
      </c>
      <c r="L11" s="244">
        <v>7</v>
      </c>
      <c r="N11" s="228" t="s">
        <v>67</v>
      </c>
      <c r="O11" s="319">
        <v>0.39821173543897548</v>
      </c>
    </row>
    <row r="12" spans="1:17" ht="13.15" customHeight="1">
      <c r="A12" s="227" t="s">
        <v>152</v>
      </c>
      <c r="B12" s="227" t="s">
        <v>153</v>
      </c>
      <c r="C12" s="207" t="s">
        <v>188</v>
      </c>
      <c r="D12" s="230">
        <v>7095</v>
      </c>
      <c r="E12" s="231">
        <v>23.9</v>
      </c>
      <c r="F12" s="232">
        <v>162581.93</v>
      </c>
      <c r="G12" s="232">
        <v>169570.5</v>
      </c>
      <c r="H12" s="269">
        <v>1.4218094192653531E-2</v>
      </c>
      <c r="I12" s="242" t="s">
        <v>78</v>
      </c>
      <c r="J12" s="243">
        <v>15299.988101125</v>
      </c>
      <c r="K12" s="243" t="s">
        <v>154</v>
      </c>
      <c r="L12" s="244">
        <v>8</v>
      </c>
      <c r="N12" s="228"/>
    </row>
    <row r="13" spans="1:17" ht="13.15" customHeight="1">
      <c r="A13" s="227" t="s">
        <v>150</v>
      </c>
      <c r="B13" s="227" t="s">
        <v>151</v>
      </c>
      <c r="C13" s="207" t="s">
        <v>189</v>
      </c>
      <c r="D13" s="230">
        <v>316</v>
      </c>
      <c r="E13" s="231">
        <v>533.92999999999995</v>
      </c>
      <c r="F13" s="232">
        <v>163667.46</v>
      </c>
      <c r="G13" s="232">
        <v>168721.88</v>
      </c>
      <c r="H13" s="269">
        <v>1.4146939368590562E-2</v>
      </c>
      <c r="I13" s="242" t="s">
        <v>80</v>
      </c>
      <c r="J13" s="243">
        <v>343569.89999999997</v>
      </c>
      <c r="K13" s="243">
        <v>68.638302378778576</v>
      </c>
      <c r="L13" s="244">
        <v>9</v>
      </c>
      <c r="N13" s="228"/>
      <c r="O13" s="240" t="s">
        <v>104</v>
      </c>
      <c r="P13" s="240" t="s">
        <v>88</v>
      </c>
      <c r="Q13" s="240" t="s">
        <v>105</v>
      </c>
    </row>
    <row r="14" spans="1:17" ht="13.15" customHeight="1">
      <c r="A14" s="227" t="s">
        <v>197</v>
      </c>
      <c r="B14" s="227" t="s">
        <v>198</v>
      </c>
      <c r="C14" s="207" t="s">
        <v>190</v>
      </c>
      <c r="D14" s="230">
        <v>7405</v>
      </c>
      <c r="E14" s="231">
        <v>22.65</v>
      </c>
      <c r="F14" s="232">
        <v>167760.28</v>
      </c>
      <c r="G14" s="232">
        <v>167723.25</v>
      </c>
      <c r="H14" s="269">
        <v>1.4063206553014683E-2</v>
      </c>
      <c r="I14" s="242" t="s">
        <v>79</v>
      </c>
      <c r="J14" s="243">
        <v>12407.81315532</v>
      </c>
      <c r="K14" s="243">
        <v>10.421111489087783</v>
      </c>
      <c r="L14" s="244">
        <v>10</v>
      </c>
      <c r="N14" s="228" t="s">
        <v>99</v>
      </c>
      <c r="O14" s="241">
        <v>42520.824754266381</v>
      </c>
      <c r="P14" s="241">
        <v>16758.63779837</v>
      </c>
      <c r="Q14" s="241">
        <v>29579.682358189952</v>
      </c>
    </row>
    <row r="15" spans="1:17" ht="13.15" customHeight="1">
      <c r="A15" s="227" t="s">
        <v>199</v>
      </c>
      <c r="B15" s="227" t="s">
        <v>200</v>
      </c>
      <c r="C15" s="227" t="s">
        <v>201</v>
      </c>
      <c r="D15" s="230">
        <v>1535</v>
      </c>
      <c r="E15" s="231">
        <v>108.22</v>
      </c>
      <c r="F15" s="232">
        <v>163838.22</v>
      </c>
      <c r="G15" s="232">
        <v>166117.70000000001</v>
      </c>
      <c r="H15" s="270">
        <v>1.3928584899301244E-2</v>
      </c>
      <c r="I15" s="233" t="s">
        <v>81</v>
      </c>
      <c r="J15" s="234">
        <v>191244.987027</v>
      </c>
      <c r="K15" s="234">
        <v>13.982585297545379</v>
      </c>
      <c r="L15" s="229">
        <v>11</v>
      </c>
      <c r="N15" s="228" t="s">
        <v>106</v>
      </c>
      <c r="O15" s="241">
        <v>74.78665104362166</v>
      </c>
      <c r="P15" s="241">
        <v>31.625326408493592</v>
      </c>
      <c r="Q15" s="241">
        <v>45.733250429213712</v>
      </c>
    </row>
    <row r="16" spans="1:17" ht="13.15" customHeight="1">
      <c r="A16" s="227" t="s">
        <v>202</v>
      </c>
      <c r="B16" s="227" t="s">
        <v>203</v>
      </c>
      <c r="C16" s="227" t="s">
        <v>204</v>
      </c>
      <c r="D16" s="230">
        <v>432</v>
      </c>
      <c r="E16" s="231">
        <v>383.06</v>
      </c>
      <c r="F16" s="232">
        <v>161838</v>
      </c>
      <c r="G16" s="232">
        <v>165481.92000000001</v>
      </c>
      <c r="H16" s="270">
        <v>1.3875276216919549E-2</v>
      </c>
      <c r="I16" s="233" t="s">
        <v>80</v>
      </c>
      <c r="J16" s="234">
        <v>107725.86999980999</v>
      </c>
      <c r="K16" s="234">
        <v>59.755357521009834</v>
      </c>
      <c r="L16" s="229">
        <v>12</v>
      </c>
      <c r="N16" s="228"/>
    </row>
    <row r="17" spans="1:15" ht="13.15" customHeight="1">
      <c r="A17" s="227" t="s">
        <v>205</v>
      </c>
      <c r="B17" s="227" t="s">
        <v>206</v>
      </c>
      <c r="C17" s="227" t="s">
        <v>207</v>
      </c>
      <c r="D17" s="230">
        <v>852</v>
      </c>
      <c r="E17" s="231">
        <v>194.02</v>
      </c>
      <c r="F17" s="232">
        <v>162778.85999999999</v>
      </c>
      <c r="G17" s="232">
        <v>165305.04</v>
      </c>
      <c r="H17" s="270">
        <v>1.3860445238059448E-2</v>
      </c>
      <c r="I17" s="233" t="s">
        <v>81</v>
      </c>
      <c r="J17" s="234">
        <v>28227.670977870002</v>
      </c>
      <c r="K17" s="234">
        <v>39.84506912068003</v>
      </c>
      <c r="L17" s="229">
        <v>13</v>
      </c>
      <c r="N17" s="245" t="s">
        <v>107</v>
      </c>
      <c r="O17" s="246" t="s">
        <v>66</v>
      </c>
    </row>
    <row r="18" spans="1:15" ht="13.15" customHeight="1">
      <c r="A18" s="227" t="s">
        <v>155</v>
      </c>
      <c r="B18" s="227" t="s">
        <v>156</v>
      </c>
      <c r="C18" s="227" t="s">
        <v>157</v>
      </c>
      <c r="D18" s="230">
        <v>5222</v>
      </c>
      <c r="E18" s="231">
        <v>31.61</v>
      </c>
      <c r="F18" s="232">
        <v>163474.71</v>
      </c>
      <c r="G18" s="232">
        <v>165067.42000000001</v>
      </c>
      <c r="H18" s="270">
        <v>1.3840521350696621E-2</v>
      </c>
      <c r="I18" s="233" t="s">
        <v>83</v>
      </c>
      <c r="J18" s="234">
        <v>11831.503203819999</v>
      </c>
      <c r="K18" s="234">
        <v>58.809007490983909</v>
      </c>
      <c r="L18" s="229">
        <v>14</v>
      </c>
      <c r="N18" s="228" t="s">
        <v>86</v>
      </c>
      <c r="O18" s="271">
        <v>0.29955059803088202</v>
      </c>
    </row>
    <row r="19" spans="1:15" ht="13.15" customHeight="1">
      <c r="A19" s="227" t="s">
        <v>208</v>
      </c>
      <c r="B19" s="227" t="s">
        <v>209</v>
      </c>
      <c r="C19" s="227" t="s">
        <v>210</v>
      </c>
      <c r="D19" s="230">
        <v>12362</v>
      </c>
      <c r="E19" s="231">
        <v>13.35</v>
      </c>
      <c r="F19" s="232">
        <v>162498.49</v>
      </c>
      <c r="G19" s="232">
        <v>165032.70000000001</v>
      </c>
      <c r="H19" s="270">
        <v>1.3837610159007212E-2</v>
      </c>
      <c r="I19" s="233" t="s">
        <v>87</v>
      </c>
      <c r="J19" s="234">
        <v>14341.295026599997</v>
      </c>
      <c r="K19" s="234">
        <v>7.8530272500140468</v>
      </c>
      <c r="L19" s="229">
        <v>15</v>
      </c>
      <c r="N19" s="228" t="s">
        <v>78</v>
      </c>
      <c r="O19" s="271">
        <v>0.14741626321004378</v>
      </c>
    </row>
    <row r="20" spans="1:15" ht="13.15" customHeight="1">
      <c r="A20" s="227" t="s">
        <v>158</v>
      </c>
      <c r="B20" s="227" t="s">
        <v>29</v>
      </c>
      <c r="C20" s="227" t="s">
        <v>159</v>
      </c>
      <c r="D20" s="230">
        <v>1108</v>
      </c>
      <c r="E20" s="231">
        <v>148.11000000000001</v>
      </c>
      <c r="F20" s="232">
        <v>160222.34</v>
      </c>
      <c r="G20" s="232">
        <v>164105.88</v>
      </c>
      <c r="H20" s="270">
        <v>1.3759898445828121E-2</v>
      </c>
      <c r="I20" s="233" t="s">
        <v>77</v>
      </c>
      <c r="J20" s="234">
        <v>48226.732094120001</v>
      </c>
      <c r="K20" s="234">
        <v>1409.3391897970844</v>
      </c>
      <c r="L20" s="229">
        <v>16</v>
      </c>
      <c r="N20" s="228" t="s">
        <v>87</v>
      </c>
      <c r="O20" s="271">
        <v>8.1567385337265208E-2</v>
      </c>
    </row>
    <row r="21" spans="1:15" ht="13.15" customHeight="1">
      <c r="A21" s="227" t="s">
        <v>169</v>
      </c>
      <c r="B21" s="227" t="s">
        <v>170</v>
      </c>
      <c r="C21" s="227" t="s">
        <v>171</v>
      </c>
      <c r="D21" s="230">
        <v>475</v>
      </c>
      <c r="E21" s="231">
        <v>345.24</v>
      </c>
      <c r="F21" s="232">
        <v>163155.38</v>
      </c>
      <c r="G21" s="232">
        <v>163989</v>
      </c>
      <c r="H21" s="270">
        <v>1.3750098328182437E-2</v>
      </c>
      <c r="I21" s="233" t="s">
        <v>77</v>
      </c>
      <c r="J21" s="234">
        <v>14095.594222</v>
      </c>
      <c r="K21" s="234">
        <v>42.308070186136689</v>
      </c>
      <c r="L21" s="229">
        <v>18</v>
      </c>
      <c r="N21" s="228" t="s">
        <v>75</v>
      </c>
      <c r="O21" s="271">
        <v>7.9976350323899936E-2</v>
      </c>
    </row>
    <row r="22" spans="1:15" ht="13.15" customHeight="1">
      <c r="A22" s="227" t="s">
        <v>145</v>
      </c>
      <c r="B22" s="227" t="s">
        <v>146</v>
      </c>
      <c r="C22" s="227" t="s">
        <v>211</v>
      </c>
      <c r="D22" s="230">
        <v>1321</v>
      </c>
      <c r="E22" s="231">
        <v>123.9</v>
      </c>
      <c r="F22" s="232">
        <v>161472.44</v>
      </c>
      <c r="G22" s="232">
        <v>163671.9</v>
      </c>
      <c r="H22" s="270">
        <v>1.3723510226664244E-2</v>
      </c>
      <c r="I22" s="233" t="s">
        <v>80</v>
      </c>
      <c r="J22" s="234">
        <v>31969.332335999999</v>
      </c>
      <c r="K22" s="234">
        <v>44.864269662626313</v>
      </c>
      <c r="L22" s="229">
        <v>19</v>
      </c>
      <c r="N22" s="228" t="s">
        <v>80</v>
      </c>
      <c r="O22" s="271">
        <v>6.8906366167825917E-2</v>
      </c>
    </row>
    <row r="23" spans="1:15" ht="13.15" customHeight="1">
      <c r="A23" s="227" t="s">
        <v>212</v>
      </c>
      <c r="B23" s="227" t="s">
        <v>213</v>
      </c>
      <c r="C23" s="227" t="s">
        <v>214</v>
      </c>
      <c r="D23" s="230">
        <v>437</v>
      </c>
      <c r="E23" s="231">
        <v>374.14</v>
      </c>
      <c r="F23" s="232">
        <v>160805.07999999999</v>
      </c>
      <c r="G23" s="232">
        <v>163499.18</v>
      </c>
      <c r="H23" s="270">
        <v>1.3709028054181678E-2</v>
      </c>
      <c r="I23" s="233" t="s">
        <v>78</v>
      </c>
      <c r="J23" s="234">
        <v>116994.21239897999</v>
      </c>
      <c r="K23" s="234">
        <v>29.83622766414581</v>
      </c>
      <c r="L23" s="229">
        <v>20</v>
      </c>
      <c r="N23" s="228" t="s">
        <v>77</v>
      </c>
      <c r="O23" s="271">
        <v>6.852606827604453E-2</v>
      </c>
    </row>
    <row r="24" spans="1:15" ht="13.15" customHeight="1">
      <c r="A24" s="227" t="s">
        <v>215</v>
      </c>
      <c r="B24" s="227" t="s">
        <v>216</v>
      </c>
      <c r="C24" s="227" t="s">
        <v>217</v>
      </c>
      <c r="D24" s="230">
        <v>1656</v>
      </c>
      <c r="E24" s="231">
        <v>98.72</v>
      </c>
      <c r="F24" s="232">
        <v>162925.56</v>
      </c>
      <c r="G24" s="232">
        <v>163480.32000000001</v>
      </c>
      <c r="H24" s="270">
        <v>1.3707446686806613E-2</v>
      </c>
      <c r="I24" s="233" t="s">
        <v>80</v>
      </c>
      <c r="J24" s="234">
        <v>10401.102892680001</v>
      </c>
      <c r="K24" s="234">
        <v>33.78563503538367</v>
      </c>
      <c r="L24" s="229">
        <v>21</v>
      </c>
      <c r="N24" s="228" t="s">
        <v>85</v>
      </c>
      <c r="O24" s="271">
        <v>6.677791527456868E-2</v>
      </c>
    </row>
    <row r="25" spans="1:15" ht="13.15" customHeight="1">
      <c r="A25" s="227" t="s">
        <v>218</v>
      </c>
      <c r="B25" s="227" t="s">
        <v>219</v>
      </c>
      <c r="C25" s="227" t="s">
        <v>220</v>
      </c>
      <c r="D25" s="230">
        <v>4002</v>
      </c>
      <c r="E25" s="231">
        <v>40.83</v>
      </c>
      <c r="F25" s="232">
        <v>161140.53</v>
      </c>
      <c r="G25" s="232">
        <v>163401.66</v>
      </c>
      <c r="H25" s="270">
        <v>1.3700851227754513E-2</v>
      </c>
      <c r="I25" s="233" t="s">
        <v>78</v>
      </c>
      <c r="J25" s="234">
        <v>4541.35244392</v>
      </c>
      <c r="K25" s="234">
        <v>14.322204018657331</v>
      </c>
      <c r="L25" s="229">
        <v>22</v>
      </c>
      <c r="N25" s="228" t="s">
        <v>81</v>
      </c>
      <c r="O25" s="271">
        <v>5.4382834136738389E-2</v>
      </c>
    </row>
    <row r="26" spans="1:15" ht="13.15" customHeight="1">
      <c r="A26" s="227" t="s">
        <v>166</v>
      </c>
      <c r="B26" s="227" t="s">
        <v>167</v>
      </c>
      <c r="C26" s="227" t="s">
        <v>168</v>
      </c>
      <c r="D26" s="230">
        <v>2202</v>
      </c>
      <c r="E26" s="231">
        <v>74</v>
      </c>
      <c r="F26" s="232">
        <v>163993.95000000001</v>
      </c>
      <c r="G26" s="232">
        <v>162948</v>
      </c>
      <c r="H26" s="270">
        <v>1.366281288611231E-2</v>
      </c>
      <c r="I26" s="233" t="s">
        <v>75</v>
      </c>
      <c r="J26" s="234">
        <v>17592.200354299999</v>
      </c>
      <c r="K26" s="234">
        <v>86.312502080743968</v>
      </c>
      <c r="L26" s="229">
        <v>23</v>
      </c>
      <c r="N26" s="228" t="s">
        <v>76</v>
      </c>
      <c r="O26" s="271">
        <v>4.1064527918774366E-2</v>
      </c>
    </row>
    <row r="27" spans="1:15" ht="13.15" customHeight="1">
      <c r="A27" s="227" t="s">
        <v>221</v>
      </c>
      <c r="B27" s="227" t="s">
        <v>222</v>
      </c>
      <c r="C27" s="227" t="s">
        <v>223</v>
      </c>
      <c r="D27" s="230">
        <v>1032</v>
      </c>
      <c r="E27" s="231">
        <v>157.03</v>
      </c>
      <c r="F27" s="232">
        <v>163030.20000000001</v>
      </c>
      <c r="G27" s="232">
        <v>162054.96</v>
      </c>
      <c r="H27" s="270">
        <v>1.3587933547796935E-2</v>
      </c>
      <c r="I27" s="233" t="s">
        <v>76</v>
      </c>
      <c r="J27" s="234">
        <v>2978.47443441</v>
      </c>
      <c r="K27" s="234">
        <v>382.20700670446911</v>
      </c>
      <c r="L27" s="229">
        <v>25</v>
      </c>
      <c r="N27" s="228" t="s">
        <v>84</v>
      </c>
      <c r="O27" s="271">
        <v>3.0857514218069038E-2</v>
      </c>
    </row>
    <row r="28" spans="1:15" ht="13.15" customHeight="1">
      <c r="A28" s="227" t="s">
        <v>224</v>
      </c>
      <c r="B28" s="227" t="s">
        <v>225</v>
      </c>
      <c r="C28" s="227" t="s">
        <v>226</v>
      </c>
      <c r="D28" s="230">
        <v>3720</v>
      </c>
      <c r="E28" s="231">
        <v>43.51</v>
      </c>
      <c r="F28" s="232">
        <v>161131.79999999999</v>
      </c>
      <c r="G28" s="232">
        <v>161857.20000000001</v>
      </c>
      <c r="H28" s="270">
        <v>1.357135182923422E-2</v>
      </c>
      <c r="I28" s="233" t="s">
        <v>75</v>
      </c>
      <c r="J28" s="234">
        <v>4805.7690770100007</v>
      </c>
      <c r="K28" s="234">
        <v>12.444362541986498</v>
      </c>
      <c r="L28" s="229">
        <v>26</v>
      </c>
      <c r="N28" s="228" t="s">
        <v>83</v>
      </c>
      <c r="O28" s="271">
        <v>2.717573293929482E-2</v>
      </c>
    </row>
    <row r="29" spans="1:15" ht="13.15" customHeight="1">
      <c r="A29" s="227" t="s">
        <v>227</v>
      </c>
      <c r="B29" s="227" t="s">
        <v>228</v>
      </c>
      <c r="C29" s="227" t="s">
        <v>229</v>
      </c>
      <c r="D29" s="230">
        <v>718</v>
      </c>
      <c r="E29" s="231">
        <v>225.04</v>
      </c>
      <c r="F29" s="232">
        <v>162458.26999999999</v>
      </c>
      <c r="G29" s="232">
        <v>161578.72</v>
      </c>
      <c r="H29" s="270">
        <v>1.3548001925384374E-2</v>
      </c>
      <c r="I29" s="233" t="s">
        <v>75</v>
      </c>
      <c r="J29" s="234">
        <v>9984.4280495999992</v>
      </c>
      <c r="K29" s="234">
        <v>53.400164895427309</v>
      </c>
      <c r="L29" s="229">
        <v>28</v>
      </c>
      <c r="N29" s="228" t="s">
        <v>82</v>
      </c>
      <c r="O29" s="271">
        <v>1.9735237613578652E-2</v>
      </c>
    </row>
    <row r="30" spans="1:15" ht="13.15" customHeight="1">
      <c r="A30" s="227" t="s">
        <v>230</v>
      </c>
      <c r="B30" s="227" t="s">
        <v>231</v>
      </c>
      <c r="C30" s="227" t="s">
        <v>232</v>
      </c>
      <c r="D30" s="230">
        <v>1736</v>
      </c>
      <c r="E30" s="231">
        <v>92.92</v>
      </c>
      <c r="F30" s="232">
        <v>161786.51999999999</v>
      </c>
      <c r="G30" s="232">
        <v>161309.12</v>
      </c>
      <c r="H30" s="270">
        <v>1.3525396588994262E-2</v>
      </c>
      <c r="I30" s="233" t="s">
        <v>78</v>
      </c>
      <c r="J30" s="234">
        <v>31891.289785770001</v>
      </c>
      <c r="K30" s="234">
        <v>24.631988859858822</v>
      </c>
      <c r="L30" s="229">
        <v>29</v>
      </c>
      <c r="N30" s="228" t="s">
        <v>79</v>
      </c>
      <c r="O30" s="271">
        <v>1.4063206553014683E-2</v>
      </c>
    </row>
    <row r="31" spans="1:15" ht="13.15" customHeight="1">
      <c r="A31" s="227" t="s">
        <v>233</v>
      </c>
      <c r="B31" s="227" t="s">
        <v>234</v>
      </c>
      <c r="C31" s="227" t="s">
        <v>235</v>
      </c>
      <c r="D31" s="230">
        <v>1787</v>
      </c>
      <c r="E31" s="231">
        <v>90.19</v>
      </c>
      <c r="F31" s="232">
        <v>160445.79</v>
      </c>
      <c r="G31" s="232">
        <v>161169.53</v>
      </c>
      <c r="H31" s="270">
        <v>1.3513692290378921E-2</v>
      </c>
      <c r="I31" s="233" t="s">
        <v>78</v>
      </c>
      <c r="J31" s="234">
        <v>5094.7773172800007</v>
      </c>
      <c r="K31" s="234">
        <v>18.419926045710572</v>
      </c>
      <c r="L31" s="229">
        <v>30</v>
      </c>
      <c r="N31" s="228" t="s">
        <v>131</v>
      </c>
      <c r="O31" s="271">
        <v>0</v>
      </c>
    </row>
    <row r="32" spans="1:15" ht="13.15" customHeight="1">
      <c r="A32" s="227" t="s">
        <v>236</v>
      </c>
      <c r="B32" s="227" t="s">
        <v>237</v>
      </c>
      <c r="C32" s="227" t="s">
        <v>238</v>
      </c>
      <c r="D32" s="230">
        <v>1203</v>
      </c>
      <c r="E32" s="231">
        <v>133.38999999999999</v>
      </c>
      <c r="F32" s="232">
        <v>162567.41</v>
      </c>
      <c r="G32" s="232">
        <v>160468.17000000001</v>
      </c>
      <c r="H32" s="270">
        <v>1.345488487668987E-2</v>
      </c>
      <c r="I32" s="233" t="s">
        <v>81</v>
      </c>
      <c r="J32" s="234">
        <v>11393.190806849998</v>
      </c>
      <c r="K32" s="234">
        <v>18.601364570999298</v>
      </c>
      <c r="L32" s="229">
        <v>31</v>
      </c>
    </row>
    <row r="33" spans="1:12" ht="13.15" customHeight="1">
      <c r="A33" s="227" t="s">
        <v>239</v>
      </c>
      <c r="B33" s="227" t="s">
        <v>240</v>
      </c>
      <c r="C33" s="227" t="s">
        <v>241</v>
      </c>
      <c r="D33" s="230">
        <v>2507</v>
      </c>
      <c r="E33" s="231">
        <v>64</v>
      </c>
      <c r="F33" s="232">
        <v>161714.04</v>
      </c>
      <c r="G33" s="232">
        <v>160448</v>
      </c>
      <c r="H33" s="270">
        <v>1.3453193668844956E-2</v>
      </c>
      <c r="I33" s="233" t="s">
        <v>80</v>
      </c>
      <c r="J33" s="234">
        <v>261342.78504079999</v>
      </c>
      <c r="K33" s="234">
        <v>13.918907710490595</v>
      </c>
      <c r="L33" s="229">
        <v>32</v>
      </c>
    </row>
    <row r="34" spans="1:12" ht="13.15" customHeight="1">
      <c r="A34" s="227" t="s">
        <v>242</v>
      </c>
      <c r="B34" s="227" t="s">
        <v>243</v>
      </c>
      <c r="C34" s="227" t="s">
        <v>244</v>
      </c>
      <c r="D34" s="230">
        <v>1719</v>
      </c>
      <c r="E34" s="231">
        <v>93</v>
      </c>
      <c r="F34" s="232">
        <v>164807.92000000001</v>
      </c>
      <c r="G34" s="232">
        <v>159867</v>
      </c>
      <c r="H34" s="270">
        <v>1.3404478162752023E-2</v>
      </c>
      <c r="I34" s="233" t="s">
        <v>87</v>
      </c>
      <c r="J34" s="234">
        <v>73826.305324850007</v>
      </c>
      <c r="K34" s="234">
        <v>32.440949375412949</v>
      </c>
      <c r="L34" s="229">
        <v>33</v>
      </c>
    </row>
    <row r="35" spans="1:12" ht="13.15" customHeight="1">
      <c r="A35" s="227" t="s">
        <v>245</v>
      </c>
      <c r="B35" s="227" t="s">
        <v>246</v>
      </c>
      <c r="C35" s="227" t="s">
        <v>247</v>
      </c>
      <c r="D35" s="230">
        <v>13591</v>
      </c>
      <c r="E35" s="231">
        <v>11.76</v>
      </c>
      <c r="F35" s="232">
        <v>170033.22</v>
      </c>
      <c r="G35" s="232">
        <v>159830.16</v>
      </c>
      <c r="H35" s="270">
        <v>1.3401389213966372E-2</v>
      </c>
      <c r="I35" s="233" t="s">
        <v>77</v>
      </c>
      <c r="J35" s="234">
        <v>4908.3428806578004</v>
      </c>
      <c r="K35" s="234">
        <v>3.9965349020877583</v>
      </c>
      <c r="L35" s="229">
        <v>34</v>
      </c>
    </row>
    <row r="36" spans="1:12" ht="13.15" customHeight="1">
      <c r="A36" s="227" t="s">
        <v>248</v>
      </c>
      <c r="B36" s="227" t="s">
        <v>249</v>
      </c>
      <c r="C36" s="227" t="s">
        <v>250</v>
      </c>
      <c r="D36" s="230">
        <v>2948</v>
      </c>
      <c r="E36" s="231">
        <v>54.11</v>
      </c>
      <c r="F36" s="232">
        <v>162714.85999999999</v>
      </c>
      <c r="G36" s="232">
        <v>159516.28</v>
      </c>
      <c r="H36" s="270">
        <v>1.337507110200002E-2</v>
      </c>
      <c r="I36" s="233" t="s">
        <v>87</v>
      </c>
      <c r="J36" s="234">
        <v>250504.63440833616</v>
      </c>
      <c r="K36" s="234">
        <v>24.742989618237441</v>
      </c>
      <c r="L36" s="229">
        <v>36</v>
      </c>
    </row>
    <row r="37" spans="1:12" ht="13.15" customHeight="1">
      <c r="A37" s="227" t="s">
        <v>251</v>
      </c>
      <c r="B37" s="227" t="s">
        <v>252</v>
      </c>
      <c r="C37" s="227" t="s">
        <v>253</v>
      </c>
      <c r="D37" s="230">
        <v>1156</v>
      </c>
      <c r="E37" s="231">
        <v>137.9</v>
      </c>
      <c r="F37" s="232">
        <v>156158.26</v>
      </c>
      <c r="G37" s="232">
        <v>159412.4</v>
      </c>
      <c r="H37" s="270">
        <v>1.3366361004284127E-2</v>
      </c>
      <c r="I37" s="233" t="s">
        <v>77</v>
      </c>
      <c r="J37" s="234">
        <v>38147.418432704995</v>
      </c>
      <c r="K37" s="234">
        <v>69.955197411067587</v>
      </c>
      <c r="L37" s="229">
        <v>37</v>
      </c>
    </row>
    <row r="38" spans="1:12" ht="13.15" customHeight="1">
      <c r="A38" s="227" t="s">
        <v>254</v>
      </c>
      <c r="B38" s="227" t="s">
        <v>255</v>
      </c>
      <c r="C38" s="227" t="s">
        <v>256</v>
      </c>
      <c r="D38" s="230">
        <v>467</v>
      </c>
      <c r="E38" s="231">
        <v>341.31</v>
      </c>
      <c r="F38" s="232">
        <v>157068.44</v>
      </c>
      <c r="G38" s="232">
        <v>159391.76999999999</v>
      </c>
      <c r="H38" s="270">
        <v>1.3364631226503236E-2</v>
      </c>
      <c r="I38" s="233" t="s">
        <v>78</v>
      </c>
      <c r="J38" s="234">
        <v>36838.288713540001</v>
      </c>
      <c r="K38" s="234">
        <v>39.141447430591555</v>
      </c>
      <c r="L38" s="229">
        <v>38</v>
      </c>
    </row>
    <row r="39" spans="1:12" ht="13.15" customHeight="1">
      <c r="A39" s="227" t="s">
        <v>160</v>
      </c>
      <c r="B39" s="227" t="s">
        <v>161</v>
      </c>
      <c r="C39" s="227" t="s">
        <v>162</v>
      </c>
      <c r="D39" s="230">
        <v>866</v>
      </c>
      <c r="E39" s="231">
        <v>183.65</v>
      </c>
      <c r="F39" s="232">
        <v>156256.71</v>
      </c>
      <c r="G39" s="232">
        <v>159040.9</v>
      </c>
      <c r="H39" s="270">
        <v>1.3335211588598199E-2</v>
      </c>
      <c r="I39" s="233" t="s">
        <v>83</v>
      </c>
      <c r="J39" s="234">
        <v>15601.016171519999</v>
      </c>
      <c r="K39" s="234">
        <v>26.39590517489329</v>
      </c>
      <c r="L39" s="229">
        <v>40</v>
      </c>
    </row>
    <row r="40" spans="1:12" ht="13.15" customHeight="1">
      <c r="A40" s="227" t="s">
        <v>257</v>
      </c>
      <c r="B40" s="227" t="s">
        <v>258</v>
      </c>
      <c r="C40" s="227" t="s">
        <v>259</v>
      </c>
      <c r="D40" s="230">
        <v>1537</v>
      </c>
      <c r="E40" s="231">
        <v>103.09</v>
      </c>
      <c r="F40" s="232">
        <v>159917.17000000001</v>
      </c>
      <c r="G40" s="232">
        <v>158449.32999999999</v>
      </c>
      <c r="H40" s="270">
        <v>1.3285609812454658E-2</v>
      </c>
      <c r="I40" s="233" t="s">
        <v>75</v>
      </c>
      <c r="J40" s="234">
        <v>16758.63779837</v>
      </c>
      <c r="K40" s="234">
        <v>31.625326408493592</v>
      </c>
      <c r="L40" s="229">
        <v>41</v>
      </c>
    </row>
    <row r="41" spans="1:12" ht="13.15" customHeight="1">
      <c r="A41" s="227" t="s">
        <v>260</v>
      </c>
      <c r="B41" s="227" t="s">
        <v>261</v>
      </c>
      <c r="C41" s="227" t="s">
        <v>262</v>
      </c>
      <c r="D41" s="230">
        <v>847</v>
      </c>
      <c r="E41" s="231">
        <v>186.89</v>
      </c>
      <c r="F41" s="232">
        <v>156165.63</v>
      </c>
      <c r="G41" s="232">
        <v>158295.82999999999</v>
      </c>
      <c r="H41" s="270">
        <v>1.3272739192514442E-2</v>
      </c>
      <c r="I41" s="233" t="s">
        <v>78</v>
      </c>
      <c r="J41" s="234">
        <v>10329.980815160001</v>
      </c>
      <c r="K41" s="234">
        <v>27.355089103370862</v>
      </c>
      <c r="L41" s="229">
        <v>42</v>
      </c>
    </row>
    <row r="42" spans="1:12" ht="13.15" customHeight="1">
      <c r="A42" s="227" t="s">
        <v>163</v>
      </c>
      <c r="B42" s="227" t="s">
        <v>164</v>
      </c>
      <c r="C42" s="227" t="s">
        <v>165</v>
      </c>
      <c r="D42" s="230">
        <v>2027</v>
      </c>
      <c r="E42" s="231">
        <v>78.069999999999993</v>
      </c>
      <c r="F42" s="232">
        <v>156514.79999999999</v>
      </c>
      <c r="G42" s="232">
        <v>158247.89000000001</v>
      </c>
      <c r="H42" s="270">
        <v>1.3268719534404127E-2</v>
      </c>
      <c r="I42" s="233" t="s">
        <v>78</v>
      </c>
      <c r="J42" s="234">
        <v>8783.0136645599996</v>
      </c>
      <c r="K42" s="234">
        <v>28.649446269242965</v>
      </c>
      <c r="L42" s="229">
        <v>43</v>
      </c>
    </row>
    <row r="43" spans="1:12" ht="13.15" customHeight="1">
      <c r="A43" s="227" t="s">
        <v>263</v>
      </c>
      <c r="B43" s="227" t="s">
        <v>264</v>
      </c>
      <c r="C43" s="227" t="s">
        <v>265</v>
      </c>
      <c r="D43" s="230">
        <v>7282</v>
      </c>
      <c r="E43" s="231">
        <v>21.61</v>
      </c>
      <c r="F43" s="232">
        <v>161405.53</v>
      </c>
      <c r="G43" s="232">
        <v>157364.01999999999</v>
      </c>
      <c r="H43" s="270">
        <v>1.3194609079377686E-2</v>
      </c>
      <c r="I43" s="233" t="s">
        <v>84</v>
      </c>
      <c r="J43" s="234">
        <v>22359.439207799998</v>
      </c>
      <c r="K43" s="234" t="s">
        <v>154</v>
      </c>
      <c r="L43" s="229">
        <v>44</v>
      </c>
    </row>
    <row r="44" spans="1:12" ht="13.15" customHeight="1">
      <c r="A44" s="227" t="s">
        <v>266</v>
      </c>
      <c r="B44" s="227" t="s">
        <v>267</v>
      </c>
      <c r="C44" s="227" t="s">
        <v>268</v>
      </c>
      <c r="D44" s="230">
        <v>3872</v>
      </c>
      <c r="E44" s="231">
        <v>40.47</v>
      </c>
      <c r="F44" s="232">
        <v>162604.64000000001</v>
      </c>
      <c r="G44" s="232">
        <v>156699.84</v>
      </c>
      <c r="H44" s="270">
        <v>1.3138919122687834E-2</v>
      </c>
      <c r="I44" s="233" t="s">
        <v>81</v>
      </c>
      <c r="J44" s="234">
        <v>5421.49065909</v>
      </c>
      <c r="K44" s="234">
        <v>27.081557021114065</v>
      </c>
      <c r="L44" s="229">
        <v>45</v>
      </c>
    </row>
    <row r="45" spans="1:12" ht="13.15" customHeight="1">
      <c r="A45" s="227" t="s">
        <v>172</v>
      </c>
      <c r="B45" s="227" t="s">
        <v>173</v>
      </c>
      <c r="C45" s="227" t="s">
        <v>174</v>
      </c>
      <c r="D45" s="230">
        <v>314</v>
      </c>
      <c r="E45" s="231">
        <v>497.92</v>
      </c>
      <c r="F45" s="232">
        <v>162239.09</v>
      </c>
      <c r="G45" s="232">
        <v>156346.88</v>
      </c>
      <c r="H45" s="270">
        <v>1.310932424311716E-2</v>
      </c>
      <c r="I45" s="233" t="s">
        <v>75</v>
      </c>
      <c r="J45" s="234">
        <v>19745.545375852002</v>
      </c>
      <c r="K45" s="234">
        <v>66.200767565684714</v>
      </c>
      <c r="L45" s="229">
        <v>46</v>
      </c>
    </row>
    <row r="46" spans="1:12" ht="13.15" customHeight="1">
      <c r="A46" s="227" t="s">
        <v>269</v>
      </c>
      <c r="B46" s="227" t="s">
        <v>270</v>
      </c>
      <c r="C46" s="227" t="s">
        <v>271</v>
      </c>
      <c r="D46" s="230">
        <v>1241</v>
      </c>
      <c r="E46" s="231">
        <v>125.8</v>
      </c>
      <c r="F46" s="232">
        <v>155416.63</v>
      </c>
      <c r="G46" s="232">
        <v>156117.79999999999</v>
      </c>
      <c r="H46" s="270">
        <v>1.3090116415000517E-2</v>
      </c>
      <c r="I46" s="233" t="s">
        <v>78</v>
      </c>
      <c r="J46" s="234">
        <v>16353.4020346</v>
      </c>
      <c r="K46" s="234">
        <v>67.052359855611911</v>
      </c>
      <c r="L46" s="229">
        <v>47</v>
      </c>
    </row>
    <row r="47" spans="1:12" ht="13.15" customHeight="1">
      <c r="A47" s="227" t="s">
        <v>272</v>
      </c>
      <c r="B47" s="227" t="s">
        <v>273</v>
      </c>
      <c r="C47" s="227" t="s">
        <v>274</v>
      </c>
      <c r="D47" s="230">
        <v>2263</v>
      </c>
      <c r="E47" s="231">
        <v>68.97</v>
      </c>
      <c r="F47" s="232">
        <v>156565.66</v>
      </c>
      <c r="G47" s="232">
        <v>156079.10999999999</v>
      </c>
      <c r="H47" s="270">
        <v>1.3086872347994088E-2</v>
      </c>
      <c r="I47" s="233" t="s">
        <v>76</v>
      </c>
      <c r="J47" s="234">
        <v>32387.96733906</v>
      </c>
      <c r="K47" s="234">
        <v>40.89760714039474</v>
      </c>
      <c r="L47" s="229">
        <v>48</v>
      </c>
    </row>
    <row r="48" spans="1:12" ht="13.15" customHeight="1">
      <c r="A48" s="227" t="s">
        <v>275</v>
      </c>
      <c r="B48" s="227" t="s">
        <v>276</v>
      </c>
      <c r="C48" s="227" t="s">
        <v>277</v>
      </c>
      <c r="D48" s="230">
        <v>3395</v>
      </c>
      <c r="E48" s="231">
        <v>45.91</v>
      </c>
      <c r="F48" s="232">
        <v>146375.43</v>
      </c>
      <c r="G48" s="232">
        <v>155864.45000000001</v>
      </c>
      <c r="H48" s="270">
        <v>1.3068873603522645E-2</v>
      </c>
      <c r="I48" s="233" t="s">
        <v>84</v>
      </c>
      <c r="J48" s="234">
        <v>8673.8816024550015</v>
      </c>
      <c r="K48" s="234" t="s">
        <v>154</v>
      </c>
      <c r="L48" s="229">
        <v>49</v>
      </c>
    </row>
    <row r="49" spans="1:12" ht="13.15" customHeight="1">
      <c r="A49" s="227" t="s">
        <v>278</v>
      </c>
      <c r="B49" s="227" t="s">
        <v>279</v>
      </c>
      <c r="C49" s="227" t="s">
        <v>280</v>
      </c>
      <c r="D49" s="230">
        <v>388</v>
      </c>
      <c r="E49" s="231">
        <v>400.93</v>
      </c>
      <c r="F49" s="232">
        <v>155089.42000000001</v>
      </c>
      <c r="G49" s="232">
        <v>155560.84</v>
      </c>
      <c r="H49" s="270">
        <v>1.3043416607300828E-2</v>
      </c>
      <c r="I49" s="233" t="s">
        <v>78</v>
      </c>
      <c r="J49" s="234">
        <v>21216.421512550001</v>
      </c>
      <c r="K49" s="234">
        <v>22.502707769549829</v>
      </c>
      <c r="L49" s="229">
        <v>50</v>
      </c>
    </row>
    <row r="50" spans="1:12" ht="13.15" customHeight="1">
      <c r="A50" s="227" t="s">
        <v>281</v>
      </c>
      <c r="B50" s="227" t="s">
        <v>282</v>
      </c>
      <c r="C50" s="227" t="s">
        <v>283</v>
      </c>
      <c r="D50" s="230">
        <v>4303</v>
      </c>
      <c r="E50" s="231">
        <v>36.11</v>
      </c>
      <c r="F50" s="232">
        <v>183481.87</v>
      </c>
      <c r="G50" s="232">
        <v>155381.32999999999</v>
      </c>
      <c r="H50" s="270">
        <v>1.3028365109024161E-2</v>
      </c>
      <c r="I50" s="233" t="s">
        <v>87</v>
      </c>
      <c r="J50" s="234">
        <v>21065.89214982</v>
      </c>
      <c r="K50" s="234">
        <v>8.0108366611098898</v>
      </c>
      <c r="L50" s="229">
        <v>51</v>
      </c>
    </row>
    <row r="51" spans="1:12" ht="13.15" customHeight="1">
      <c r="A51" s="227" t="s">
        <v>147</v>
      </c>
      <c r="B51" s="227" t="s">
        <v>148</v>
      </c>
      <c r="C51" s="227" t="s">
        <v>149</v>
      </c>
      <c r="D51" s="230">
        <v>691</v>
      </c>
      <c r="E51" s="231">
        <v>220.91</v>
      </c>
      <c r="F51" s="232">
        <v>162215.71</v>
      </c>
      <c r="G51" s="232">
        <v>152648.81</v>
      </c>
      <c r="H51" s="270">
        <v>1.2799249627597207E-2</v>
      </c>
      <c r="I51" s="233" t="s">
        <v>75</v>
      </c>
      <c r="J51" s="234">
        <v>11716.067824080001</v>
      </c>
      <c r="K51" s="234">
        <v>40.613321256267554</v>
      </c>
      <c r="L51" s="229">
        <v>52</v>
      </c>
    </row>
    <row r="52" spans="1:12" ht="13.15" customHeight="1">
      <c r="A52" s="227" t="s">
        <v>284</v>
      </c>
      <c r="B52" s="227" t="s">
        <v>285</v>
      </c>
      <c r="C52" s="227" t="s">
        <v>286</v>
      </c>
      <c r="D52" s="230">
        <v>585</v>
      </c>
      <c r="E52" s="231">
        <v>259.11</v>
      </c>
      <c r="F52" s="232">
        <v>154138.72</v>
      </c>
      <c r="G52" s="232">
        <v>151579.35</v>
      </c>
      <c r="H52" s="270">
        <v>1.270957788035771E-2</v>
      </c>
      <c r="I52" s="233" t="s">
        <v>78</v>
      </c>
      <c r="J52" s="234">
        <v>37736.66595468</v>
      </c>
      <c r="K52" s="234">
        <v>22.819996111945056</v>
      </c>
      <c r="L52" s="229">
        <v>53</v>
      </c>
    </row>
    <row r="53" spans="1:12" ht="13.15" customHeight="1">
      <c r="A53" s="236" t="s">
        <v>133</v>
      </c>
      <c r="D53" s="237">
        <v>119536</v>
      </c>
      <c r="E53" s="238"/>
      <c r="F53" s="239">
        <v>6944740.8300000001</v>
      </c>
      <c r="G53" s="239">
        <v>6934244.4400000004</v>
      </c>
      <c r="H53" s="270"/>
      <c r="I53" s="233"/>
      <c r="J53" s="234"/>
      <c r="K53" s="234"/>
      <c r="L53" s="229"/>
    </row>
    <row r="54" spans="1:12" ht="13.15" customHeight="1">
      <c r="A54" s="225" t="s">
        <v>175</v>
      </c>
      <c r="B54" s="226"/>
      <c r="C54" s="226"/>
      <c r="D54" s="226"/>
      <c r="E54" s="227"/>
      <c r="F54" s="227"/>
      <c r="G54" s="227"/>
      <c r="H54" s="270"/>
      <c r="I54" s="233"/>
      <c r="J54" s="234"/>
      <c r="K54" s="234"/>
      <c r="L54" s="229"/>
    </row>
    <row r="55" spans="1:12" ht="13.15" customHeight="1">
      <c r="A55" s="227" t="s">
        <v>287</v>
      </c>
      <c r="B55" s="227" t="s">
        <v>288</v>
      </c>
      <c r="C55" s="207" t="s">
        <v>186</v>
      </c>
      <c r="D55" s="230">
        <v>96839</v>
      </c>
      <c r="E55" s="231">
        <v>1.77</v>
      </c>
      <c r="F55" s="232">
        <v>164868.4</v>
      </c>
      <c r="G55" s="232">
        <v>171405.03</v>
      </c>
      <c r="H55" s="269">
        <v>1.4371915289714921E-2</v>
      </c>
      <c r="I55" s="242" t="s">
        <v>87</v>
      </c>
      <c r="J55" s="243">
        <v>3109.4141089499999</v>
      </c>
      <c r="K55" s="243">
        <v>8.4157073279725463</v>
      </c>
      <c r="L55" s="244">
        <v>6</v>
      </c>
    </row>
    <row r="56" spans="1:12" ht="13.15" customHeight="1">
      <c r="A56" s="227" t="s">
        <v>289</v>
      </c>
      <c r="B56" s="227" t="s">
        <v>290</v>
      </c>
      <c r="C56" s="227" t="s">
        <v>291</v>
      </c>
      <c r="D56" s="230">
        <v>1565</v>
      </c>
      <c r="E56" s="231">
        <v>103.26</v>
      </c>
      <c r="F56" s="232">
        <v>159903.42000000001</v>
      </c>
      <c r="G56" s="232">
        <v>161601.9</v>
      </c>
      <c r="H56" s="270">
        <v>1.3549945514766876E-2</v>
      </c>
      <c r="I56" s="233" t="s">
        <v>87</v>
      </c>
      <c r="J56" s="234">
        <v>73752.937087700004</v>
      </c>
      <c r="K56" s="234">
        <v>39.012095079885846</v>
      </c>
      <c r="L56" s="229">
        <v>27</v>
      </c>
    </row>
    <row r="57" spans="1:12" ht="13.15" customHeight="1">
      <c r="A57" s="227" t="s">
        <v>292</v>
      </c>
      <c r="B57" s="227" t="s">
        <v>293</v>
      </c>
      <c r="C57" s="227" t="s">
        <v>294</v>
      </c>
      <c r="D57" s="230">
        <v>3660</v>
      </c>
      <c r="E57" s="231">
        <v>14.97</v>
      </c>
      <c r="F57" s="232">
        <v>53935.24</v>
      </c>
      <c r="G57" s="232">
        <v>54790.2</v>
      </c>
      <c r="H57" s="270">
        <v>4.5940315351687081E-3</v>
      </c>
      <c r="I57" s="233" t="s">
        <v>84</v>
      </c>
      <c r="J57" s="234">
        <v>2652.2547300000001</v>
      </c>
      <c r="K57" s="234" t="s">
        <v>176</v>
      </c>
      <c r="L57" s="229">
        <v>56</v>
      </c>
    </row>
    <row r="58" spans="1:12" ht="13.15" customHeight="1">
      <c r="A58" s="236" t="s">
        <v>177</v>
      </c>
      <c r="D58" s="237">
        <v>102064</v>
      </c>
      <c r="E58" s="238"/>
      <c r="F58" s="239">
        <v>378707.06</v>
      </c>
      <c r="G58" s="239">
        <v>387797.13</v>
      </c>
      <c r="H58" s="270"/>
      <c r="I58" s="233"/>
      <c r="J58" s="234"/>
      <c r="K58" s="234"/>
      <c r="L58" s="229"/>
    </row>
    <row r="59" spans="1:12" ht="13.15" customHeight="1">
      <c r="A59" s="225" t="s">
        <v>134</v>
      </c>
      <c r="B59" s="226"/>
      <c r="C59" s="226"/>
      <c r="D59" s="226"/>
      <c r="E59" s="227"/>
      <c r="F59" s="227"/>
      <c r="G59" s="227"/>
      <c r="H59" s="270"/>
      <c r="I59" s="233"/>
      <c r="J59" s="234"/>
      <c r="K59" s="234"/>
      <c r="L59" s="229"/>
    </row>
    <row r="60" spans="1:12" ht="13.15" customHeight="1">
      <c r="A60" s="227" t="s">
        <v>178</v>
      </c>
      <c r="B60" s="227" t="s">
        <v>179</v>
      </c>
      <c r="C60" s="207" t="s">
        <v>143</v>
      </c>
      <c r="D60" s="230">
        <v>5818</v>
      </c>
      <c r="E60" s="231">
        <v>396.33</v>
      </c>
      <c r="F60" s="232">
        <v>2211628.9300000002</v>
      </c>
      <c r="G60" s="232">
        <v>2305847.94</v>
      </c>
      <c r="H60" s="269">
        <v>0.19334001612813612</v>
      </c>
      <c r="I60" s="242" t="s">
        <v>86</v>
      </c>
      <c r="J60" s="243"/>
      <c r="K60" s="243"/>
      <c r="L60" s="244">
        <v>1</v>
      </c>
    </row>
    <row r="61" spans="1:12" ht="13.15" customHeight="1">
      <c r="A61" s="227" t="s">
        <v>295</v>
      </c>
      <c r="B61" s="227" t="s">
        <v>296</v>
      </c>
      <c r="C61" s="207" t="s">
        <v>182</v>
      </c>
      <c r="D61" s="230">
        <v>2040</v>
      </c>
      <c r="E61" s="231">
        <v>397.82</v>
      </c>
      <c r="F61" s="232">
        <v>798071.27</v>
      </c>
      <c r="G61" s="232">
        <v>811552.8</v>
      </c>
      <c r="H61" s="269">
        <v>6.8046825082851745E-2</v>
      </c>
      <c r="I61" s="242" t="s">
        <v>86</v>
      </c>
      <c r="J61" s="243"/>
      <c r="K61" s="243"/>
      <c r="L61" s="244">
        <v>2</v>
      </c>
    </row>
    <row r="62" spans="1:12" ht="13.15" customHeight="1">
      <c r="A62" s="227" t="s">
        <v>180</v>
      </c>
      <c r="B62" s="227" t="s">
        <v>181</v>
      </c>
      <c r="C62" s="207" t="s">
        <v>183</v>
      </c>
      <c r="D62" s="230">
        <v>40373</v>
      </c>
      <c r="E62" s="231">
        <v>9.35</v>
      </c>
      <c r="F62" s="232">
        <v>454484.22</v>
      </c>
      <c r="G62" s="232">
        <v>377487.55</v>
      </c>
      <c r="H62" s="269">
        <v>3.165145790366844E-2</v>
      </c>
      <c r="I62" s="242" t="s">
        <v>86</v>
      </c>
      <c r="J62" s="243"/>
      <c r="K62" s="243"/>
      <c r="L62" s="244">
        <v>3</v>
      </c>
    </row>
    <row r="63" spans="1:12" ht="13.15" customHeight="1">
      <c r="A63" s="236" t="s">
        <v>135</v>
      </c>
      <c r="D63" s="237">
        <v>48231</v>
      </c>
      <c r="E63" s="238"/>
      <c r="F63" s="239">
        <v>3464184.42</v>
      </c>
      <c r="G63" s="239">
        <v>3494888.29</v>
      </c>
      <c r="H63" s="270"/>
      <c r="I63" s="233"/>
      <c r="J63" s="234"/>
      <c r="K63" s="234"/>
      <c r="L63" s="229"/>
    </row>
    <row r="64" spans="1:12" ht="13.15" customHeight="1">
      <c r="A64" s="225" t="s">
        <v>297</v>
      </c>
      <c r="B64" s="226"/>
      <c r="C64" s="226"/>
      <c r="D64" s="226"/>
      <c r="E64" s="227"/>
      <c r="F64" s="227"/>
      <c r="G64" s="227"/>
      <c r="H64" s="270"/>
      <c r="I64" s="233"/>
      <c r="J64" s="234"/>
      <c r="K64" s="234"/>
      <c r="L64" s="229"/>
    </row>
    <row r="65" spans="1:12" ht="13.15" customHeight="1">
      <c r="A65" s="227" t="s">
        <v>298</v>
      </c>
      <c r="B65" s="227" t="s">
        <v>299</v>
      </c>
      <c r="C65" s="227" t="s">
        <v>300</v>
      </c>
      <c r="D65" s="230">
        <v>6813</v>
      </c>
      <c r="E65" s="231">
        <v>11.4</v>
      </c>
      <c r="F65" s="232">
        <v>100696.22</v>
      </c>
      <c r="G65" s="232">
        <v>77668.2</v>
      </c>
      <c r="H65" s="270">
        <v>6.5122989162257165E-3</v>
      </c>
      <c r="I65" s="233" t="s">
        <v>86</v>
      </c>
      <c r="J65" s="234"/>
      <c r="K65" s="234"/>
      <c r="L65" s="229">
        <v>55</v>
      </c>
    </row>
    <row r="66" spans="1:12" ht="13.15" customHeight="1">
      <c r="A66" s="236" t="s">
        <v>301</v>
      </c>
      <c r="D66" s="237">
        <v>6813</v>
      </c>
      <c r="E66" s="238"/>
      <c r="F66" s="239">
        <v>100696.22</v>
      </c>
      <c r="G66" s="239">
        <v>77668.2</v>
      </c>
    </row>
    <row r="67" spans="1:12" ht="13.15" customHeight="1">
      <c r="A67" s="225" t="s">
        <v>136</v>
      </c>
      <c r="B67" s="226"/>
      <c r="C67" s="226"/>
      <c r="D67" s="226"/>
      <c r="E67" s="227"/>
      <c r="F67" s="227"/>
      <c r="G67" s="227"/>
      <c r="H67" s="327"/>
      <c r="I67" s="233"/>
      <c r="J67" s="234"/>
      <c r="K67" s="234"/>
      <c r="L67" s="229"/>
    </row>
    <row r="68" spans="1:12" ht="13.15" customHeight="1">
      <c r="A68" s="227" t="s">
        <v>137</v>
      </c>
      <c r="B68" s="227" t="s">
        <v>138</v>
      </c>
      <c r="C68" s="227" t="s">
        <v>142</v>
      </c>
      <c r="D68" s="230">
        <v>235370.09</v>
      </c>
      <c r="E68" s="231">
        <v>100</v>
      </c>
      <c r="F68" s="232">
        <v>235370.09</v>
      </c>
      <c r="G68" s="232">
        <v>235370.09</v>
      </c>
      <c r="H68" s="269">
        <v>1.9735237613578652E-2</v>
      </c>
      <c r="I68" s="242" t="s">
        <v>82</v>
      </c>
      <c r="J68" s="243"/>
      <c r="K68" s="243"/>
      <c r="L68" s="244">
        <v>4</v>
      </c>
    </row>
    <row r="69" spans="1:12" ht="13.15" customHeight="1">
      <c r="A69" s="236" t="s">
        <v>139</v>
      </c>
      <c r="D69" s="237">
        <v>235370.09</v>
      </c>
      <c r="E69" s="238"/>
      <c r="F69" s="239">
        <v>235370.09</v>
      </c>
      <c r="G69" s="239">
        <v>235370.09</v>
      </c>
    </row>
    <row r="70" spans="1:12" ht="13.15" customHeight="1">
      <c r="A70" s="225" t="s">
        <v>108</v>
      </c>
      <c r="B70" s="226"/>
      <c r="C70" s="226"/>
      <c r="D70" s="226"/>
      <c r="E70" s="227"/>
      <c r="F70" s="227"/>
      <c r="G70" s="227"/>
      <c r="H70" s="327"/>
      <c r="I70" s="233"/>
      <c r="J70" s="234"/>
      <c r="K70" s="234"/>
      <c r="L70" s="229"/>
    </row>
    <row r="71" spans="1:12" ht="13.15" customHeight="1">
      <c r="A71" s="227" t="s">
        <v>302</v>
      </c>
      <c r="B71" s="227" t="s">
        <v>303</v>
      </c>
      <c r="C71" s="227" t="s">
        <v>304</v>
      </c>
      <c r="D71" s="230">
        <v>665</v>
      </c>
      <c r="E71" s="231">
        <v>246.76</v>
      </c>
      <c r="F71" s="232">
        <v>164916.68</v>
      </c>
      <c r="G71" s="232">
        <v>164095.4</v>
      </c>
      <c r="H71" s="270">
        <v>1.3759019722069334E-2</v>
      </c>
      <c r="I71" s="233" t="s">
        <v>85</v>
      </c>
      <c r="J71" s="234">
        <v>43648.492374480003</v>
      </c>
      <c r="K71" s="234">
        <v>39.818536606712406</v>
      </c>
      <c r="L71" s="229">
        <v>17</v>
      </c>
    </row>
    <row r="72" spans="1:12" ht="13.15" customHeight="1">
      <c r="A72" s="227" t="s">
        <v>305</v>
      </c>
      <c r="B72" s="227" t="s">
        <v>306</v>
      </c>
      <c r="C72" s="227" t="s">
        <v>307</v>
      </c>
      <c r="D72" s="230">
        <v>1227</v>
      </c>
      <c r="E72" s="231">
        <v>132.55000000000001</v>
      </c>
      <c r="F72" s="232">
        <v>163442.54</v>
      </c>
      <c r="G72" s="232">
        <v>162638.85</v>
      </c>
      <c r="H72" s="270">
        <v>1.363689137370503E-2</v>
      </c>
      <c r="I72" s="233" t="s">
        <v>85</v>
      </c>
      <c r="J72" s="234">
        <v>17890.823232160001</v>
      </c>
      <c r="K72" s="234">
        <v>37.710541200250582</v>
      </c>
      <c r="L72" s="229">
        <v>24</v>
      </c>
    </row>
    <row r="73" spans="1:12" ht="13.15" customHeight="1">
      <c r="A73" s="227" t="s">
        <v>308</v>
      </c>
      <c r="B73" s="227" t="s">
        <v>309</v>
      </c>
      <c r="C73" s="227" t="s">
        <v>310</v>
      </c>
      <c r="D73" s="230">
        <v>8890</v>
      </c>
      <c r="E73" s="231">
        <v>17.95</v>
      </c>
      <c r="F73" s="232">
        <v>163309.29999999999</v>
      </c>
      <c r="G73" s="232">
        <v>159575.5</v>
      </c>
      <c r="H73" s="270">
        <v>1.338003656201865E-2</v>
      </c>
      <c r="I73" s="233" t="s">
        <v>85</v>
      </c>
      <c r="J73" s="234">
        <v>21368.435377500002</v>
      </c>
      <c r="K73" s="234" t="s">
        <v>154</v>
      </c>
      <c r="L73" s="229">
        <v>35</v>
      </c>
    </row>
    <row r="74" spans="1:12" ht="13.15" customHeight="1">
      <c r="A74" s="227" t="s">
        <v>311</v>
      </c>
      <c r="B74" s="227" t="s">
        <v>312</v>
      </c>
      <c r="C74" s="227" t="s">
        <v>313</v>
      </c>
      <c r="D74" s="230">
        <v>9173</v>
      </c>
      <c r="E74" s="231">
        <v>17.36</v>
      </c>
      <c r="F74" s="232">
        <v>158830.5</v>
      </c>
      <c r="G74" s="232">
        <v>159243.28</v>
      </c>
      <c r="H74" s="270">
        <v>1.3352180683474426E-2</v>
      </c>
      <c r="I74" s="233" t="s">
        <v>85</v>
      </c>
      <c r="J74" s="234">
        <v>3759.24201696</v>
      </c>
      <c r="K74" s="234" t="s">
        <v>154</v>
      </c>
      <c r="L74" s="229">
        <v>39</v>
      </c>
    </row>
    <row r="75" spans="1:12" ht="13.15" customHeight="1">
      <c r="A75" s="227" t="s">
        <v>314</v>
      </c>
      <c r="B75" s="227" t="s">
        <v>315</v>
      </c>
      <c r="C75" s="227" t="s">
        <v>316</v>
      </c>
      <c r="D75" s="230">
        <v>11686</v>
      </c>
      <c r="E75" s="231">
        <v>12.91</v>
      </c>
      <c r="F75" s="232">
        <v>151041.54999999999</v>
      </c>
      <c r="G75" s="232">
        <v>150866.26</v>
      </c>
      <c r="H75" s="270">
        <v>1.264978693330124E-2</v>
      </c>
      <c r="I75" s="233" t="s">
        <v>85</v>
      </c>
      <c r="J75" s="234">
        <v>2231.0842534249996</v>
      </c>
      <c r="K75" s="234">
        <v>171.145461330486</v>
      </c>
      <c r="L75" s="229">
        <v>54</v>
      </c>
    </row>
    <row r="76" spans="1:12" ht="13.15" customHeight="1">
      <c r="A76" s="236" t="s">
        <v>109</v>
      </c>
      <c r="D76" s="237">
        <v>31641</v>
      </c>
      <c r="E76" s="238"/>
      <c r="F76" s="239">
        <v>801540.57</v>
      </c>
      <c r="G76" s="239">
        <v>796419.29</v>
      </c>
      <c r="H76" s="327"/>
      <c r="I76" s="233"/>
      <c r="J76" s="234"/>
      <c r="K76" s="234"/>
      <c r="L76" s="229"/>
    </row>
    <row r="77" spans="1:12" ht="13.15" customHeight="1">
      <c r="A77" s="236" t="s">
        <v>110</v>
      </c>
      <c r="D77" s="247">
        <v>543655.09</v>
      </c>
      <c r="E77" s="238"/>
      <c r="F77" s="248">
        <v>11925239.189999999</v>
      </c>
      <c r="G77" s="248">
        <v>11926387.439999999</v>
      </c>
      <c r="H77" s="327"/>
      <c r="I77" s="233"/>
      <c r="J77" s="234"/>
      <c r="K77" s="234"/>
      <c r="L77" s="229"/>
    </row>
    <row r="78" spans="1:12" ht="13.15" customHeight="1">
      <c r="A78" s="249"/>
      <c r="B78" s="249"/>
      <c r="C78" s="249"/>
      <c r="D78" s="227"/>
      <c r="E78" s="227"/>
      <c r="F78" s="227"/>
      <c r="G78" s="227"/>
      <c r="H78" s="327"/>
      <c r="I78" s="233"/>
      <c r="J78" s="234"/>
      <c r="K78" s="234"/>
      <c r="L78" s="229"/>
    </row>
    <row r="79" spans="1:12" ht="13.15" customHeight="1">
      <c r="A79" s="236" t="s">
        <v>110</v>
      </c>
      <c r="D79" s="247">
        <v>543655.09</v>
      </c>
      <c r="E79" s="238"/>
      <c r="F79" s="248">
        <v>11925239.189999999</v>
      </c>
      <c r="G79" s="248">
        <v>11926387.439999999</v>
      </c>
      <c r="H79" s="327"/>
      <c r="I79" s="233"/>
      <c r="J79" s="234"/>
      <c r="K79" s="234"/>
      <c r="L79" s="229"/>
    </row>
    <row r="80" spans="1:12">
      <c r="H80" s="327"/>
      <c r="I80" s="233"/>
      <c r="J80" s="234"/>
      <c r="K80" s="234"/>
      <c r="L80" s="229"/>
    </row>
    <row r="81" spans="8:12">
      <c r="H81" s="327"/>
      <c r="I81" s="233"/>
      <c r="J81" s="234"/>
      <c r="K81" s="234"/>
      <c r="L81" s="229"/>
    </row>
    <row r="82" spans="8:12">
      <c r="H82" s="327"/>
      <c r="I82" s="233"/>
      <c r="J82" s="234"/>
      <c r="K82" s="234"/>
      <c r="L82" s="229"/>
    </row>
    <row r="83" spans="8:12">
      <c r="H83" s="327"/>
      <c r="I83" s="233"/>
      <c r="J83" s="234"/>
      <c r="K83" s="234"/>
      <c r="L83" s="229"/>
    </row>
    <row r="84" spans="8:12">
      <c r="H84" s="328"/>
    </row>
    <row r="85" spans="8:12" ht="12.95" customHeight="1"/>
    <row r="86" spans="8:12">
      <c r="H86" s="327"/>
      <c r="I86" s="233"/>
      <c r="J86" s="234"/>
      <c r="K86" s="234"/>
      <c r="L86" s="229"/>
    </row>
    <row r="87" spans="8:12">
      <c r="H87" s="328"/>
    </row>
    <row r="88" spans="8:12" ht="12.95" customHeight="1"/>
    <row r="89" spans="8:12">
      <c r="H89" s="327"/>
      <c r="I89" s="233"/>
      <c r="J89" s="234"/>
      <c r="K89" s="234"/>
      <c r="L89" s="229"/>
    </row>
    <row r="90" spans="8:12">
      <c r="H90" s="327"/>
      <c r="I90" s="233"/>
      <c r="J90" s="234"/>
      <c r="K90" s="234"/>
      <c r="L90" s="229"/>
    </row>
    <row r="91" spans="8:12">
      <c r="H91" s="327"/>
      <c r="I91" s="233"/>
      <c r="J91" s="234"/>
      <c r="K91" s="234"/>
      <c r="L91" s="229"/>
    </row>
    <row r="92" spans="8:12">
      <c r="H92" s="327"/>
      <c r="I92" s="233"/>
      <c r="J92" s="234"/>
      <c r="K92" s="234"/>
      <c r="L92" s="229"/>
    </row>
    <row r="93" spans="8:12">
      <c r="H93" s="327"/>
      <c r="I93" s="233"/>
      <c r="J93" s="234"/>
      <c r="K93" s="234"/>
      <c r="L93" s="229"/>
    </row>
    <row r="94" spans="8:12">
      <c r="H94" s="328"/>
    </row>
    <row r="95" spans="8:12" ht="12.95" customHeight="1"/>
    <row r="96" spans="8:12" ht="12.95" customHeight="1"/>
    <row r="97" ht="12.95" customHeight="1"/>
    <row r="98" ht="12.95" customHeight="1"/>
  </sheetData>
  <pageMargins left="0.25" right="0.25" top="0.25" bottom="0.45832992125984251" header="0.25" footer="0.25"/>
  <pageSetup orientation="landscape" horizontalDpi="0" verticalDpi="0"/>
  <headerFooter alignWithMargins="0">
    <oddFooter xml:space="preserve">&amp;L&amp;"Arial"&amp;8Page: &amp;P of &amp;N &amp;C&amp;R&amp;"Arial"&amp;8 1/1/2019 10:27:35 AM 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2804-3571-4AEF-B41F-A6F6C4D93133}">
  <sheetPr>
    <tabColor rgb="FFFF0000"/>
  </sheetPr>
  <dimension ref="A1:C31"/>
  <sheetViews>
    <sheetView topLeftCell="A4" workbookViewId="0">
      <selection activeCell="A32" sqref="A32"/>
    </sheetView>
  </sheetViews>
  <sheetFormatPr defaultRowHeight="15"/>
  <cols>
    <col min="1" max="1" width="10.7109375" style="272" bestFit="1" customWidth="1"/>
    <col min="2" max="2" width="9.140625" style="273"/>
    <col min="3" max="3" width="16.140625" style="273" bestFit="1" customWidth="1"/>
  </cols>
  <sheetData>
    <row r="1" spans="1:3">
      <c r="A1" s="272" t="s">
        <v>122</v>
      </c>
      <c r="B1" s="273" t="s">
        <v>121</v>
      </c>
      <c r="C1" s="273" t="s">
        <v>74</v>
      </c>
    </row>
    <row r="2" spans="1:3">
      <c r="A2" s="272">
        <f>DATA!U3</f>
        <v>43404</v>
      </c>
      <c r="B2" s="273">
        <f>DATA!V3</f>
        <v>10000</v>
      </c>
      <c r="C2" s="273">
        <f>DATA!W3</f>
        <v>10000</v>
      </c>
    </row>
    <row r="3" spans="1:3">
      <c r="A3" s="272">
        <f>DATA!U4</f>
        <v>43434</v>
      </c>
      <c r="B3" s="273">
        <f>DATA!V4</f>
        <v>10163.654049134955</v>
      </c>
      <c r="C3" s="273">
        <f>DATA!W4</f>
        <v>10203.780992235763</v>
      </c>
    </row>
    <row r="4" spans="1:3">
      <c r="A4" s="272">
        <f>DATA!U5</f>
        <v>43465</v>
      </c>
      <c r="B4" s="273">
        <f>DATA!V5</f>
        <v>9682.7531618525918</v>
      </c>
      <c r="C4" s="273">
        <f>DATA!W5</f>
        <v>9282.4830663619832</v>
      </c>
    </row>
    <row r="5" spans="1:3">
      <c r="A5" s="272">
        <f>DATA!U6</f>
        <v>43496</v>
      </c>
      <c r="B5" s="273">
        <f>DATA!V6</f>
        <v>10070.425022722342</v>
      </c>
      <c r="C5" s="273">
        <f>DATA!W6</f>
        <v>10026.333972127706</v>
      </c>
    </row>
    <row r="6" spans="1:3">
      <c r="A6" s="272">
        <f>DATA!U7</f>
        <v>43524</v>
      </c>
      <c r="B6" s="273">
        <f>DATA!V7</f>
        <v>10295.813961261298</v>
      </c>
      <c r="C6" s="273">
        <f>DATA!W7</f>
        <v>10348.26398782752</v>
      </c>
    </row>
    <row r="7" spans="1:3">
      <c r="A7" s="272">
        <f>DATA!U8</f>
        <v>43555</v>
      </c>
      <c r="B7" s="273">
        <f>DATA!V8</f>
        <v>10223.687373973125</v>
      </c>
      <c r="C7" s="273">
        <f>DATA!W8</f>
        <v>10549.344537376919</v>
      </c>
    </row>
    <row r="8" spans="1:3">
      <c r="A8" s="272">
        <f>DATA!U9</f>
        <v>43585</v>
      </c>
      <c r="B8" s="273">
        <f>DATA!V9</f>
        <v>10449.080110647274</v>
      </c>
      <c r="C8" s="273">
        <f>DATA!W9</f>
        <v>10976.480075388909</v>
      </c>
    </row>
    <row r="9" spans="1:3">
      <c r="A9" s="272">
        <f>DATA!U10</f>
        <v>43616</v>
      </c>
      <c r="B9" s="273">
        <f>DATA!V10</f>
        <v>9935.1886210908142</v>
      </c>
      <c r="C9" s="273">
        <f>DATA!W10</f>
        <v>10278.946417629977</v>
      </c>
    </row>
    <row r="10" spans="1:3">
      <c r="A10" s="272">
        <f>DATA!U11</f>
        <v>43646</v>
      </c>
      <c r="B10" s="273">
        <f>DATA!V11</f>
        <v>10286.797188316479</v>
      </c>
      <c r="C10" s="273">
        <f>DATA!W11</f>
        <v>11003.37275979655</v>
      </c>
    </row>
    <row r="11" spans="1:3">
      <c r="A11" s="272">
        <f>DATA!U12</f>
        <v>43677</v>
      </c>
      <c r="B11" s="273">
        <f>DATA!V12</f>
        <v>10449.080110647272</v>
      </c>
      <c r="C11" s="273">
        <f>DATA!W12</f>
        <v>11161.525582504106</v>
      </c>
    </row>
    <row r="12" spans="1:3">
      <c r="A12" s="272">
        <f>DATA!U13</f>
        <v>43708</v>
      </c>
      <c r="B12" s="273">
        <f>DATA!V13</f>
        <v>10277.780415371657</v>
      </c>
      <c r="C12" s="273">
        <f>DATA!W13</f>
        <v>10984.711769646645</v>
      </c>
    </row>
    <row r="13" spans="1:3">
      <c r="A13" s="272">
        <f>DATA!U14</f>
        <v>43738</v>
      </c>
      <c r="B13" s="273">
        <f>DATA!V14</f>
        <v>10286.797188316477</v>
      </c>
      <c r="C13" s="273">
        <f>DATA!W14</f>
        <v>11190.243393692879</v>
      </c>
    </row>
    <row r="14" spans="1:3">
      <c r="A14" s="272">
        <f>DATA!U15</f>
        <v>43769</v>
      </c>
      <c r="B14" s="273">
        <f>DATA!V15</f>
        <v>10259.902593024874</v>
      </c>
      <c r="C14" s="273">
        <f>DATA!W15</f>
        <v>11432.612780729636</v>
      </c>
    </row>
    <row r="15" spans="1:3">
      <c r="A15" s="272">
        <f>DATA!U16</f>
        <v>43799</v>
      </c>
      <c r="B15" s="273">
        <f>DATA!V16</f>
        <v>10322.95163720516</v>
      </c>
      <c r="C15" s="273">
        <f>DATA!W16</f>
        <v>11847.605638524326</v>
      </c>
    </row>
    <row r="16" spans="1:3">
      <c r="A16" s="272">
        <f>DATA!U17</f>
        <v>43830</v>
      </c>
      <c r="B16" s="273">
        <f>DATA!V17</f>
        <v>10389.419003057874</v>
      </c>
      <c r="C16" s="273">
        <f>DATA!W17</f>
        <v>12205.200121426797</v>
      </c>
    </row>
    <row r="17" spans="1:3">
      <c r="A17" s="272">
        <f>DATA!U18</f>
        <v>43861</v>
      </c>
      <c r="B17" s="273">
        <f>DATA!V18</f>
        <v>10333.586415741594</v>
      </c>
      <c r="C17" s="273">
        <f>DATA!W18</f>
        <v>12200.413819562002</v>
      </c>
    </row>
    <row r="18" spans="1:3">
      <c r="A18" s="272">
        <f>DATA!U19</f>
        <v>43890</v>
      </c>
      <c r="B18" s="273">
        <f>DATA!V19</f>
        <v>9637.7680486434729</v>
      </c>
      <c r="C18" s="273">
        <f>DATA!W19</f>
        <v>11196.091248889554</v>
      </c>
    </row>
    <row r="19" spans="1:3">
      <c r="A19" s="272">
        <f>DATA!U20</f>
        <v>43921</v>
      </c>
      <c r="B19" s="273">
        <f>DATA!V20</f>
        <v>8413.6290763960678</v>
      </c>
      <c r="C19" s="273">
        <f>DATA!W20</f>
        <v>9813.2224848169881</v>
      </c>
    </row>
    <row r="20" spans="1:3">
      <c r="A20" s="272">
        <f>DATA!U21</f>
        <v>43951</v>
      </c>
      <c r="B20" s="273">
        <f>DATA!V21</f>
        <v>9146.2893548525517</v>
      </c>
      <c r="C20" s="273">
        <f>DATA!W21</f>
        <v>11071.219054323588</v>
      </c>
    </row>
    <row r="21" spans="1:3">
      <c r="A21" s="272">
        <f>DATA!U22</f>
        <v>43982</v>
      </c>
      <c r="B21" s="273">
        <f>DATA!V22</f>
        <v>9396.5864639779138</v>
      </c>
      <c r="C21" s="273">
        <f>DATA!W22</f>
        <v>11598.513080385654</v>
      </c>
    </row>
    <row r="22" spans="1:3">
      <c r="A22" s="272">
        <f>DATA!U23</f>
        <v>44012</v>
      </c>
      <c r="B22" s="273">
        <f>DATA!V23</f>
        <v>9341.1336901807936</v>
      </c>
      <c r="C22" s="273">
        <f>DATA!W23</f>
        <v>11829.186757029058</v>
      </c>
    </row>
    <row r="23" spans="1:3">
      <c r="A23" s="272">
        <f>DATA!U24</f>
        <v>44043</v>
      </c>
      <c r="B23" s="273">
        <f>DATA!V24</f>
        <v>9739.9378852970749</v>
      </c>
      <c r="C23" s="273">
        <f>DATA!W24</f>
        <v>12496.177476818088</v>
      </c>
    </row>
    <row r="24" spans="1:3">
      <c r="A24" s="272">
        <f>DATA!U25</f>
        <v>44074</v>
      </c>
      <c r="B24" s="273">
        <f>DATA!V25</f>
        <v>9990.234994422437</v>
      </c>
      <c r="C24" s="273">
        <f>DATA!W25</f>
        <v>13394.400585530459</v>
      </c>
    </row>
    <row r="25" spans="1:3">
      <c r="A25" s="272">
        <f>DATA!U26</f>
        <v>44104</v>
      </c>
      <c r="B25" s="273">
        <f>DATA!V26</f>
        <v>9777.1596101745945</v>
      </c>
      <c r="C25" s="273">
        <f>DATA!W26</f>
        <v>12885.450945992998</v>
      </c>
    </row>
    <row r="26" spans="1:3">
      <c r="A26" s="272">
        <f>DATA!U27</f>
        <v>44135</v>
      </c>
      <c r="B26" s="273">
        <f>DATA!V27</f>
        <v>9654.8596570056015</v>
      </c>
      <c r="C26" s="273">
        <f>DATA!W27</f>
        <v>12542.792704707512</v>
      </c>
    </row>
    <row r="27" spans="1:3">
      <c r="A27" s="272">
        <f>DATA!U28</f>
        <v>44165</v>
      </c>
      <c r="B27" s="273">
        <f>DATA!V28</f>
        <v>10177.483059367511</v>
      </c>
      <c r="C27" s="273">
        <f>DATA!W28</f>
        <v>13915.772261425189</v>
      </c>
    </row>
    <row r="28" spans="1:3">
      <c r="A28" s="272">
        <f>DATA!U29</f>
        <v>44196</v>
      </c>
      <c r="B28" s="273">
        <f>DATA!V29</f>
        <v>10513.618023822663</v>
      </c>
      <c r="C28" s="273">
        <f>DATA!W29</f>
        <v>14450.813764435718</v>
      </c>
    </row>
    <row r="29" spans="1:3">
      <c r="A29" s="272">
        <f>DATA!U30</f>
        <v>44227</v>
      </c>
      <c r="B29" s="273">
        <f>DATA!V30</f>
        <v>10588.441287096859</v>
      </c>
      <c r="C29" s="273">
        <f>DATA!W30</f>
        <v>14304.91536440145</v>
      </c>
    </row>
    <row r="30" spans="1:3">
      <c r="A30" s="272">
        <f>DATA!U31</f>
        <v>44255</v>
      </c>
      <c r="B30" s="273">
        <f>DATA!V31</f>
        <v>10775.309538522773</v>
      </c>
      <c r="C30" s="273">
        <f>DATA!W31</f>
        <v>14699.366234037112</v>
      </c>
    </row>
    <row r="31" spans="1:3">
      <c r="A31" s="272">
        <f>DATA!U32</f>
        <v>44286</v>
      </c>
      <c r="B31" s="273">
        <f>DATA!V32</f>
        <v>11288.817416424879</v>
      </c>
      <c r="C31" s="273">
        <f>DATA!W32</f>
        <v>15343.133146723418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C69E-4ADA-4202-89D3-C3880691068D}">
  <sheetPr>
    <tabColor rgb="FFFF0000"/>
  </sheetPr>
  <dimension ref="A1:I9"/>
  <sheetViews>
    <sheetView workbookViewId="0">
      <selection activeCell="A32" sqref="A32"/>
    </sheetView>
  </sheetViews>
  <sheetFormatPr defaultRowHeight="15"/>
  <cols>
    <col min="1" max="1" width="19.28515625" bestFit="1" customWidth="1"/>
    <col min="2" max="2" width="15.42578125" style="273" customWidth="1"/>
    <col min="3" max="7" width="9.140625" style="273"/>
    <col min="8" max="8" width="14.7109375" style="273" bestFit="1" customWidth="1"/>
  </cols>
  <sheetData>
    <row r="1" spans="1:9">
      <c r="A1" t="s">
        <v>123</v>
      </c>
      <c r="B1" s="273" t="s">
        <v>113</v>
      </c>
      <c r="C1" s="273" t="s">
        <v>117</v>
      </c>
      <c r="D1" s="273" t="s">
        <v>44</v>
      </c>
      <c r="E1" s="273" t="s">
        <v>124</v>
      </c>
      <c r="F1" s="273" t="s">
        <v>125</v>
      </c>
      <c r="G1" s="273" t="s">
        <v>126</v>
      </c>
      <c r="H1" s="273" t="s">
        <v>127</v>
      </c>
      <c r="I1" s="273" t="s">
        <v>129</v>
      </c>
    </row>
    <row r="2" spans="1:9">
      <c r="A2" t="s">
        <v>128</v>
      </c>
      <c r="B2" s="273">
        <f>'Fact Sheet'!D8</f>
        <v>5.1442590907457397</v>
      </c>
      <c r="C2" s="273">
        <f>'Fact Sheet'!E8</f>
        <v>7.3732885372638268</v>
      </c>
      <c r="D2" s="273">
        <f>'Fact Sheet'!F8</f>
        <v>7.3732885372638268</v>
      </c>
      <c r="E2" s="273">
        <f>'Fact Sheet'!G8</f>
        <v>34.17</v>
      </c>
      <c r="F2" s="273">
        <f>'Fact Sheet'!H8</f>
        <v>2.3020024186251264</v>
      </c>
      <c r="G2" s="273">
        <f>'Fact Sheet'!I8</f>
        <v>5.3479881169987475</v>
      </c>
      <c r="H2" s="273">
        <f>'Fact Sheet'!J8</f>
        <v>5.76</v>
      </c>
      <c r="I2">
        <v>1</v>
      </c>
    </row>
    <row r="3" spans="1:9">
      <c r="A3" s="274" t="str">
        <f>'Fact Sheet'!C16</f>
        <v>S&amp;P 500 Index</v>
      </c>
      <c r="B3" s="273">
        <f>'Fact Sheet'!D10</f>
        <v>19.379554349071636</v>
      </c>
      <c r="C3" s="273">
        <f>'Fact Sheet'!E10</f>
        <v>6.174872895281176</v>
      </c>
      <c r="D3" s="273">
        <f>'Fact Sheet'!F10</f>
        <v>6.174872895281176</v>
      </c>
      <c r="E3" s="273">
        <f>'Fact Sheet'!G10</f>
        <v>56.351628330676384</v>
      </c>
      <c r="F3" s="273">
        <f>'Fact Sheet'!H10</f>
        <v>16.294038412866541</v>
      </c>
      <c r="G3" s="273">
        <f>'Fact Sheet'!I10</f>
        <v>13.912338106903842</v>
      </c>
      <c r="H3" s="273">
        <f>'Fact Sheet'!J10</f>
        <v>9.0299999999999994</v>
      </c>
      <c r="I3">
        <v>2</v>
      </c>
    </row>
    <row r="4" spans="1:9">
      <c r="A4" s="314" t="str">
        <f>'Fact Sheet'!C9</f>
        <v>S&amp;P 500 Value Index</v>
      </c>
      <c r="B4" s="273">
        <f>'Fact Sheet'!D9</f>
        <v>14.124365430243625</v>
      </c>
      <c r="C4" s="273">
        <f>'Fact Sheet'!E9</f>
        <v>10.766553917255544</v>
      </c>
      <c r="D4" s="273">
        <f>'Fact Sheet'!F9</f>
        <v>10.766553917255544</v>
      </c>
      <c r="E4" s="273">
        <f>'Fact Sheet'!G9</f>
        <v>50.373885301526187</v>
      </c>
      <c r="F4" s="273">
        <f>'Fact Sheet'!H9</f>
        <v>12.313889235198561</v>
      </c>
      <c r="G4" s="273">
        <f>'Fact Sheet'!I9</f>
        <v>11.145307901394075</v>
      </c>
      <c r="H4" s="273">
        <f>'Fact Sheet'!J9</f>
        <v>7.7313514100522562</v>
      </c>
      <c r="I4">
        <v>3</v>
      </c>
    </row>
    <row r="5" spans="1:9">
      <c r="A5" s="274"/>
    </row>
    <row r="6" spans="1:9">
      <c r="A6" s="274"/>
    </row>
    <row r="7" spans="1:9">
      <c r="A7" s="274"/>
    </row>
    <row r="8" spans="1:9">
      <c r="A8" s="274"/>
    </row>
    <row r="9" spans="1:9">
      <c r="A9" s="27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AF0D-BD43-4822-ADBE-29A176E4C976}">
  <sheetPr>
    <tabColor rgb="FFFF0000"/>
  </sheetPr>
  <dimension ref="A1:C11"/>
  <sheetViews>
    <sheetView workbookViewId="0">
      <selection activeCell="A32" sqref="A32"/>
    </sheetView>
  </sheetViews>
  <sheetFormatPr defaultRowHeight="15"/>
  <cols>
    <col min="1" max="1" width="39.5703125" bestFit="1" customWidth="1"/>
    <col min="2" max="2" width="9.140625" style="276"/>
  </cols>
  <sheetData>
    <row r="1" spans="1:3">
      <c r="A1" t="s">
        <v>123</v>
      </c>
      <c r="B1" s="276" t="s">
        <v>130</v>
      </c>
      <c r="C1" t="s">
        <v>129</v>
      </c>
    </row>
    <row r="2" spans="1:3">
      <c r="A2" s="275" t="str">
        <f>'Fact Sheet'!N5</f>
        <v>SPDR S&amp;P 500 ETF Trust</v>
      </c>
      <c r="B2" s="276">
        <f>'Fact Sheet'!O5*100</f>
        <v>19.334001612813612</v>
      </c>
      <c r="C2">
        <v>1</v>
      </c>
    </row>
    <row r="3" spans="1:3">
      <c r="A3" s="275" t="str">
        <f>'Fact Sheet'!N6</f>
        <v>iShares Core S&amp;P 500 ETF</v>
      </c>
      <c r="B3" s="276">
        <f>'Fact Sheet'!O6*100</f>
        <v>6.8046825082851745</v>
      </c>
      <c r="C3">
        <v>2</v>
      </c>
    </row>
    <row r="4" spans="1:3">
      <c r="A4" s="275" t="str">
        <f>'Fact Sheet'!N7</f>
        <v>ProShares VIX Short-Term Futur</v>
      </c>
      <c r="B4" s="276">
        <f>'Fact Sheet'!O7*100</f>
        <v>3.1651457903668438</v>
      </c>
      <c r="C4">
        <v>3</v>
      </c>
    </row>
    <row r="5" spans="1:3">
      <c r="A5" s="275" t="str">
        <f>'Fact Sheet'!N8</f>
        <v>Cash and Equivalents</v>
      </c>
      <c r="B5" s="276">
        <f>'Fact Sheet'!O8*100</f>
        <v>1.9735237613578653</v>
      </c>
      <c r="C5">
        <v>4</v>
      </c>
    </row>
    <row r="6" spans="1:3">
      <c r="A6" s="275" t="str">
        <f>'Fact Sheet'!N9</f>
        <v>Walgreens Boots Alliance Inc</v>
      </c>
      <c r="B6" s="276">
        <f>'Fact Sheet'!O9*100</f>
        <v>1.4389722022983349</v>
      </c>
      <c r="C6">
        <v>5</v>
      </c>
    </row>
    <row r="7" spans="1:3">
      <c r="A7" s="275" t="str">
        <f>'Fact Sheet'!Q5</f>
        <v>VEON Ltd</v>
      </c>
      <c r="B7" s="276">
        <f>'Fact Sheet'!R5*100</f>
        <v>1.437191528971492</v>
      </c>
      <c r="C7">
        <v>6</v>
      </c>
    </row>
    <row r="8" spans="1:3">
      <c r="A8" s="275" t="str">
        <f>'Fact Sheet'!Q6</f>
        <v>H&amp;R Block Inc</v>
      </c>
      <c r="B8" s="276">
        <f>'Fact Sheet'!R6*100</f>
        <v>1.4248321283783483</v>
      </c>
      <c r="C8">
        <v>7</v>
      </c>
    </row>
    <row r="9" spans="1:3">
      <c r="A9" s="275" t="str">
        <f>'Fact Sheet'!Q7</f>
        <v>American Airlines Group Inc</v>
      </c>
      <c r="B9" s="276">
        <f>'Fact Sheet'!R7*100</f>
        <v>1.421809419265353</v>
      </c>
      <c r="C9">
        <v>8</v>
      </c>
    </row>
    <row r="10" spans="1:3">
      <c r="A10" s="275" t="str">
        <f>'Fact Sheet'!Q8</f>
        <v>NVIDIA Corp</v>
      </c>
      <c r="B10" s="276">
        <f>'Fact Sheet'!R8*100</f>
        <v>1.4146939368590561</v>
      </c>
      <c r="C10">
        <v>9</v>
      </c>
    </row>
    <row r="11" spans="1:3">
      <c r="A11" s="275" t="str">
        <f>'Fact Sheet'!Q9</f>
        <v>CenterPoint Energy Inc</v>
      </c>
      <c r="B11" s="276">
        <f>'Fact Sheet'!R9*100</f>
        <v>1.4063206553014682</v>
      </c>
      <c r="C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2FC2-22D9-4A93-B147-85179AE6E869}">
  <sheetPr>
    <tabColor rgb="FFFF0000"/>
  </sheetPr>
  <dimension ref="A1:C19"/>
  <sheetViews>
    <sheetView workbookViewId="0">
      <selection activeCell="A32" sqref="A32"/>
    </sheetView>
  </sheetViews>
  <sheetFormatPr defaultRowHeight="15"/>
  <cols>
    <col min="1" max="1" width="22.5703125" bestFit="1" customWidth="1"/>
    <col min="2" max="2" width="9.140625" style="276"/>
  </cols>
  <sheetData>
    <row r="1" spans="1:3">
      <c r="A1" t="s">
        <v>123</v>
      </c>
      <c r="B1" s="276" t="s">
        <v>130</v>
      </c>
      <c r="C1" t="s">
        <v>129</v>
      </c>
    </row>
    <row r="2" spans="1:3">
      <c r="A2" s="275" t="str">
        <f>'Fact Sheet'!N12</f>
        <v>ETF/ETN</v>
      </c>
      <c r="B2" s="276">
        <f>'Fact Sheet'!O12*100</f>
        <v>29.955059803088201</v>
      </c>
      <c r="C2">
        <v>1</v>
      </c>
    </row>
    <row r="3" spans="1:3">
      <c r="A3" s="275" t="str">
        <f>'Fact Sheet'!N13</f>
        <v>Industrials</v>
      </c>
      <c r="B3" s="276">
        <f>'Fact Sheet'!O13*100</f>
        <v>14.741626321004379</v>
      </c>
      <c r="C3">
        <v>2</v>
      </c>
    </row>
    <row r="4" spans="1:3">
      <c r="A4" s="275" t="str">
        <f>'Fact Sheet'!N14</f>
        <v>Communication Services</v>
      </c>
      <c r="B4" s="276">
        <f>'Fact Sheet'!O14*100</f>
        <v>8.1567385337265215</v>
      </c>
      <c r="C4">
        <v>3</v>
      </c>
    </row>
    <row r="5" spans="1:3">
      <c r="A5" s="275" t="str">
        <f>'Fact Sheet'!N15</f>
        <v>Financials</v>
      </c>
      <c r="B5" s="276">
        <f>'Fact Sheet'!O15*100</f>
        <v>7.9976350323899936</v>
      </c>
      <c r="C5">
        <v>4</v>
      </c>
    </row>
    <row r="6" spans="1:3">
      <c r="A6" s="275" t="str">
        <f>'Fact Sheet'!N16</f>
        <v>Information Technology</v>
      </c>
      <c r="B6" s="276">
        <f>'Fact Sheet'!O16*100</f>
        <v>6.8906366167825919</v>
      </c>
      <c r="C6">
        <v>5</v>
      </c>
    </row>
    <row r="7" spans="1:3">
      <c r="A7" s="275" t="str">
        <f>'Fact Sheet'!N17</f>
        <v>Consumer Discretionary</v>
      </c>
      <c r="B7" s="276">
        <f>'Fact Sheet'!O17*100</f>
        <v>6.8526068276044532</v>
      </c>
      <c r="C7">
        <v>6</v>
      </c>
    </row>
    <row r="8" spans="1:3">
      <c r="A8" s="275" t="str">
        <f>'Fact Sheet'!N18</f>
        <v>Real Estate</v>
      </c>
      <c r="B8" s="276">
        <f>'Fact Sheet'!O18*100</f>
        <v>6.6777915274568684</v>
      </c>
      <c r="C8">
        <v>7</v>
      </c>
    </row>
    <row r="9" spans="1:3">
      <c r="A9" s="275" t="str">
        <f>'Fact Sheet'!N19</f>
        <v>Health Care</v>
      </c>
      <c r="B9" s="276">
        <f>'Fact Sheet'!O19*100</f>
        <v>5.4382834136738385</v>
      </c>
      <c r="C9">
        <v>8</v>
      </c>
    </row>
    <row r="10" spans="1:3">
      <c r="A10" s="275" t="str">
        <f>'Fact Sheet'!N20</f>
        <v>Consumer Staples</v>
      </c>
      <c r="B10" s="276">
        <f>'Fact Sheet'!O20*100</f>
        <v>4.1064527918774365</v>
      </c>
      <c r="C10">
        <v>9</v>
      </c>
    </row>
    <row r="11" spans="1:3">
      <c r="A11" s="275" t="str">
        <f>'Fact Sheet'!N21</f>
        <v>Energy</v>
      </c>
      <c r="B11" s="276">
        <f>'Fact Sheet'!O21*100</f>
        <v>3.0857514218069038</v>
      </c>
      <c r="C11">
        <v>10</v>
      </c>
    </row>
    <row r="12" spans="1:3">
      <c r="A12" s="275" t="str">
        <f>'Fact Sheet'!N22</f>
        <v>Materials</v>
      </c>
      <c r="B12" s="276">
        <f>'Fact Sheet'!O22*100</f>
        <v>2.7175732939294819</v>
      </c>
      <c r="C12">
        <v>11</v>
      </c>
    </row>
    <row r="13" spans="1:3">
      <c r="A13" s="275" t="str">
        <f>'Fact Sheet'!N23</f>
        <v>Cash</v>
      </c>
      <c r="B13" s="276">
        <f>'Fact Sheet'!O23*100</f>
        <v>1.9735237613578653</v>
      </c>
      <c r="C13">
        <v>12</v>
      </c>
    </row>
    <row r="14" spans="1:3">
      <c r="A14" s="275" t="str">
        <f>'Fact Sheet'!N24</f>
        <v>Utilities</v>
      </c>
      <c r="B14" s="276">
        <f>'Fact Sheet'!O24*100</f>
        <v>1.4063206553014682</v>
      </c>
      <c r="C14">
        <v>13</v>
      </c>
    </row>
    <row r="15" spans="1:3">
      <c r="A15" s="275"/>
    </row>
    <row r="16" spans="1:3">
      <c r="A16" s="275"/>
    </row>
    <row r="17" spans="1:1">
      <c r="A17" s="275"/>
    </row>
    <row r="18" spans="1:1">
      <c r="A18" s="275"/>
    </row>
    <row r="19" spans="1:1">
      <c r="A19" s="2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4131-0318-4C12-8921-CC1B44C8FE20}">
  <sheetPr>
    <tabColor rgb="FFFF0000"/>
  </sheetPr>
  <dimension ref="A1:D5"/>
  <sheetViews>
    <sheetView workbookViewId="0">
      <selection activeCell="A32" sqref="A32"/>
    </sheetView>
  </sheetViews>
  <sheetFormatPr defaultRowHeight="15"/>
  <cols>
    <col min="1" max="1" width="24.5703125" bestFit="1" customWidth="1"/>
    <col min="2" max="2" width="11.28515625" bestFit="1" customWidth="1"/>
    <col min="3" max="3" width="16.28515625" bestFit="1" customWidth="1"/>
  </cols>
  <sheetData>
    <row r="1" spans="1:4">
      <c r="A1" t="s">
        <v>123</v>
      </c>
      <c r="B1" t="s">
        <v>121</v>
      </c>
      <c r="C1" t="s">
        <v>74</v>
      </c>
      <c r="D1" t="s">
        <v>129</v>
      </c>
    </row>
    <row r="2" spans="1:4">
      <c r="A2" t="s">
        <v>51</v>
      </c>
      <c r="B2" s="311">
        <f>'Fact Sheet'!O28</f>
        <v>56</v>
      </c>
      <c r="C2" s="311">
        <f>'Fact Sheet'!P28</f>
        <v>505</v>
      </c>
      <c r="D2">
        <v>1</v>
      </c>
    </row>
    <row r="3" spans="1:4">
      <c r="A3" t="s">
        <v>52</v>
      </c>
      <c r="B3" s="313">
        <f>'Fact Sheet'!O29</f>
        <v>0.3982</v>
      </c>
      <c r="C3" s="313">
        <f>'Fact Sheet'!P29</f>
        <v>0.26300000000000001</v>
      </c>
      <c r="D3">
        <v>2</v>
      </c>
    </row>
    <row r="4" spans="1:4">
      <c r="A4" t="s">
        <v>140</v>
      </c>
      <c r="B4" s="312">
        <f>'Fact Sheet'!O30</f>
        <v>42520.824754266381</v>
      </c>
      <c r="C4" s="312">
        <f>'Fact Sheet'!P30</f>
        <v>29132.67</v>
      </c>
      <c r="D4">
        <v>3</v>
      </c>
    </row>
    <row r="5" spans="1:4">
      <c r="A5" t="s">
        <v>141</v>
      </c>
      <c r="B5" s="273">
        <f>'Fact Sheet'!O31</f>
        <v>74.78665104362166</v>
      </c>
      <c r="C5" s="273">
        <f>'Fact Sheet'!P31</f>
        <v>39.9</v>
      </c>
      <c r="D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INPUTS</vt:lpstr>
      <vt:lpstr>DATA</vt:lpstr>
      <vt:lpstr>Fact Sheet</vt:lpstr>
      <vt:lpstr>VHAD</vt:lpstr>
      <vt:lpstr>RTAVF_EXPORT_10k</vt:lpstr>
      <vt:lpstr>RTAVF_Export_PerformanceTable</vt:lpstr>
      <vt:lpstr>RTAVF_EXPORT_TopTenHoldings</vt:lpstr>
      <vt:lpstr>RTAVF_EXPORT_SectorWeights</vt:lpstr>
      <vt:lpstr>RTAVF_EXPORT_PortfolioStatistic</vt:lpstr>
      <vt:lpstr>VHAD!Print_Titles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cp:lastPrinted>2016-01-31T05:04:26Z</cp:lastPrinted>
  <dcterms:created xsi:type="dcterms:W3CDTF">2016-01-20T10:33:46Z</dcterms:created>
  <dcterms:modified xsi:type="dcterms:W3CDTF">2021-04-26T13:30:56Z</dcterms:modified>
</cp:coreProperties>
</file>