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O002\OneDrive\Documents\"/>
    </mc:Choice>
  </mc:AlternateContent>
  <bookViews>
    <workbookView xWindow="0" yWindow="0" windowWidth="28020" windowHeight="11940" activeTab="2"/>
  </bookViews>
  <sheets>
    <sheet name="Feuil1" sheetId="1" r:id="rId1"/>
    <sheet name="EG calcul per equipment" sheetId="2" r:id="rId2"/>
    <sheet name="EG calculation CFS" sheetId="8" r:id="rId3"/>
  </sheets>
  <definedNames>
    <definedName name="_xlnm.Print_Area" localSheetId="0">Feuil1!$A$1:$D$47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8" l="1"/>
  <c r="D122" i="8"/>
  <c r="E122" i="8"/>
  <c r="F122" i="8"/>
  <c r="G122" i="8"/>
  <c r="H122" i="8"/>
  <c r="I122" i="8"/>
  <c r="B122" i="8"/>
  <c r="C100" i="8"/>
  <c r="D100" i="8"/>
  <c r="E100" i="8"/>
  <c r="F100" i="8"/>
  <c r="G100" i="8"/>
  <c r="H100" i="8"/>
  <c r="I100" i="8"/>
  <c r="B100" i="8"/>
  <c r="C77" i="8"/>
  <c r="D77" i="8"/>
  <c r="E77" i="8"/>
  <c r="F77" i="8"/>
  <c r="G77" i="8"/>
  <c r="H77" i="8"/>
  <c r="I77" i="8"/>
  <c r="B77" i="8"/>
  <c r="C53" i="8"/>
  <c r="D53" i="8"/>
  <c r="E53" i="8"/>
  <c r="F53" i="8"/>
  <c r="G53" i="8"/>
  <c r="H53" i="8"/>
  <c r="I53" i="8"/>
  <c r="B53" i="8"/>
  <c r="B99" i="8"/>
  <c r="A12" i="8" l="1"/>
  <c r="A21" i="8"/>
  <c r="A20" i="8"/>
  <c r="A19" i="8"/>
  <c r="A18" i="8"/>
  <c r="J5" i="8"/>
  <c r="J6" i="8"/>
  <c r="J7" i="8"/>
  <c r="J8" i="8"/>
  <c r="A8" i="8"/>
  <c r="A7" i="8"/>
  <c r="A6" i="8"/>
  <c r="A5" i="8"/>
  <c r="I91" i="8"/>
  <c r="H91" i="8"/>
  <c r="G91" i="8"/>
  <c r="F91" i="8"/>
  <c r="E91" i="8"/>
  <c r="D91" i="8"/>
  <c r="C91" i="8"/>
  <c r="B91" i="8"/>
  <c r="I90" i="8"/>
  <c r="H90" i="8"/>
  <c r="G90" i="8"/>
  <c r="F90" i="8"/>
  <c r="E90" i="8"/>
  <c r="D90" i="8"/>
  <c r="C90" i="8"/>
  <c r="B90" i="8"/>
  <c r="B66" i="8"/>
  <c r="B12" i="8" s="1"/>
  <c r="C64" i="8"/>
  <c r="D64" i="8"/>
  <c r="E64" i="8"/>
  <c r="F64" i="8"/>
  <c r="G64" i="8"/>
  <c r="H64" i="8"/>
  <c r="I64" i="8"/>
  <c r="B64" i="8"/>
  <c r="I29" i="2" l="1"/>
  <c r="I88" i="8" s="1"/>
  <c r="H29" i="2"/>
  <c r="H88" i="8" s="1"/>
  <c r="G29" i="2"/>
  <c r="G88" i="8" s="1"/>
  <c r="F29" i="2"/>
  <c r="F88" i="8" s="1"/>
  <c r="E29" i="2"/>
  <c r="E88" i="8" s="1"/>
  <c r="D29" i="2"/>
  <c r="D88" i="8" s="1"/>
  <c r="C29" i="2"/>
  <c r="C88" i="8" s="1"/>
  <c r="B29" i="2"/>
  <c r="B88" i="8" s="1"/>
  <c r="J29" i="2"/>
  <c r="C66" i="8" l="1"/>
  <c r="C12" i="8" s="1"/>
  <c r="D66" i="8"/>
  <c r="D12" i="8" s="1"/>
  <c r="E66" i="8"/>
  <c r="E12" i="8" s="1"/>
  <c r="F66" i="8"/>
  <c r="F12" i="8" s="1"/>
  <c r="G66" i="8"/>
  <c r="G12" i="8" s="1"/>
  <c r="H66" i="8"/>
  <c r="H12" i="8" s="1"/>
  <c r="I66" i="8"/>
  <c r="I12" i="8" s="1"/>
  <c r="I8" i="2"/>
  <c r="I42" i="8" s="1"/>
  <c r="H8" i="2"/>
  <c r="H42" i="8" s="1"/>
  <c r="G8" i="2"/>
  <c r="G42" i="8" s="1"/>
  <c r="F8" i="2"/>
  <c r="F42" i="8" s="1"/>
  <c r="E8" i="2"/>
  <c r="E42" i="8" s="1"/>
  <c r="D8" i="2"/>
  <c r="D42" i="8" s="1"/>
  <c r="C8" i="2"/>
  <c r="C42" i="8" s="1"/>
  <c r="B8" i="2"/>
  <c r="B42" i="8" s="1"/>
  <c r="L1" i="2" l="1"/>
  <c r="C112" i="8" l="1"/>
  <c r="D112" i="8"/>
  <c r="E112" i="8"/>
  <c r="F112" i="8"/>
  <c r="G112" i="8"/>
  <c r="H112" i="8"/>
  <c r="I112" i="8"/>
  <c r="C113" i="8"/>
  <c r="D113" i="8"/>
  <c r="E113" i="8"/>
  <c r="F113" i="8"/>
  <c r="G113" i="8"/>
  <c r="H113" i="8"/>
  <c r="I113" i="8"/>
  <c r="B113" i="8"/>
  <c r="B112" i="8"/>
  <c r="H94" i="8"/>
  <c r="H98" i="8" s="1"/>
  <c r="H7" i="8" s="1"/>
  <c r="I94" i="8"/>
  <c r="I98" i="8" s="1"/>
  <c r="I7" i="8" s="1"/>
  <c r="C87" i="8"/>
  <c r="C86" i="8" s="1"/>
  <c r="C95" i="8" s="1"/>
  <c r="C99" i="8" s="1"/>
  <c r="C20" i="8" s="1"/>
  <c r="D87" i="8"/>
  <c r="D86" i="8" s="1"/>
  <c r="D95" i="8" s="1"/>
  <c r="D99" i="8" s="1"/>
  <c r="D20" i="8" s="1"/>
  <c r="E87" i="8"/>
  <c r="E86" i="8" s="1"/>
  <c r="E95" i="8" s="1"/>
  <c r="E99" i="8" s="1"/>
  <c r="E20" i="8" s="1"/>
  <c r="F87" i="8"/>
  <c r="F86" i="8" s="1"/>
  <c r="F95" i="8" s="1"/>
  <c r="F99" i="8" s="1"/>
  <c r="F20" i="8" s="1"/>
  <c r="G87" i="8"/>
  <c r="G86" i="8" s="1"/>
  <c r="G95" i="8" s="1"/>
  <c r="G99" i="8" s="1"/>
  <c r="G20" i="8" s="1"/>
  <c r="H87" i="8"/>
  <c r="H86" i="8" s="1"/>
  <c r="H95" i="8" s="1"/>
  <c r="H99" i="8" s="1"/>
  <c r="H20" i="8" s="1"/>
  <c r="I87" i="8"/>
  <c r="I86" i="8" s="1"/>
  <c r="I95" i="8" s="1"/>
  <c r="I99" i="8" s="1"/>
  <c r="I20" i="8" s="1"/>
  <c r="B87" i="8"/>
  <c r="B86" i="8" s="1"/>
  <c r="B95" i="8" s="1"/>
  <c r="C82" i="8"/>
  <c r="C94" i="8" s="1"/>
  <c r="C98" i="8" s="1"/>
  <c r="C7" i="8" s="1"/>
  <c r="D82" i="8"/>
  <c r="D94" i="8" s="1"/>
  <c r="D98" i="8" s="1"/>
  <c r="D7" i="8" s="1"/>
  <c r="E82" i="8"/>
  <c r="E94" i="8" s="1"/>
  <c r="E98" i="8" s="1"/>
  <c r="E7" i="8" s="1"/>
  <c r="F82" i="8"/>
  <c r="F94" i="8" s="1"/>
  <c r="F98" i="8" s="1"/>
  <c r="F7" i="8" s="1"/>
  <c r="G82" i="8"/>
  <c r="G94" i="8" s="1"/>
  <c r="G98" i="8" s="1"/>
  <c r="G7" i="8" s="1"/>
  <c r="H82" i="8"/>
  <c r="I82" i="8"/>
  <c r="H74" i="8"/>
  <c r="H6" i="8" s="1"/>
  <c r="H70" i="8"/>
  <c r="I70" i="8"/>
  <c r="I74" i="8" s="1"/>
  <c r="I6" i="8" s="1"/>
  <c r="B65" i="8"/>
  <c r="B76" i="8" s="1"/>
  <c r="C63" i="8"/>
  <c r="C62" i="8" s="1"/>
  <c r="D63" i="8"/>
  <c r="D62" i="8" s="1"/>
  <c r="E63" i="8"/>
  <c r="E62" i="8" s="1"/>
  <c r="F63" i="8"/>
  <c r="F62" i="8" s="1"/>
  <c r="G63" i="8"/>
  <c r="G62" i="8" s="1"/>
  <c r="H63" i="8"/>
  <c r="H62" i="8" s="1"/>
  <c r="I63" i="8"/>
  <c r="I62" i="8" s="1"/>
  <c r="B63" i="8"/>
  <c r="B62" i="8" s="1"/>
  <c r="B61" i="8"/>
  <c r="B60" i="8"/>
  <c r="C58" i="8"/>
  <c r="C70" i="8" s="1"/>
  <c r="C74" i="8" s="1"/>
  <c r="C6" i="8" s="1"/>
  <c r="D58" i="8"/>
  <c r="D70" i="8" s="1"/>
  <c r="D74" i="8" s="1"/>
  <c r="D6" i="8" s="1"/>
  <c r="E58" i="8"/>
  <c r="E70" i="8" s="1"/>
  <c r="E74" i="8" s="1"/>
  <c r="E6" i="8" s="1"/>
  <c r="F58" i="8"/>
  <c r="F70" i="8" s="1"/>
  <c r="F74" i="8" s="1"/>
  <c r="F6" i="8" s="1"/>
  <c r="G58" i="8"/>
  <c r="G70" i="8" s="1"/>
  <c r="G74" i="8" s="1"/>
  <c r="G6" i="8" s="1"/>
  <c r="H58" i="8"/>
  <c r="I58" i="8"/>
  <c r="C36" i="8"/>
  <c r="D36" i="8"/>
  <c r="E36" i="8"/>
  <c r="F36" i="8"/>
  <c r="G36" i="8"/>
  <c r="H36" i="8"/>
  <c r="I36" i="8"/>
  <c r="I37" i="8"/>
  <c r="C41" i="8"/>
  <c r="D41" i="8"/>
  <c r="E41" i="8"/>
  <c r="F41" i="8"/>
  <c r="G41" i="8"/>
  <c r="H41" i="8"/>
  <c r="I41" i="8"/>
  <c r="B36" i="8"/>
  <c r="B41" i="8"/>
  <c r="B6" i="2"/>
  <c r="B40" i="8" s="1"/>
  <c r="B39" i="8" l="1"/>
  <c r="H111" i="8"/>
  <c r="H117" i="8" s="1"/>
  <c r="H121" i="8" s="1"/>
  <c r="H21" i="8" s="1"/>
  <c r="F111" i="8"/>
  <c r="F117" i="8" s="1"/>
  <c r="F121" i="8" s="1"/>
  <c r="F21" i="8" s="1"/>
  <c r="E111" i="8"/>
  <c r="E117" i="8" s="1"/>
  <c r="E121" i="8" s="1"/>
  <c r="E21" i="8" s="1"/>
  <c r="C111" i="8"/>
  <c r="C117" i="8" s="1"/>
  <c r="C121" i="8" s="1"/>
  <c r="C21" i="8" s="1"/>
  <c r="I111" i="8"/>
  <c r="I117" i="8" s="1"/>
  <c r="I121" i="8" s="1"/>
  <c r="I21" i="8" s="1"/>
  <c r="G111" i="8"/>
  <c r="G117" i="8" s="1"/>
  <c r="G121" i="8" s="1"/>
  <c r="G21" i="8" s="1"/>
  <c r="B111" i="8"/>
  <c r="B117" i="8" s="1"/>
  <c r="B121" i="8" s="1"/>
  <c r="B21" i="8" s="1"/>
  <c r="D111" i="8"/>
  <c r="D117" i="8" s="1"/>
  <c r="D121" i="8" s="1"/>
  <c r="D21" i="8" s="1"/>
  <c r="B20" i="8"/>
  <c r="B71" i="8"/>
  <c r="B75" i="8" s="1"/>
  <c r="B19" i="8" s="1"/>
  <c r="B48" i="8"/>
  <c r="B52" i="8" s="1"/>
  <c r="B18" i="8" s="1"/>
  <c r="I37" i="2"/>
  <c r="I109" i="8" s="1"/>
  <c r="H37" i="2"/>
  <c r="H109" i="8" s="1"/>
  <c r="G37" i="2"/>
  <c r="G109" i="8" s="1"/>
  <c r="F37" i="2"/>
  <c r="F109" i="8" s="1"/>
  <c r="E37" i="2"/>
  <c r="E109" i="8" s="1"/>
  <c r="D37" i="2"/>
  <c r="D109" i="8" s="1"/>
  <c r="C37" i="2"/>
  <c r="C109" i="8" s="1"/>
  <c r="B37" i="2"/>
  <c r="B109" i="8" s="1"/>
  <c r="L38" i="2"/>
  <c r="I26" i="2"/>
  <c r="H26" i="2"/>
  <c r="G26" i="2"/>
  <c r="F26" i="2"/>
  <c r="E26" i="2"/>
  <c r="D26" i="2"/>
  <c r="C26" i="2"/>
  <c r="B26" i="2"/>
  <c r="B84" i="8" s="1"/>
  <c r="L27" i="2"/>
  <c r="C65" i="8"/>
  <c r="C76" i="8" s="1"/>
  <c r="D65" i="8"/>
  <c r="D76" i="8" s="1"/>
  <c r="E65" i="8"/>
  <c r="E76" i="8" s="1"/>
  <c r="F65" i="8"/>
  <c r="F76" i="8" s="1"/>
  <c r="G65" i="8"/>
  <c r="G76" i="8" s="1"/>
  <c r="H65" i="8"/>
  <c r="H76" i="8" s="1"/>
  <c r="I65" i="8"/>
  <c r="I76" i="8" s="1"/>
  <c r="B22" i="8" l="1"/>
  <c r="I71" i="8"/>
  <c r="I75" i="8" s="1"/>
  <c r="I19" i="8" s="1"/>
  <c r="G71" i="8"/>
  <c r="G75" i="8" s="1"/>
  <c r="G19" i="8" s="1"/>
  <c r="E71" i="8"/>
  <c r="E75" i="8" s="1"/>
  <c r="E19" i="8" s="1"/>
  <c r="F71" i="8"/>
  <c r="F75" i="8" s="1"/>
  <c r="F19" i="8" s="1"/>
  <c r="H71" i="8"/>
  <c r="H75" i="8" s="1"/>
  <c r="H19" i="8" s="1"/>
  <c r="C71" i="8"/>
  <c r="C75" i="8" s="1"/>
  <c r="C19" i="8" s="1"/>
  <c r="D71" i="8"/>
  <c r="D75" i="8" s="1"/>
  <c r="D19" i="8" s="1"/>
  <c r="I36" i="2" l="1"/>
  <c r="I108" i="8" s="1"/>
  <c r="I107" i="8" s="1"/>
  <c r="I116" i="8" s="1"/>
  <c r="I120" i="8" s="1"/>
  <c r="I8" i="8" s="1"/>
  <c r="H36" i="2"/>
  <c r="H108" i="8" s="1"/>
  <c r="H107" i="8" s="1"/>
  <c r="H116" i="8" s="1"/>
  <c r="H120" i="8" s="1"/>
  <c r="H8" i="8" s="1"/>
  <c r="G36" i="2"/>
  <c r="G108" i="8" s="1"/>
  <c r="G107" i="8" s="1"/>
  <c r="G116" i="8" s="1"/>
  <c r="G120" i="8" s="1"/>
  <c r="G8" i="8" s="1"/>
  <c r="F36" i="2"/>
  <c r="F108" i="8" s="1"/>
  <c r="F107" i="8" s="1"/>
  <c r="F116" i="8" s="1"/>
  <c r="F120" i="8" s="1"/>
  <c r="F8" i="8" s="1"/>
  <c r="E36" i="2"/>
  <c r="E108" i="8" s="1"/>
  <c r="E107" i="8" s="1"/>
  <c r="E116" i="8" s="1"/>
  <c r="E120" i="8" s="1"/>
  <c r="E8" i="8" s="1"/>
  <c r="D36" i="2"/>
  <c r="D108" i="8" s="1"/>
  <c r="D107" i="8" s="1"/>
  <c r="D116" i="8" s="1"/>
  <c r="D120" i="8" s="1"/>
  <c r="D8" i="8" s="1"/>
  <c r="C36" i="2"/>
  <c r="C108" i="8" s="1"/>
  <c r="C107" i="8" s="1"/>
  <c r="C116" i="8" s="1"/>
  <c r="C120" i="8" s="1"/>
  <c r="C8" i="8" s="1"/>
  <c r="B36" i="2"/>
  <c r="B108" i="8" s="1"/>
  <c r="B107" i="8" s="1"/>
  <c r="B116" i="8" s="1"/>
  <c r="B120" i="8" s="1"/>
  <c r="B8" i="8" s="1"/>
  <c r="I25" i="2"/>
  <c r="I30" i="2" s="1"/>
  <c r="H25" i="2"/>
  <c r="H30" i="2" s="1"/>
  <c r="G25" i="2"/>
  <c r="G30" i="2" s="1"/>
  <c r="F25" i="2"/>
  <c r="F30" i="2" s="1"/>
  <c r="E25" i="2"/>
  <c r="E30" i="2" s="1"/>
  <c r="D25" i="2"/>
  <c r="D30" i="2" s="1"/>
  <c r="C25" i="2"/>
  <c r="C30" i="2" s="1"/>
  <c r="B25" i="2"/>
  <c r="B83" i="8" l="1"/>
  <c r="B82" i="8" s="1"/>
  <c r="B94" i="8" s="1"/>
  <c r="B98" i="8" s="1"/>
  <c r="B7" i="8" s="1"/>
  <c r="B30" i="2"/>
  <c r="C6" i="2"/>
  <c r="D6" i="2" l="1"/>
  <c r="C40" i="8"/>
  <c r="C39" i="8" s="1"/>
  <c r="C48" i="8" s="1"/>
  <c r="C52" i="8" s="1"/>
  <c r="C18" i="8" s="1"/>
  <c r="C22" i="8" s="1"/>
  <c r="I14" i="2"/>
  <c r="I20" i="2" s="1"/>
  <c r="H14" i="2"/>
  <c r="H20" i="2" s="1"/>
  <c r="G14" i="2"/>
  <c r="G20" i="2" s="1"/>
  <c r="F14" i="2"/>
  <c r="F20" i="2" s="1"/>
  <c r="E14" i="2"/>
  <c r="E20" i="2" s="1"/>
  <c r="D14" i="2"/>
  <c r="D20" i="2" s="1"/>
  <c r="C14" i="2"/>
  <c r="C20" i="2" s="1"/>
  <c r="B14" i="2"/>
  <c r="B20" i="2" s="1"/>
  <c r="L5" i="2"/>
  <c r="I5" i="2"/>
  <c r="H5" i="2"/>
  <c r="H38" i="8" s="1"/>
  <c r="G5" i="2"/>
  <c r="G38" i="8" s="1"/>
  <c r="F5" i="2"/>
  <c r="F38" i="8" s="1"/>
  <c r="E5" i="2"/>
  <c r="E38" i="8" s="1"/>
  <c r="D5" i="2"/>
  <c r="D38" i="8" s="1"/>
  <c r="C5" i="2"/>
  <c r="C38" i="8" s="1"/>
  <c r="B5" i="2"/>
  <c r="B38" i="8" s="1"/>
  <c r="H4" i="2"/>
  <c r="G4" i="2"/>
  <c r="F4" i="2"/>
  <c r="E4" i="2"/>
  <c r="D4" i="2"/>
  <c r="D9" i="2" s="1"/>
  <c r="C4" i="2"/>
  <c r="B4" i="2"/>
  <c r="B9" i="2" s="1"/>
  <c r="B1" i="2"/>
  <c r="B41" i="1"/>
  <c r="B17" i="1"/>
  <c r="B23" i="1" s="1"/>
  <c r="B16" i="1"/>
  <c r="B15" i="1"/>
  <c r="F8" i="1"/>
  <c r="C8" i="1" s="1"/>
  <c r="F7" i="1"/>
  <c r="C7" i="1" s="1"/>
  <c r="F6" i="1"/>
  <c r="B6" i="1"/>
  <c r="B22" i="1" s="1"/>
  <c r="C5" i="1"/>
  <c r="C6" i="1" l="1"/>
  <c r="B21" i="1"/>
  <c r="F9" i="1"/>
  <c r="H37" i="8"/>
  <c r="H35" i="8" s="1"/>
  <c r="H47" i="8" s="1"/>
  <c r="H51" i="8" s="1"/>
  <c r="H5" i="8" s="1"/>
  <c r="H9" i="8" s="1"/>
  <c r="I38" i="8"/>
  <c r="I35" i="8" s="1"/>
  <c r="I47" i="8" s="1"/>
  <c r="I51" i="8" s="1"/>
  <c r="I5" i="8" s="1"/>
  <c r="I9" i="8" s="1"/>
  <c r="C37" i="8"/>
  <c r="C35" i="8" s="1"/>
  <c r="C47" i="8" s="1"/>
  <c r="C51" i="8" s="1"/>
  <c r="C5" i="8" s="1"/>
  <c r="C9" i="8" s="1"/>
  <c r="C9" i="2"/>
  <c r="F37" i="8"/>
  <c r="F35" i="8" s="1"/>
  <c r="F47" i="8" s="1"/>
  <c r="F51" i="8" s="1"/>
  <c r="F5" i="8" s="1"/>
  <c r="F9" i="8" s="1"/>
  <c r="G37" i="8"/>
  <c r="G35" i="8" s="1"/>
  <c r="G47" i="8" s="1"/>
  <c r="G51" i="8" s="1"/>
  <c r="G5" i="8" s="1"/>
  <c r="G9" i="8" s="1"/>
  <c r="B37" i="8"/>
  <c r="B35" i="8" s="1"/>
  <c r="B47" i="8" s="1"/>
  <c r="B59" i="8"/>
  <c r="B58" i="8" s="1"/>
  <c r="B70" i="8" s="1"/>
  <c r="B74" i="8" s="1"/>
  <c r="B6" i="8" s="1"/>
  <c r="D37" i="8"/>
  <c r="D35" i="8" s="1"/>
  <c r="D47" i="8" s="1"/>
  <c r="D51" i="8" s="1"/>
  <c r="D5" i="8" s="1"/>
  <c r="D9" i="8" s="1"/>
  <c r="E37" i="8"/>
  <c r="E35" i="8" s="1"/>
  <c r="E47" i="8" s="1"/>
  <c r="E51" i="8" s="1"/>
  <c r="E5" i="8" s="1"/>
  <c r="E9" i="8" s="1"/>
  <c r="E6" i="2"/>
  <c r="E9" i="2" s="1"/>
  <c r="D40" i="8"/>
  <c r="D39" i="8" s="1"/>
  <c r="D48" i="8" s="1"/>
  <c r="D52" i="8" s="1"/>
  <c r="D18" i="8" s="1"/>
  <c r="D22" i="8" s="1"/>
  <c r="F10" i="1" l="1"/>
  <c r="C9" i="1"/>
  <c r="B24" i="1"/>
  <c r="B51" i="8"/>
  <c r="B5" i="8" s="1"/>
  <c r="B9" i="8" s="1"/>
  <c r="F6" i="2"/>
  <c r="F9" i="2" s="1"/>
  <c r="E40" i="8"/>
  <c r="E39" i="8" s="1"/>
  <c r="E48" i="8" s="1"/>
  <c r="E52" i="8" s="1"/>
  <c r="E18" i="8" s="1"/>
  <c r="E22" i="8" s="1"/>
  <c r="F11" i="1" l="1"/>
  <c r="C10" i="1"/>
  <c r="G6" i="2"/>
  <c r="G9" i="2" s="1"/>
  <c r="F40" i="8"/>
  <c r="F39" i="8" s="1"/>
  <c r="F48" i="8" s="1"/>
  <c r="F52" i="8" s="1"/>
  <c r="F18" i="8" s="1"/>
  <c r="F22" i="8" s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C11" i="1"/>
  <c r="H6" i="2"/>
  <c r="H9" i="2" s="1"/>
  <c r="G40" i="8"/>
  <c r="G39" i="8" s="1"/>
  <c r="G48" i="8" s="1"/>
  <c r="G52" i="8" s="1"/>
  <c r="G18" i="8" s="1"/>
  <c r="G22" i="8" s="1"/>
  <c r="F22" i="1" l="1"/>
  <c r="C21" i="1"/>
  <c r="H40" i="8"/>
  <c r="H39" i="8" s="1"/>
  <c r="H48" i="8" s="1"/>
  <c r="H52" i="8" s="1"/>
  <c r="H18" i="8" s="1"/>
  <c r="H22" i="8" s="1"/>
  <c r="I6" i="2"/>
  <c r="I9" i="2" s="1"/>
  <c r="F23" i="1" l="1"/>
  <c r="C22" i="1"/>
  <c r="I40" i="8"/>
  <c r="I39" i="8" s="1"/>
  <c r="I48" i="8" s="1"/>
  <c r="I52" i="8" s="1"/>
  <c r="I18" i="8" s="1"/>
  <c r="I22" i="8" s="1"/>
  <c r="F24" i="1" l="1"/>
  <c r="F25" i="1" s="1"/>
  <c r="F26" i="1" s="1"/>
  <c r="F27" i="1" s="1"/>
  <c r="F28" i="1" s="1"/>
  <c r="C23" i="1"/>
  <c r="C24" i="1" s="1"/>
  <c r="F29" i="1" l="1"/>
  <c r="B28" i="1"/>
  <c r="F30" i="1" l="1"/>
  <c r="B29" i="1"/>
  <c r="B30" i="1" l="1"/>
  <c r="F31" i="1"/>
  <c r="B31" i="1" l="1"/>
  <c r="F32" i="1"/>
  <c r="F33" i="1" l="1"/>
  <c r="B32" i="1"/>
  <c r="B39" i="1" s="1"/>
  <c r="F34" i="1" l="1"/>
  <c r="B33" i="1"/>
  <c r="B40" i="1" s="1"/>
  <c r="C34" i="1" l="1"/>
  <c r="F35" i="1"/>
  <c r="B42" i="1"/>
  <c r="B46" i="1" s="1"/>
  <c r="B47" i="1" s="1"/>
  <c r="C35" i="1" l="1"/>
  <c r="F36" i="1"/>
  <c r="F37" i="1" s="1"/>
  <c r="F38" i="1" s="1"/>
  <c r="F39" i="1" s="1"/>
  <c r="F40" i="1" l="1"/>
  <c r="C39" i="1"/>
  <c r="F41" i="1" l="1"/>
  <c r="C40" i="1"/>
  <c r="F42" i="1" l="1"/>
  <c r="F43" i="1" s="1"/>
  <c r="C41" i="1"/>
  <c r="C42" i="1" s="1"/>
  <c r="C46" i="1" s="1"/>
  <c r="C47" i="1" s="1"/>
</calcChain>
</file>

<file path=xl/comments1.xml><?xml version="1.0" encoding="utf-8"?>
<comments xmlns="http://schemas.openxmlformats.org/spreadsheetml/2006/main">
  <authors>
    <author>Ester Grobben</author>
  </authors>
  <commentList>
    <comment ref="A6" authorId="0" shapeId="0">
      <text>
        <r>
          <rPr>
            <b/>
            <sz val="9"/>
            <color indexed="81"/>
            <rFont val="Tahoma"/>
            <charset val="1"/>
          </rPr>
          <t>Ester Grobben:</t>
        </r>
        <r>
          <rPr>
            <sz val="9"/>
            <color indexed="81"/>
            <rFont val="Tahoma"/>
            <charset val="1"/>
          </rPr>
          <t xml:space="preserve">
PS + timef +5% margin corrosion- audit...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Ester Grobben:</t>
        </r>
        <r>
          <rPr>
            <sz val="9"/>
            <color indexed="81"/>
            <rFont val="Tahoma"/>
            <charset val="1"/>
          </rPr>
          <t xml:space="preserve">
63k wire ropes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Ester Grobben:</t>
        </r>
        <r>
          <rPr>
            <sz val="9"/>
            <color indexed="81"/>
            <rFont val="Tahoma"/>
            <family val="2"/>
          </rPr>
          <t xml:space="preserve">
pro - liance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Ester Grobben:</t>
        </r>
        <r>
          <rPr>
            <sz val="9"/>
            <color indexed="81"/>
            <rFont val="Tahoma"/>
            <family val="2"/>
          </rPr>
          <t xml:space="preserve">
revised by Ahmed - 11 was included backlog so considered too high</t>
        </r>
      </text>
    </comment>
  </commentList>
</comments>
</file>

<file path=xl/comments2.xml><?xml version="1.0" encoding="utf-8"?>
<comments xmlns="http://schemas.openxmlformats.org/spreadsheetml/2006/main">
  <authors>
    <author>Ester Grobben</author>
  </authors>
  <commentList>
    <comment ref="A40" authorId="0" shapeId="0">
      <text>
        <r>
          <rPr>
            <b/>
            <sz val="9"/>
            <color indexed="81"/>
            <rFont val="Tahoma"/>
            <charset val="1"/>
          </rPr>
          <t>Ester Grobben:</t>
        </r>
        <r>
          <rPr>
            <sz val="9"/>
            <color indexed="81"/>
            <rFont val="Tahoma"/>
            <charset val="1"/>
          </rPr>
          <t xml:space="preserve">
PS + timef +5% margin
fixed contract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Ester Grobben:</t>
        </r>
        <r>
          <rPr>
            <sz val="9"/>
            <color indexed="81"/>
            <rFont val="Tahoma"/>
            <family val="2"/>
          </rPr>
          <t xml:space="preserve">
pro - liance - variable contract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</rPr>
          <t>Ester Grobben:</t>
        </r>
        <r>
          <rPr>
            <sz val="9"/>
            <color indexed="81"/>
            <rFont val="Tahoma"/>
            <family val="2"/>
          </rPr>
          <t xml:space="preserve">
SMOP  ave 390EUR - excl incentive and sardines - rounded to  4000</t>
        </r>
      </text>
    </comment>
    <comment ref="K85" authorId="0" shapeId="0">
      <text>
        <r>
          <rPr>
            <b/>
            <sz val="9"/>
            <color indexed="81"/>
            <rFont val="Tahoma"/>
            <family val="2"/>
          </rPr>
          <t>Ester Grobben:</t>
        </r>
        <r>
          <rPr>
            <sz val="9"/>
            <color indexed="81"/>
            <rFont val="Tahoma"/>
            <family val="2"/>
          </rPr>
          <t xml:space="preserve">
revised by Ahmed - 11 was included backlog so considered too high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Ester Grobben:</t>
        </r>
        <r>
          <rPr>
            <sz val="9"/>
            <color indexed="81"/>
            <rFont val="Tahoma"/>
            <family val="2"/>
          </rPr>
          <t xml:space="preserve">
SMOP  ave 390EUR - excl incentive and sardines - rounded to  4000</t>
        </r>
      </text>
    </comment>
  </commentList>
</comments>
</file>

<file path=xl/sharedStrings.xml><?xml version="1.0" encoding="utf-8"?>
<sst xmlns="http://schemas.openxmlformats.org/spreadsheetml/2006/main" count="177" uniqueCount="107">
  <si>
    <t>20'</t>
  </si>
  <si>
    <t>40'</t>
  </si>
  <si>
    <t>this revenue includes 2 handlings and the TT transfert fm/to yard</t>
  </si>
  <si>
    <t>FCFA</t>
  </si>
  <si>
    <t>Euro</t>
  </si>
  <si>
    <t>weighing of trucks (mandatory by law)</t>
  </si>
  <si>
    <t>Revenues per container/truck</t>
  </si>
  <si>
    <t>T</t>
  </si>
  <si>
    <t>Total yearly revenue</t>
  </si>
  <si>
    <t>Quantity of containers/trucks treated on 2019 (estimation at end of September 2019)</t>
  </si>
  <si>
    <t>Cost per container/truck</t>
  </si>
  <si>
    <t>Cost per RTG handling</t>
  </si>
  <si>
    <t>Cost per EH handling</t>
  </si>
  <si>
    <t>Cost of transfer (2,29 euro per Km, supposed 1,5 Km fm yard + 0,5 Km to empty cntr yard)</t>
  </si>
  <si>
    <t>Total yearly cost</t>
  </si>
  <si>
    <t>EBITDA of CFS activity</t>
  </si>
  <si>
    <t>Yearly cost of actual LCT employees at CFS (12 clerks et 3 superviseurs)</t>
  </si>
  <si>
    <t>Royalty from Medlog (1000 Fcfa per TEU)</t>
  </si>
  <si>
    <t>All these data are based on the volume treated from January to September 2019</t>
  </si>
  <si>
    <t>Stripping of the container (MEDLOG invoice 35 000 Fcfa to the forwarder)</t>
  </si>
  <si>
    <t>CFS - Cost &amp; revenue sheet</t>
  </si>
  <si>
    <t>Cost for unstuffing the container (TP3 with SMOP dockers 17 500)</t>
  </si>
  <si>
    <t>Cost for unstuffing the container (TP3 with SMOP dockers 24 500)</t>
  </si>
  <si>
    <t>Stripping of the container (MEDLOG invoice 25 000 Fcfa to the forwarder)</t>
  </si>
  <si>
    <t>RTG electricity cosy</t>
  </si>
  <si>
    <t xml:space="preserve">RTG fuell cost </t>
  </si>
  <si>
    <t>RTG spare part consumed</t>
  </si>
  <si>
    <t>RTG service</t>
  </si>
  <si>
    <t xml:space="preserve">TT fuell cost </t>
  </si>
  <si>
    <t>TT spare part consumed</t>
  </si>
  <si>
    <t>cost per running hour</t>
  </si>
  <si>
    <t>RTG tech manhours</t>
  </si>
  <si>
    <t>total RTG cost</t>
  </si>
  <si>
    <t>Total TT cost</t>
  </si>
  <si>
    <t>RTG</t>
  </si>
  <si>
    <t xml:space="preserve">RST fuell cost </t>
  </si>
  <si>
    <t>RST spare part consumed</t>
  </si>
  <si>
    <t>RST service</t>
  </si>
  <si>
    <t>RST tech manhours</t>
  </si>
  <si>
    <t>Total RST cost</t>
  </si>
  <si>
    <t xml:space="preserve">ECH fuell cost </t>
  </si>
  <si>
    <t>ECH spare part consumed</t>
  </si>
  <si>
    <t>ECH service</t>
  </si>
  <si>
    <t>ECH tech manhours</t>
  </si>
  <si>
    <t>Total ECH cost</t>
  </si>
  <si>
    <t xml:space="preserve">deduct 1 RST </t>
  </si>
  <si>
    <t>have manpower to only run 5 eq</t>
  </si>
  <si>
    <t>TT</t>
  </si>
  <si>
    <t>RST</t>
  </si>
  <si>
    <t>ECH</t>
  </si>
  <si>
    <t>2 empties to deducted -</t>
  </si>
  <si>
    <t xml:space="preserve">ZPMC audit? </t>
  </si>
  <si>
    <t>total variable part</t>
  </si>
  <si>
    <t>elec</t>
  </si>
  <si>
    <t xml:space="preserve">fuell </t>
  </si>
  <si>
    <t>spare parts</t>
  </si>
  <si>
    <t>total moves RTG</t>
  </si>
  <si>
    <t>total CFS moves done for RTG</t>
  </si>
  <si>
    <t>contribution fixed part</t>
  </si>
  <si>
    <t xml:space="preserve">RTG </t>
  </si>
  <si>
    <t xml:space="preserve"> variable cost per moves</t>
  </si>
  <si>
    <t>fixed cost per move</t>
  </si>
  <si>
    <t>RTG variable cost CFS</t>
  </si>
  <si>
    <t>outsourcd services</t>
  </si>
  <si>
    <t>fuell</t>
  </si>
  <si>
    <t>RTG fixed cost contribution margin</t>
  </si>
  <si>
    <t>outsources services - variable</t>
  </si>
  <si>
    <t>extra fixed cost</t>
  </si>
  <si>
    <t>Extra fixed cost</t>
  </si>
  <si>
    <t>total moves TT</t>
  </si>
  <si>
    <t>total CFS moves done for TT</t>
  </si>
  <si>
    <t>outsourced services</t>
  </si>
  <si>
    <t>total moves RST</t>
  </si>
  <si>
    <t>total CFS moves done for RST</t>
  </si>
  <si>
    <t>TT variable cost CFS</t>
  </si>
  <si>
    <t>TT fixed cost contribution margin</t>
  </si>
  <si>
    <t>note* 1 reachstacker could be sold- not taken into account</t>
  </si>
  <si>
    <t>note 2 empties could be sold if no CFS activities</t>
  </si>
  <si>
    <t>RST ops labour cost</t>
  </si>
  <si>
    <t>RST tech labour cost</t>
  </si>
  <si>
    <t>TT outsourced services</t>
  </si>
  <si>
    <t>TT SMOP</t>
  </si>
  <si>
    <t>TT ops labour payroll</t>
  </si>
  <si>
    <t xml:space="preserve">TT tech labour cost </t>
  </si>
  <si>
    <t xml:space="preserve">tech labour cost </t>
  </si>
  <si>
    <t xml:space="preserve">ops labour cost </t>
  </si>
  <si>
    <t>to add incentive</t>
  </si>
  <si>
    <t>RST ops labour payroll</t>
  </si>
  <si>
    <t>RTG ops labour payroll</t>
  </si>
  <si>
    <t>TT tech labour cost</t>
  </si>
  <si>
    <t xml:space="preserve">TT ops labour cost </t>
  </si>
  <si>
    <t>ECH ops labour cost</t>
  </si>
  <si>
    <t>TT manpower 20 FTE to deduct when no CFS</t>
  </si>
  <si>
    <t>total moves ECH</t>
  </si>
  <si>
    <t>total CFS moves done for ECH</t>
  </si>
  <si>
    <t>ECH variable cost CFS</t>
  </si>
  <si>
    <t>ECH fixed cost contribution margin</t>
  </si>
  <si>
    <t xml:space="preserve">RTG manpower 0 FTE to dedcut </t>
  </si>
  <si>
    <t>TT manpower 0 FTE to deduct when no CFS</t>
  </si>
  <si>
    <t>contribution margin fixed cost - need to pay anyway with or without CFS</t>
  </si>
  <si>
    <t>RST variable cost CFS</t>
  </si>
  <si>
    <t>RST fixed cost contribution margin</t>
  </si>
  <si>
    <t>other fixed cost</t>
  </si>
  <si>
    <t>fixed cost to add for CFS</t>
  </si>
  <si>
    <t>Summation</t>
  </si>
  <si>
    <t>Fixed + Variable cost * No. of CFS moves</t>
  </si>
  <si>
    <t>Shuffeling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</si>
</sst>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-* #,##0_-;\-* #,##0_-;_-* &quot;-&quot;_-;_-@_-"/>
    <numFmt numFmtId="43" formatCode="_-* #,##0.00_-;\-* #,##0.00_-;_-* &quot;-&quot;??_-;_-@_-"/>
    <numFmt numFmtId="164" formatCode="_-* #,##0\ _C_F_A_-;\-* #,##0\ _C_F_A_-;_-* &quot;-&quot;\ _C_F_A_-;_-@_-"/>
    <numFmt numFmtId="165" formatCode="_-* #,##0.00\ _C_F_A_-;\-* #,##0.00\ _C_F_A_-;_-* &quot;-&quot;??\ _C_F_A_-;_-@_-"/>
    <numFmt numFmtId="166" formatCode="_ * #,##0_ ;_ * \-#,##0_ ;_ * &quot;-&quot;_ ;_ @_ "/>
    <numFmt numFmtId="167" formatCode="_ * #,##0.00_ ;_ * \-#,##0.00_ ;_ * &quot;-&quot;??_ ;_ @_ "/>
    <numFmt numFmtId="168" formatCode="_-* #,##0.00\ _€_-;\-* #,##0.00\ _€_-;_-* &quot;-&quot;??\ _€_-;_-@_-"/>
    <numFmt numFmtId="169" formatCode="[$$-409]#,##0.00_ ;\([$$-409]#,##0.00\)"/>
    <numFmt numFmtId="170" formatCode="_-* #,##0\ _€_-;\-* #,##0\ _€_-;_-* &quot;-&quot;\ _€_-;_-@_-"/>
    <numFmt numFmtId="171" formatCode="&quot; &quot;#,##0.00&quot; &quot;;&quot; (&quot;#,##0.00&quot;)&quot;;&quot; -&quot;00&quot; &quot;;&quot; &quot;@&quot; &quot;"/>
    <numFmt numFmtId="172" formatCode="_-* #,##0.00\ &quot;€&quot;_-;\-* #,##0.00\ &quot;€&quot;_-;_-* &quot;-&quot;??\ &quot;€&quot;_-;_-@_-"/>
    <numFmt numFmtId="173" formatCode="_-[$€]\ * #,##0.00_-;_-[$€]\ * #,##0.00\-;_-[$€]\ * &quot;-&quot;??_-;_-@_-"/>
    <numFmt numFmtId="174" formatCode="_-* #,##0.00\ _B_F_-;\-* #,##0.00\ _B_F_-;_-* &quot;-&quot;??\ _B_F_-;_-@_-"/>
    <numFmt numFmtId="175" formatCode="\ #,##0.0_);\(#,##0.0\);&quot; - &quot;_);@_)"/>
    <numFmt numFmtId="176" formatCode="0.0,,_);\(0.0,,\);&quot; - &quot;_);@_)"/>
    <numFmt numFmtId="177" formatCode="#,##0;\(#,##0\);&quot;-&quot;"/>
    <numFmt numFmtId="178" formatCode="#,##0_);\(#,##0\);&quot; - &quot;_);@_)"/>
    <numFmt numFmtId="179" formatCode="#,###,_);\(#,###,_);&quot; - &quot;_);@_)"/>
    <numFmt numFmtId="180" formatCode="#,##0.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18"/>
      <color theme="3"/>
      <name val="Calibri Light"/>
      <family val="2"/>
      <scheme val="major"/>
    </font>
    <font>
      <b/>
      <sz val="8"/>
      <name val="Arial"/>
      <family val="2"/>
    </font>
    <font>
      <sz val="8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sz val="8"/>
      <color indexed="10"/>
      <name val="Arial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ourier"/>
      <family val="3"/>
    </font>
    <font>
      <i/>
      <sz val="10"/>
      <color indexed="25"/>
      <name val="Arial Narrow"/>
      <family val="2"/>
    </font>
    <font>
      <sz val="10"/>
      <color indexed="25"/>
      <name val="Arial Narrow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36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22"/>
      </right>
      <top style="thin">
        <color indexed="64"/>
      </top>
      <bottom style="dotted">
        <color indexed="22"/>
      </bottom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22">
    <xf numFmtId="0" fontId="0" fillId="0" borderId="0"/>
    <xf numFmtId="0" fontId="3" fillId="0" borderId="0"/>
    <xf numFmtId="0" fontId="7" fillId="0" borderId="0">
      <alignment vertical="top"/>
    </xf>
    <xf numFmtId="9" fontId="7" fillId="0" borderId="0" applyFont="0" applyFill="0" applyBorder="0" applyAlignment="0" applyProtection="0">
      <alignment vertical="top"/>
    </xf>
    <xf numFmtId="0" fontId="6" fillId="0" borderId="0"/>
    <xf numFmtId="43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9" fontId="6" fillId="0" borderId="0"/>
    <xf numFmtId="165" fontId="6" fillId="0" borderId="0" applyFont="0" applyFill="0" applyBorder="0" applyAlignment="0" applyProtection="0"/>
    <xf numFmtId="169" fontId="6" fillId="0" borderId="0"/>
    <xf numFmtId="9" fontId="6" fillId="0" borderId="0" applyFont="0" applyFill="0" applyBorder="0" applyAlignment="0" applyProtection="0"/>
    <xf numFmtId="0" fontId="29" fillId="0" borderId="14" applyNumberFormat="0" applyFont="0" applyAlignment="0"/>
    <xf numFmtId="41" fontId="6" fillId="0" borderId="0" applyFont="0" applyFill="0" applyBorder="0" applyAlignment="0" applyProtection="0"/>
    <xf numFmtId="169" fontId="13" fillId="0" borderId="0" applyNumberFormat="0" applyFill="0" applyBorder="0" applyAlignment="0" applyProtection="0"/>
    <xf numFmtId="169" fontId="14" fillId="0" borderId="3" applyNumberFormat="0" applyFill="0" applyAlignment="0" applyProtection="0"/>
    <xf numFmtId="169" fontId="15" fillId="0" borderId="4" applyNumberFormat="0" applyFill="0" applyAlignment="0" applyProtection="0"/>
    <xf numFmtId="169" fontId="16" fillId="0" borderId="5" applyNumberFormat="0" applyFill="0" applyAlignment="0" applyProtection="0"/>
    <xf numFmtId="169" fontId="16" fillId="0" borderId="0" applyNumberFormat="0" applyFill="0" applyBorder="0" applyAlignment="0" applyProtection="0"/>
    <xf numFmtId="169" fontId="17" fillId="3" borderId="0" applyNumberFormat="0" applyBorder="0" applyAlignment="0" applyProtection="0"/>
    <xf numFmtId="169" fontId="18" fillId="4" borderId="0" applyNumberFormat="0" applyBorder="0" applyAlignment="0" applyProtection="0"/>
    <xf numFmtId="169" fontId="19" fillId="5" borderId="0" applyNumberFormat="0" applyBorder="0" applyAlignment="0" applyProtection="0"/>
    <xf numFmtId="169" fontId="20" fillId="6" borderId="6" applyNumberFormat="0" applyAlignment="0" applyProtection="0"/>
    <xf numFmtId="169" fontId="21" fillId="7" borderId="7" applyNumberFormat="0" applyAlignment="0" applyProtection="0"/>
    <xf numFmtId="169" fontId="22" fillId="7" borderId="6" applyNumberFormat="0" applyAlignment="0" applyProtection="0"/>
    <xf numFmtId="169" fontId="23" fillId="0" borderId="8" applyNumberFormat="0" applyFill="0" applyAlignment="0" applyProtection="0"/>
    <xf numFmtId="169" fontId="11" fillId="8" borderId="9" applyNumberFormat="0" applyAlignment="0" applyProtection="0"/>
    <xf numFmtId="169" fontId="9" fillId="0" borderId="0" applyNumberFormat="0" applyFill="0" applyBorder="0" applyAlignment="0" applyProtection="0"/>
    <xf numFmtId="169" fontId="6" fillId="9" borderId="10" applyNumberFormat="0" applyFont="0" applyAlignment="0" applyProtection="0"/>
    <xf numFmtId="169" fontId="24" fillId="0" borderId="0" applyNumberFormat="0" applyFill="0" applyBorder="0" applyAlignment="0" applyProtection="0"/>
    <xf numFmtId="169" fontId="4" fillId="0" borderId="11" applyNumberFormat="0" applyFill="0" applyAlignment="0" applyProtection="0"/>
    <xf numFmtId="169" fontId="25" fillId="10" borderId="0" applyNumberFormat="0" applyBorder="0" applyAlignment="0" applyProtection="0"/>
    <xf numFmtId="169" fontId="6" fillId="11" borderId="0" applyNumberFormat="0" applyBorder="0" applyAlignment="0" applyProtection="0"/>
    <xf numFmtId="169" fontId="6" fillId="12" borderId="0" applyNumberFormat="0" applyBorder="0" applyAlignment="0" applyProtection="0"/>
    <xf numFmtId="169" fontId="25" fillId="13" borderId="0" applyNumberFormat="0" applyBorder="0" applyAlignment="0" applyProtection="0"/>
    <xf numFmtId="169" fontId="25" fillId="14" borderId="0" applyNumberFormat="0" applyBorder="0" applyAlignment="0" applyProtection="0"/>
    <xf numFmtId="169" fontId="6" fillId="15" borderId="0" applyNumberFormat="0" applyBorder="0" applyAlignment="0" applyProtection="0"/>
    <xf numFmtId="169" fontId="6" fillId="16" borderId="0" applyNumberFormat="0" applyBorder="0" applyAlignment="0" applyProtection="0"/>
    <xf numFmtId="169" fontId="25" fillId="17" borderId="0" applyNumberFormat="0" applyBorder="0" applyAlignment="0" applyProtection="0"/>
    <xf numFmtId="169" fontId="25" fillId="18" borderId="0" applyNumberFormat="0" applyBorder="0" applyAlignment="0" applyProtection="0"/>
    <xf numFmtId="169" fontId="6" fillId="19" borderId="0" applyNumberFormat="0" applyBorder="0" applyAlignment="0" applyProtection="0"/>
    <xf numFmtId="169" fontId="6" fillId="20" borderId="0" applyNumberFormat="0" applyBorder="0" applyAlignment="0" applyProtection="0"/>
    <xf numFmtId="169" fontId="25" fillId="21" borderId="0" applyNumberFormat="0" applyBorder="0" applyAlignment="0" applyProtection="0"/>
    <xf numFmtId="169" fontId="25" fillId="22" borderId="0" applyNumberFormat="0" applyBorder="0" applyAlignment="0" applyProtection="0"/>
    <xf numFmtId="169" fontId="6" fillId="23" borderId="0" applyNumberFormat="0" applyBorder="0" applyAlignment="0" applyProtection="0"/>
    <xf numFmtId="169" fontId="6" fillId="24" borderId="0" applyNumberFormat="0" applyBorder="0" applyAlignment="0" applyProtection="0"/>
    <xf numFmtId="169" fontId="25" fillId="25" borderId="0" applyNumberFormat="0" applyBorder="0" applyAlignment="0" applyProtection="0"/>
    <xf numFmtId="169" fontId="25" fillId="26" borderId="0" applyNumberFormat="0" applyBorder="0" applyAlignment="0" applyProtection="0"/>
    <xf numFmtId="169" fontId="6" fillId="27" borderId="0" applyNumberFormat="0" applyBorder="0" applyAlignment="0" applyProtection="0"/>
    <xf numFmtId="169" fontId="6" fillId="28" borderId="0" applyNumberFormat="0" applyBorder="0" applyAlignment="0" applyProtection="0"/>
    <xf numFmtId="169" fontId="25" fillId="29" borderId="0" applyNumberFormat="0" applyBorder="0" applyAlignment="0" applyProtection="0"/>
    <xf numFmtId="169" fontId="25" fillId="30" borderId="0" applyNumberFormat="0" applyBorder="0" applyAlignment="0" applyProtection="0"/>
    <xf numFmtId="169" fontId="6" fillId="31" borderId="0" applyNumberFormat="0" applyBorder="0" applyAlignment="0" applyProtection="0"/>
    <xf numFmtId="169" fontId="6" fillId="32" borderId="0" applyNumberFormat="0" applyBorder="0" applyAlignment="0" applyProtection="0"/>
    <xf numFmtId="169" fontId="25" fillId="33" borderId="0" applyNumberFormat="0" applyBorder="0" applyAlignment="0" applyProtection="0"/>
    <xf numFmtId="169" fontId="6" fillId="0" borderId="0"/>
    <xf numFmtId="167" fontId="6" fillId="0" borderId="0" applyFont="0" applyFill="0" applyBorder="0" applyAlignment="0" applyProtection="0"/>
    <xf numFmtId="169" fontId="26" fillId="0" borderId="0">
      <alignment vertical="center"/>
    </xf>
    <xf numFmtId="169" fontId="6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/>
    <xf numFmtId="169" fontId="8" fillId="0" borderId="0"/>
    <xf numFmtId="9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6" fillId="0" borderId="0"/>
    <xf numFmtId="169" fontId="6" fillId="0" borderId="0"/>
    <xf numFmtId="170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9" fontId="6" fillId="0" borderId="0"/>
    <xf numFmtId="168" fontId="6" fillId="0" borderId="0" applyFont="0" applyFill="0" applyBorder="0" applyAlignment="0" applyProtection="0"/>
    <xf numFmtId="169" fontId="6" fillId="11" borderId="0" applyNumberFormat="0" applyBorder="0" applyAlignment="0" applyProtection="0"/>
    <xf numFmtId="169" fontId="6" fillId="15" borderId="0" applyNumberFormat="0" applyBorder="0" applyAlignment="0" applyProtection="0"/>
    <xf numFmtId="169" fontId="6" fillId="19" borderId="0" applyNumberFormat="0" applyBorder="0" applyAlignment="0" applyProtection="0"/>
    <xf numFmtId="169" fontId="6" fillId="23" borderId="0" applyNumberFormat="0" applyBorder="0" applyAlignment="0" applyProtection="0"/>
    <xf numFmtId="169" fontId="6" fillId="27" borderId="0" applyNumberFormat="0" applyBorder="0" applyAlignment="0" applyProtection="0"/>
    <xf numFmtId="169" fontId="6" fillId="31" borderId="0" applyNumberFormat="0" applyBorder="0" applyAlignment="0" applyProtection="0"/>
    <xf numFmtId="169" fontId="6" fillId="12" borderId="0" applyNumberFormat="0" applyBorder="0" applyAlignment="0" applyProtection="0"/>
    <xf numFmtId="169" fontId="6" fillId="16" borderId="0" applyNumberFormat="0" applyBorder="0" applyAlignment="0" applyProtection="0"/>
    <xf numFmtId="169" fontId="6" fillId="20" borderId="0" applyNumberFormat="0" applyBorder="0" applyAlignment="0" applyProtection="0"/>
    <xf numFmtId="169" fontId="6" fillId="24" borderId="0" applyNumberFormat="0" applyBorder="0" applyAlignment="0" applyProtection="0"/>
    <xf numFmtId="169" fontId="6" fillId="28" borderId="0" applyNumberFormat="0" applyBorder="0" applyAlignment="0" applyProtection="0"/>
    <xf numFmtId="169" fontId="6" fillId="32" borderId="0" applyNumberFormat="0" applyBorder="0" applyAlignment="0" applyProtection="0"/>
    <xf numFmtId="169" fontId="25" fillId="13" borderId="0" applyNumberFormat="0" applyBorder="0" applyAlignment="0" applyProtection="0"/>
    <xf numFmtId="169" fontId="25" fillId="17" borderId="0" applyNumberFormat="0" applyBorder="0" applyAlignment="0" applyProtection="0"/>
    <xf numFmtId="169" fontId="25" fillId="21" borderId="0" applyNumberFormat="0" applyBorder="0" applyAlignment="0" applyProtection="0"/>
    <xf numFmtId="169" fontId="25" fillId="25" borderId="0" applyNumberFormat="0" applyBorder="0" applyAlignment="0" applyProtection="0"/>
    <xf numFmtId="169" fontId="25" fillId="29" borderId="0" applyNumberFormat="0" applyBorder="0" applyAlignment="0" applyProtection="0"/>
    <xf numFmtId="169" fontId="25" fillId="33" borderId="0" applyNumberFormat="0" applyBorder="0" applyAlignment="0" applyProtection="0"/>
    <xf numFmtId="169" fontId="28" fillId="34" borderId="0" applyNumberFormat="0"/>
    <xf numFmtId="169" fontId="18" fillId="4" borderId="0" applyNumberFormat="0" applyBorder="0" applyAlignment="0" applyProtection="0"/>
    <xf numFmtId="169" fontId="29" fillId="0" borderId="13" applyBorder="0"/>
    <xf numFmtId="169" fontId="22" fillId="7" borderId="6" applyNumberFormat="0" applyAlignment="0" applyProtection="0"/>
    <xf numFmtId="169" fontId="11" fillId="8" borderId="9" applyNumberFormat="0" applyAlignment="0" applyProtection="0"/>
    <xf numFmtId="168" fontId="6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24" fillId="0" borderId="0" applyNumberFormat="0" applyFill="0" applyBorder="0" applyAlignment="0" applyProtection="0"/>
    <xf numFmtId="169" fontId="29" fillId="0" borderId="14" applyNumberFormat="0" applyFont="0" applyAlignment="0"/>
    <xf numFmtId="169" fontId="17" fillId="3" borderId="0" applyNumberFormat="0" applyBorder="0" applyAlignment="0" applyProtection="0"/>
    <xf numFmtId="169" fontId="14" fillId="0" borderId="3" applyNumberFormat="0" applyFill="0" applyAlignment="0" applyProtection="0"/>
    <xf numFmtId="169" fontId="15" fillId="0" borderId="4" applyNumberFormat="0" applyFill="0" applyAlignment="0" applyProtection="0"/>
    <xf numFmtId="169" fontId="16" fillId="0" borderId="5" applyNumberFormat="0" applyFill="0" applyAlignment="0" applyProtection="0"/>
    <xf numFmtId="169" fontId="16" fillId="0" borderId="0" applyNumberFormat="0" applyFill="0" applyBorder="0" applyAlignment="0" applyProtection="0"/>
    <xf numFmtId="169" fontId="20" fillId="6" borderId="6" applyNumberFormat="0" applyAlignment="0" applyProtection="0"/>
    <xf numFmtId="38" fontId="30" fillId="0" borderId="0"/>
    <xf numFmtId="38" fontId="31" fillId="0" borderId="0"/>
    <xf numFmtId="38" fontId="32" fillId="0" borderId="0"/>
    <xf numFmtId="38" fontId="33" fillId="0" borderId="0"/>
    <xf numFmtId="169" fontId="34" fillId="0" borderId="0"/>
    <xf numFmtId="169" fontId="34" fillId="0" borderId="0"/>
    <xf numFmtId="169" fontId="23" fillId="0" borderId="8" applyNumberFormat="0" applyFill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9" fontId="19" fillId="5" borderId="0" applyNumberFormat="0" applyBorder="0" applyAlignment="0" applyProtection="0"/>
    <xf numFmtId="169" fontId="8" fillId="0" borderId="0"/>
    <xf numFmtId="169" fontId="29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6" fillId="9" borderId="10" applyNumberFormat="0" applyFont="0" applyAlignment="0" applyProtection="0"/>
    <xf numFmtId="169" fontId="35" fillId="0" borderId="0" applyNumberFormat="0" applyFill="0" applyBorder="0" applyProtection="0">
      <alignment horizontal="left"/>
    </xf>
    <xf numFmtId="169" fontId="21" fillId="7" borderId="7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9" fontId="36" fillId="35" borderId="12" applyFill="0">
      <alignment horizontal="centerContinuous" vertical="center"/>
    </xf>
    <xf numFmtId="169" fontId="27" fillId="0" borderId="0" applyNumberFormat="0" applyFill="0" applyBorder="0" applyAlignment="0" applyProtection="0"/>
    <xf numFmtId="169" fontId="9" fillId="0" borderId="0" applyNumberFormat="0" applyFill="0" applyBorder="0" applyAlignment="0" applyProtection="0"/>
    <xf numFmtId="169" fontId="37" fillId="0" borderId="13" applyBorder="0"/>
    <xf numFmtId="171" fontId="38" fillId="0" borderId="0" applyFont="0" applyFill="0" applyBorder="0" applyAlignment="0" applyProtection="0">
      <alignment vertical="center"/>
    </xf>
    <xf numFmtId="169" fontId="38" fillId="0" borderId="0">
      <alignment vertical="center"/>
    </xf>
    <xf numFmtId="43" fontId="26" fillId="0" borderId="0" applyFont="0" applyFill="0" applyBorder="0" applyAlignment="0" applyProtection="0"/>
    <xf numFmtId="169" fontId="29" fillId="0" borderId="14" applyNumberFormat="0" applyFont="0" applyAlignment="0"/>
    <xf numFmtId="43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6" fillId="0" borderId="0" applyFont="0" applyFill="0" applyBorder="0" applyAlignment="0" applyProtection="0"/>
    <xf numFmtId="169" fontId="29" fillId="0" borderId="13" applyBorder="0"/>
    <xf numFmtId="168" fontId="6" fillId="0" borderId="0" applyFont="0" applyFill="0" applyBorder="0" applyAlignment="0" applyProtection="0"/>
    <xf numFmtId="169" fontId="29" fillId="0" borderId="14" applyNumberFormat="0" applyFont="0" applyAlignment="0"/>
    <xf numFmtId="168" fontId="6" fillId="0" borderId="0" applyFont="0" applyFill="0" applyBorder="0" applyAlignment="0" applyProtection="0"/>
    <xf numFmtId="169" fontId="37" fillId="0" borderId="13" applyBorder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8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6" fillId="0" borderId="0" applyFont="0" applyFill="0" applyBorder="0" applyAlignment="0" applyProtection="0"/>
    <xf numFmtId="169" fontId="29" fillId="0" borderId="14" applyNumberFormat="0" applyFont="0" applyAlignment="0"/>
    <xf numFmtId="170" fontId="2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9" fontId="8" fillId="0" borderId="0" applyNumberFormat="0" applyFill="0" applyBorder="0" applyAlignment="0" applyProtection="0"/>
    <xf numFmtId="41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9" fontId="7" fillId="0" borderId="0">
      <alignment vertical="top"/>
    </xf>
    <xf numFmtId="169" fontId="7" fillId="0" borderId="0">
      <alignment vertical="top"/>
    </xf>
    <xf numFmtId="0" fontId="6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11" fillId="8" borderId="9" applyNumberFormat="0" applyAlignment="0" applyProtection="0"/>
    <xf numFmtId="0" fontId="9" fillId="0" borderId="0" applyNumberFormat="0" applyFill="0" applyBorder="0" applyAlignment="0" applyProtection="0"/>
    <xf numFmtId="0" fontId="6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2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5" fillId="33" borderId="0" applyNumberFormat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67" fontId="6" fillId="0" borderId="0" applyFont="0" applyFill="0" applyBorder="0" applyAlignment="0" applyProtection="0"/>
    <xf numFmtId="0" fontId="26" fillId="0" borderId="0">
      <alignment vertical="center"/>
    </xf>
    <xf numFmtId="0" fontId="6" fillId="0" borderId="0"/>
    <xf numFmtId="168" fontId="6" fillId="0" borderId="0" applyFont="0" applyFill="0" applyBorder="0" applyAlignment="0" applyProtection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25" fillId="33" borderId="0" applyNumberFormat="0" applyBorder="0" applyAlignment="0" applyProtection="0"/>
    <xf numFmtId="0" fontId="28" fillId="34" borderId="0" applyNumberFormat="0"/>
    <xf numFmtId="0" fontId="18" fillId="4" borderId="0" applyNumberFormat="0" applyBorder="0" applyAlignment="0" applyProtection="0"/>
    <xf numFmtId="0" fontId="29" fillId="0" borderId="13" applyBorder="0"/>
    <xf numFmtId="0" fontId="22" fillId="7" borderId="6" applyNumberFormat="0" applyAlignment="0" applyProtection="0"/>
    <xf numFmtId="0" fontId="11" fillId="8" borderId="9" applyNumberFormat="0" applyAlignment="0" applyProtection="0"/>
    <xf numFmtId="43" fontId="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9" fillId="0" borderId="14" applyNumberFormat="0" applyFont="0" applyAlignment="0"/>
    <xf numFmtId="0" fontId="17" fillId="3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20" fillId="6" borderId="6" applyNumberFormat="0" applyAlignment="0" applyProtection="0"/>
    <xf numFmtId="0" fontId="34" fillId="0" borderId="0"/>
    <xf numFmtId="0" fontId="34" fillId="0" borderId="0"/>
    <xf numFmtId="0" fontId="23" fillId="0" borderId="8" applyNumberFormat="0" applyFill="0" applyAlignment="0" applyProtection="0"/>
    <xf numFmtId="167" fontId="6" fillId="0" borderId="0" applyFont="0" applyFill="0" applyBorder="0" applyAlignment="0" applyProtection="0"/>
    <xf numFmtId="0" fontId="19" fillId="5" borderId="0" applyNumberFormat="0" applyBorder="0" applyAlignment="0" applyProtection="0"/>
    <xf numFmtId="0" fontId="8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9" borderId="10" applyNumberFormat="0" applyFont="0" applyAlignment="0" applyProtection="0"/>
    <xf numFmtId="0" fontId="35" fillId="0" borderId="0" applyNumberFormat="0" applyFill="0" applyBorder="0" applyProtection="0">
      <alignment horizontal="left"/>
    </xf>
    <xf numFmtId="0" fontId="21" fillId="7" borderId="7" applyNumberFormat="0" applyAlignment="0" applyProtection="0"/>
    <xf numFmtId="0" fontId="36" fillId="35" borderId="12" applyFill="0">
      <alignment horizontal="centerContinuous" vertical="center"/>
    </xf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7" fillId="0" borderId="13" applyBorder="0"/>
    <xf numFmtId="0" fontId="38" fillId="0" borderId="0">
      <alignment vertical="center"/>
    </xf>
    <xf numFmtId="0" fontId="29" fillId="0" borderId="14" applyNumberFormat="0" applyFont="0" applyAlignment="0"/>
    <xf numFmtId="167" fontId="6" fillId="0" borderId="0" applyFont="0" applyFill="0" applyBorder="0" applyAlignment="0" applyProtection="0"/>
    <xf numFmtId="0" fontId="29" fillId="0" borderId="13" applyBorder="0"/>
    <xf numFmtId="0" fontId="29" fillId="0" borderId="14" applyNumberFormat="0" applyFont="0" applyAlignment="0"/>
    <xf numFmtId="0" fontId="37" fillId="0" borderId="13" applyBorder="0"/>
    <xf numFmtId="0" fontId="29" fillId="0" borderId="14" applyNumberFormat="0" applyFont="0" applyAlignment="0"/>
    <xf numFmtId="168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7" fillId="0" borderId="0">
      <alignment vertical="top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7" fillId="0" borderId="0">
      <alignment vertical="top"/>
    </xf>
    <xf numFmtId="168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6" fillId="0" borderId="0">
      <alignment vertical="center"/>
    </xf>
    <xf numFmtId="0" fontId="8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67" fontId="6" fillId="0" borderId="0" applyFont="0" applyFill="0" applyBorder="0" applyAlignment="0" applyProtection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4" fontId="2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9" fillId="0" borderId="14" applyNumberFormat="0" applyFont="0" applyAlignment="0"/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7" fillId="0" borderId="0">
      <alignment vertical="top"/>
    </xf>
    <xf numFmtId="164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 applyFont="0" applyFill="0" applyBorder="0" applyAlignment="0" applyProtection="0"/>
    <xf numFmtId="0" fontId="6" fillId="0" borderId="0"/>
    <xf numFmtId="168" fontId="6" fillId="0" borderId="0" applyFont="0" applyFill="0" applyBorder="0" applyAlignment="0" applyProtection="0"/>
    <xf numFmtId="0" fontId="6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16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0" fillId="0" borderId="0"/>
    <xf numFmtId="43" fontId="6" fillId="0" borderId="0" applyFont="0" applyFill="0" applyBorder="0" applyAlignment="0" applyProtection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7" fillId="0" borderId="0">
      <alignment vertical="top"/>
    </xf>
    <xf numFmtId="0" fontId="29" fillId="0" borderId="14" applyNumberFormat="0" applyFont="0" applyAlignment="0"/>
    <xf numFmtId="169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7" fillId="0" borderId="0">
      <alignment vertical="top"/>
    </xf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169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0" fontId="29" fillId="0" borderId="14" applyNumberFormat="0" applyFont="0" applyAlignment="0"/>
    <xf numFmtId="0" fontId="29" fillId="0" borderId="14" applyNumberFormat="0" applyFont="0" applyAlignment="0"/>
    <xf numFmtId="169" fontId="29" fillId="0" borderId="14" applyNumberFormat="0" applyFont="0" applyAlignment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9" fontId="6" fillId="20" borderId="0" applyNumberFormat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  <xf numFmtId="179" fontId="42" fillId="0" borderId="0" applyFont="0" applyFill="0" applyBorder="0" applyAlignment="0" applyProtection="0">
      <alignment horizontal="right" vertical="top"/>
    </xf>
    <xf numFmtId="41" fontId="42" fillId="0" borderId="17" applyFill="0" applyBorder="0" applyProtection="0">
      <alignment horizontal="right" vertical="top"/>
    </xf>
    <xf numFmtId="169" fontId="6" fillId="28" borderId="0" applyNumberFormat="0" applyBorder="0" applyAlignment="0" applyProtection="0"/>
    <xf numFmtId="169" fontId="4" fillId="0" borderId="11" applyNumberFormat="0" applyFill="0" applyAlignment="0" applyProtection="0"/>
    <xf numFmtId="177" fontId="46" fillId="0" borderId="17">
      <alignment horizontal="left"/>
    </xf>
    <xf numFmtId="169" fontId="6" fillId="23" borderId="0" applyNumberFormat="0" applyBorder="0" applyAlignment="0" applyProtection="0"/>
    <xf numFmtId="169" fontId="26" fillId="0" borderId="0">
      <alignment vertical="center"/>
    </xf>
    <xf numFmtId="0" fontId="8" fillId="0" borderId="0"/>
    <xf numFmtId="0" fontId="42" fillId="0" borderId="0" applyFill="0" applyBorder="0">
      <alignment horizontal="left" vertical="top" wrapText="1"/>
    </xf>
    <xf numFmtId="169" fontId="17" fillId="3" borderId="0" applyNumberFormat="0" applyBorder="0" applyAlignment="0" applyProtection="0"/>
    <xf numFmtId="169" fontId="6" fillId="27" borderId="0" applyNumberFormat="0" applyBorder="0" applyAlignment="0" applyProtection="0"/>
    <xf numFmtId="169" fontId="6" fillId="16" borderId="0" applyNumberFormat="0" applyBorder="0" applyAlignment="0" applyProtection="0"/>
    <xf numFmtId="169" fontId="25" fillId="10" borderId="0" applyNumberFormat="0" applyBorder="0" applyAlignment="0" applyProtection="0"/>
    <xf numFmtId="169" fontId="25" fillId="17" borderId="0" applyNumberFormat="0" applyBorder="0" applyAlignment="0" applyProtection="0"/>
    <xf numFmtId="166" fontId="42" fillId="0" borderId="17" applyFill="0" applyBorder="0" applyProtection="0">
      <alignment horizontal="right" vertical="top"/>
    </xf>
    <xf numFmtId="169" fontId="11" fillId="8" borderId="9" applyNumberFormat="0" applyAlignment="0" applyProtection="0"/>
    <xf numFmtId="169" fontId="23" fillId="0" borderId="8" applyNumberFormat="0" applyFill="0" applyAlignment="0" applyProtection="0"/>
    <xf numFmtId="177" fontId="47" fillId="0" borderId="17">
      <alignment horizontal="center"/>
    </xf>
    <xf numFmtId="169" fontId="6" fillId="32" borderId="0" applyNumberFormat="0" applyBorder="0" applyAlignment="0" applyProtection="0"/>
    <xf numFmtId="43" fontId="8" fillId="0" borderId="0" applyFont="0" applyFill="0" applyBorder="0" applyAlignment="0" applyProtection="0"/>
    <xf numFmtId="169" fontId="21" fillId="7" borderId="7" applyNumberFormat="0" applyAlignment="0" applyProtection="0"/>
    <xf numFmtId="169" fontId="6" fillId="0" borderId="0"/>
    <xf numFmtId="167" fontId="6" fillId="0" borderId="0" applyFont="0" applyFill="0" applyBorder="0" applyAlignment="0" applyProtection="0"/>
    <xf numFmtId="169" fontId="14" fillId="0" borderId="3" applyNumberFormat="0" applyFill="0" applyAlignment="0" applyProtection="0"/>
    <xf numFmtId="43" fontId="6" fillId="0" borderId="0" applyFont="0" applyFill="0" applyBorder="0" applyAlignment="0" applyProtection="0"/>
    <xf numFmtId="169" fontId="25" fillId="14" borderId="0" applyNumberFormat="0" applyBorder="0" applyAlignment="0" applyProtection="0"/>
    <xf numFmtId="169" fontId="29" fillId="0" borderId="14" applyNumberFormat="0" applyFont="0" applyAlignment="0"/>
    <xf numFmtId="169" fontId="16" fillId="0" borderId="5" applyNumberFormat="0" applyFill="0" applyAlignment="0" applyProtection="0"/>
    <xf numFmtId="169" fontId="25" fillId="25" borderId="0" applyNumberFormat="0" applyBorder="0" applyAlignment="0" applyProtection="0"/>
    <xf numFmtId="177" fontId="46" fillId="0" borderId="17">
      <alignment horizontal="left"/>
    </xf>
    <xf numFmtId="177" fontId="47" fillId="0" borderId="17">
      <alignment horizontal="center"/>
    </xf>
    <xf numFmtId="178" fontId="42" fillId="0" borderId="0" applyFill="0" applyBorder="0">
      <alignment horizontal="right" vertical="top"/>
    </xf>
    <xf numFmtId="0" fontId="45" fillId="0" borderId="0"/>
    <xf numFmtId="169" fontId="6" fillId="15" borderId="0" applyNumberFormat="0" applyBorder="0" applyAlignment="0" applyProtection="0"/>
    <xf numFmtId="169" fontId="25" fillId="33" borderId="0" applyNumberFormat="0" applyBorder="0" applyAlignment="0" applyProtection="0"/>
    <xf numFmtId="169" fontId="25" fillId="22" borderId="0" applyNumberFormat="0" applyBorder="0" applyAlignment="0" applyProtection="0"/>
    <xf numFmtId="169" fontId="16" fillId="0" borderId="0" applyNumberFormat="0" applyFill="0" applyBorder="0" applyAlignment="0" applyProtection="0"/>
    <xf numFmtId="173" fontId="8" fillId="0" borderId="0" applyFont="0" applyFill="0" applyBorder="0" applyAlignment="0" applyProtection="0"/>
    <xf numFmtId="169" fontId="29" fillId="0" borderId="14" applyNumberFormat="0" applyFont="0" applyAlignment="0"/>
    <xf numFmtId="177" fontId="46" fillId="0" borderId="17">
      <alignment horizontal="left"/>
    </xf>
    <xf numFmtId="168" fontId="12" fillId="0" borderId="0" applyFont="0" applyFill="0" applyBorder="0" applyAlignment="0" applyProtection="0"/>
    <xf numFmtId="169" fontId="6" fillId="11" borderId="0" applyNumberFormat="0" applyBorder="0" applyAlignment="0" applyProtection="0"/>
    <xf numFmtId="169" fontId="8" fillId="0" borderId="0"/>
    <xf numFmtId="166" fontId="42" fillId="0" borderId="17" applyFill="0" applyBorder="0" applyProtection="0">
      <alignment horizontal="right" vertical="top"/>
    </xf>
    <xf numFmtId="169" fontId="6" fillId="24" borderId="0" applyNumberFormat="0" applyBorder="0" applyAlignment="0" applyProtection="0"/>
    <xf numFmtId="169" fontId="25" fillId="26" borderId="0" applyNumberFormat="0" applyBorder="0" applyAlignment="0" applyProtection="0"/>
    <xf numFmtId="164" fontId="42" fillId="0" borderId="17" applyFill="0" applyBorder="0" applyProtection="0">
      <alignment horizontal="right" vertical="top"/>
    </xf>
    <xf numFmtId="169" fontId="25" fillId="29" borderId="0" applyNumberFormat="0" applyBorder="0" applyAlignment="0" applyProtection="0"/>
    <xf numFmtId="169" fontId="6" fillId="19" borderId="0" applyNumberFormat="0" applyBorder="0" applyAlignment="0" applyProtection="0"/>
    <xf numFmtId="41" fontId="42" fillId="0" borderId="17" applyFill="0" applyBorder="0" applyProtection="0">
      <alignment horizontal="right" vertical="top"/>
    </xf>
    <xf numFmtId="169" fontId="22" fillId="7" borderId="6" applyNumberFormat="0" applyAlignment="0" applyProtection="0"/>
    <xf numFmtId="166" fontId="42" fillId="0" borderId="17" applyFill="0" applyBorder="0" applyProtection="0">
      <alignment horizontal="right" vertical="top"/>
    </xf>
    <xf numFmtId="169" fontId="9" fillId="0" borderId="0" applyNumberFormat="0" applyFill="0" applyBorder="0" applyAlignment="0" applyProtection="0"/>
    <xf numFmtId="41" fontId="42" fillId="0" borderId="17" applyFill="0" applyBorder="0" applyProtection="0">
      <alignment horizontal="right" vertical="top"/>
    </xf>
    <xf numFmtId="174" fontId="8" fillId="0" borderId="0" applyFont="0" applyFill="0" applyBorder="0" applyAlignment="0" applyProtection="0"/>
    <xf numFmtId="177" fontId="46" fillId="0" borderId="17">
      <alignment horizontal="left"/>
    </xf>
    <xf numFmtId="169" fontId="18" fillId="4" borderId="0" applyNumberFormat="0" applyBorder="0" applyAlignment="0" applyProtection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42" fillId="0" borderId="17" applyFill="0" applyBorder="0" applyProtection="0">
      <alignment horizontal="right" vertical="top"/>
    </xf>
    <xf numFmtId="169" fontId="25" fillId="13" borderId="0" applyNumberFormat="0" applyBorder="0" applyAlignment="0" applyProtection="0"/>
    <xf numFmtId="168" fontId="8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/>
    <xf numFmtId="41" fontId="42" fillId="0" borderId="17" applyFill="0" applyBorder="0" applyProtection="0">
      <alignment horizontal="right" vertical="top"/>
    </xf>
    <xf numFmtId="166" fontId="42" fillId="0" borderId="17" applyFill="0" applyBorder="0" applyProtection="0">
      <alignment horizontal="right" vertical="top"/>
    </xf>
    <xf numFmtId="169" fontId="6" fillId="0" borderId="0"/>
    <xf numFmtId="176" fontId="41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42" fillId="0" borderId="17" applyFill="0" applyBorder="0" applyProtection="0">
      <alignment horizontal="right" vertical="top"/>
    </xf>
    <xf numFmtId="169" fontId="29" fillId="0" borderId="14" applyNumberFormat="0" applyFont="0" applyAlignment="0"/>
    <xf numFmtId="165" fontId="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9" fontId="25" fillId="21" borderId="0" applyNumberFormat="0" applyBorder="0" applyAlignment="0" applyProtection="0"/>
    <xf numFmtId="169" fontId="25" fillId="18" borderId="0" applyNumberFormat="0" applyBorder="0" applyAlignment="0" applyProtection="0"/>
    <xf numFmtId="41" fontId="42" fillId="0" borderId="17" applyFill="0" applyBorder="0" applyProtection="0">
      <alignment horizontal="right" vertical="top"/>
    </xf>
    <xf numFmtId="169" fontId="20" fillId="6" borderId="6" applyNumberFormat="0" applyAlignment="0" applyProtection="0"/>
    <xf numFmtId="165" fontId="6" fillId="0" borderId="0" applyFont="0" applyFill="0" applyBorder="0" applyAlignment="0" applyProtection="0"/>
    <xf numFmtId="169" fontId="6" fillId="0" borderId="0"/>
    <xf numFmtId="43" fontId="6" fillId="0" borderId="0" applyFont="0" applyFill="0" applyBorder="0" applyAlignment="0" applyProtection="0"/>
    <xf numFmtId="177" fontId="47" fillId="0" borderId="17">
      <alignment horizontal="center"/>
    </xf>
    <xf numFmtId="169" fontId="29" fillId="0" borderId="14" applyNumberFormat="0" applyFont="0" applyAlignment="0"/>
    <xf numFmtId="167" fontId="12" fillId="0" borderId="0" applyFont="0" applyFill="0" applyBorder="0" applyAlignment="0" applyProtection="0"/>
    <xf numFmtId="166" fontId="42" fillId="0" borderId="17" applyFill="0" applyBorder="0" applyProtection="0">
      <alignment horizontal="right" vertical="top"/>
    </xf>
    <xf numFmtId="177" fontId="46" fillId="0" borderId="17">
      <alignment horizontal="left"/>
    </xf>
    <xf numFmtId="177" fontId="47" fillId="0" borderId="17">
      <alignment horizontal="center"/>
    </xf>
    <xf numFmtId="169" fontId="6" fillId="9" borderId="10" applyNumberFormat="0" applyFont="0" applyAlignment="0" applyProtection="0"/>
    <xf numFmtId="177" fontId="46" fillId="0" borderId="17">
      <alignment horizontal="left"/>
    </xf>
    <xf numFmtId="175" fontId="42" fillId="0" borderId="0" applyFill="0" applyBorder="0">
      <alignment horizontal="right" vertical="top"/>
    </xf>
    <xf numFmtId="177" fontId="47" fillId="0" borderId="17">
      <alignment horizontal="center"/>
    </xf>
    <xf numFmtId="41" fontId="42" fillId="0" borderId="17" applyFill="0" applyBorder="0" applyProtection="0">
      <alignment horizontal="right" vertical="top"/>
    </xf>
    <xf numFmtId="169" fontId="19" fillId="5" borderId="0" applyNumberFormat="0" applyBorder="0" applyAlignment="0" applyProtection="0"/>
    <xf numFmtId="9" fontId="12" fillId="0" borderId="0" applyFont="0" applyFill="0" applyBorder="0" applyAlignment="0" applyProtection="0"/>
    <xf numFmtId="169" fontId="24" fillId="0" borderId="0" applyNumberFormat="0" applyFill="0" applyBorder="0" applyAlignment="0" applyProtection="0"/>
    <xf numFmtId="177" fontId="47" fillId="0" borderId="17">
      <alignment horizontal="center"/>
    </xf>
    <xf numFmtId="164" fontId="42" fillId="0" borderId="17" applyFill="0" applyBorder="0" applyProtection="0">
      <alignment horizontal="right" vertical="top"/>
    </xf>
    <xf numFmtId="169" fontId="15" fillId="0" borderId="4" applyNumberFormat="0" applyFill="0" applyAlignment="0" applyProtection="0"/>
    <xf numFmtId="165" fontId="6" fillId="0" borderId="0" applyFont="0" applyFill="0" applyBorder="0" applyAlignment="0" applyProtection="0"/>
    <xf numFmtId="169" fontId="6" fillId="12" borderId="0" applyNumberForma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0" borderId="0"/>
    <xf numFmtId="169" fontId="25" fillId="30" borderId="0" applyNumberFormat="0" applyBorder="0" applyAlignment="0" applyProtection="0"/>
    <xf numFmtId="169" fontId="6" fillId="31" borderId="0" applyNumberFormat="0" applyBorder="0" applyAlignment="0" applyProtection="0"/>
    <xf numFmtId="169" fontId="13" fillId="0" borderId="0" applyNumberForma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4" fillId="0" borderId="1" xfId="0" applyNumberFormat="1" applyFont="1" applyBorder="1"/>
    <xf numFmtId="3" fontId="4" fillId="0" borderId="0" xfId="0" applyNumberFormat="1" applyFont="1"/>
    <xf numFmtId="10" fontId="0" fillId="0" borderId="0" xfId="0" applyNumberFormat="1"/>
    <xf numFmtId="0" fontId="0" fillId="0" borderId="2" xfId="0" applyBorder="1"/>
    <xf numFmtId="3" fontId="0" fillId="0" borderId="0" xfId="0" applyNumberFormat="1" applyAlignment="1">
      <alignment vertical="top"/>
    </xf>
    <xf numFmtId="0" fontId="0" fillId="2" borderId="0" xfId="0" applyFill="1"/>
    <xf numFmtId="3" fontId="3" fillId="0" borderId="0" xfId="1" applyNumberFormat="1"/>
    <xf numFmtId="3" fontId="7" fillId="0" borderId="0" xfId="2" applyNumberFormat="1">
      <alignment vertical="top"/>
    </xf>
    <xf numFmtId="3" fontId="2" fillId="0" borderId="0" xfId="9" applyNumberFormat="1"/>
    <xf numFmtId="0" fontId="0" fillId="0" borderId="18" xfId="0" applyBorder="1"/>
    <xf numFmtId="4" fontId="7" fillId="0" borderId="0" xfId="342" applyNumberFormat="1">
      <alignment vertical="top"/>
    </xf>
    <xf numFmtId="0" fontId="0" fillId="0" borderId="15" xfId="0" applyBorder="1"/>
    <xf numFmtId="0" fontId="0" fillId="0" borderId="16" xfId="0" applyBorder="1"/>
    <xf numFmtId="3" fontId="7" fillId="0" borderId="0" xfId="342" applyNumberFormat="1">
      <alignment vertical="top"/>
    </xf>
    <xf numFmtId="3" fontId="0" fillId="0" borderId="16" xfId="0" applyNumberFormat="1" applyBorder="1"/>
    <xf numFmtId="0" fontId="4" fillId="0" borderId="0" xfId="0" applyFont="1"/>
    <xf numFmtId="3" fontId="0" fillId="0" borderId="18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80" fontId="0" fillId="0" borderId="0" xfId="0" applyNumberFormat="1"/>
    <xf numFmtId="0" fontId="0" fillId="0" borderId="0" xfId="0"/>
    <xf numFmtId="3" fontId="4" fillId="0" borderId="0" xfId="0" applyNumberFormat="1" applyFont="1" applyAlignment="1">
      <alignment vertical="top"/>
    </xf>
    <xf numFmtId="0" fontId="4" fillId="0" borderId="12" xfId="0" applyFont="1" applyBorder="1"/>
    <xf numFmtId="3" fontId="4" fillId="0" borderId="12" xfId="0" applyNumberFormat="1" applyFont="1" applyBorder="1" applyAlignment="1">
      <alignment vertical="top"/>
    </xf>
    <xf numFmtId="0" fontId="4" fillId="0" borderId="12" xfId="0" applyFont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3" fontId="4" fillId="0" borderId="12" xfId="0" applyNumberFormat="1" applyFont="1" applyBorder="1"/>
    <xf numFmtId="0" fontId="0" fillId="0" borderId="0" xfId="0"/>
    <xf numFmtId="0" fontId="0" fillId="36" borderId="0" xfId="0" applyFill="1"/>
    <xf numFmtId="0" fontId="4" fillId="36" borderId="0" xfId="0" applyFont="1" applyFill="1"/>
    <xf numFmtId="0" fontId="0" fillId="0" borderId="0" xfId="0"/>
    <xf numFmtId="0" fontId="4" fillId="0" borderId="0" xfId="0" applyFont="1" applyFill="1"/>
    <xf numFmtId="0" fontId="0" fillId="0" borderId="0" xfId="0" applyFill="1"/>
    <xf numFmtId="0" fontId="0" fillId="0" borderId="0" xfId="0"/>
    <xf numFmtId="3" fontId="0" fillId="0" borderId="19" xfId="0" applyNumberFormat="1" applyBorder="1"/>
    <xf numFmtId="0" fontId="5" fillId="0" borderId="0" xfId="0" applyFont="1" applyAlignment="1">
      <alignment horizontal="center"/>
    </xf>
    <xf numFmtId="0" fontId="4" fillId="37" borderId="0" xfId="0" applyFont="1" applyFill="1" applyBorder="1" applyAlignment="1">
      <alignment horizontal="right"/>
    </xf>
    <xf numFmtId="3" fontId="4" fillId="37" borderId="0" xfId="0" applyNumberFormat="1" applyFont="1" applyFill="1" applyAlignment="1">
      <alignment vertical="top"/>
    </xf>
  </cellXfs>
  <cellStyles count="722">
    <cellStyle name="20% - Accent1 2" xfId="76"/>
    <cellStyle name="20% - Accent1 2 2" xfId="245"/>
    <cellStyle name="20% - Accent1 3" xfId="207"/>
    <cellStyle name="20% - Accent1 3 2" xfId="645"/>
    <cellStyle name="20% - Accent1 4" xfId="34"/>
    <cellStyle name="20% - Accent2 2" xfId="77"/>
    <cellStyle name="20% - Accent2 2 2" xfId="246"/>
    <cellStyle name="20% - Accent2 3" xfId="211"/>
    <cellStyle name="20% - Accent2 3 2" xfId="637"/>
    <cellStyle name="20% - Accent2 4" xfId="38"/>
    <cellStyle name="20% - Accent3 2" xfId="78"/>
    <cellStyle name="20% - Accent3 2 2" xfId="247"/>
    <cellStyle name="20% - Accent3 3" xfId="215"/>
    <cellStyle name="20% - Accent3 3 2" xfId="652"/>
    <cellStyle name="20% - Accent3 4" xfId="42"/>
    <cellStyle name="20% - Accent4 2" xfId="79"/>
    <cellStyle name="20% - Accent4 2 2" xfId="248"/>
    <cellStyle name="20% - Accent4 3" xfId="219"/>
    <cellStyle name="20% - Accent4 3 2" xfId="609"/>
    <cellStyle name="20% - Accent4 4" xfId="46"/>
    <cellStyle name="20% - Accent5 2" xfId="80"/>
    <cellStyle name="20% - Accent5 2 2" xfId="249"/>
    <cellStyle name="20% - Accent5 3" xfId="223"/>
    <cellStyle name="20% - Accent5 3 2" xfId="614"/>
    <cellStyle name="20% - Accent5 4" xfId="50"/>
    <cellStyle name="20% - Accent6 2" xfId="81"/>
    <cellStyle name="20% - Accent6 2 2" xfId="250"/>
    <cellStyle name="20% - Accent6 3" xfId="227"/>
    <cellStyle name="20% - Accent6 3 2" xfId="720"/>
    <cellStyle name="20% - Accent6 4" xfId="54"/>
    <cellStyle name="40% - Accent1 2" xfId="82"/>
    <cellStyle name="40% - Accent1 2 2" xfId="251"/>
    <cellStyle name="40% - Accent1 3" xfId="208"/>
    <cellStyle name="40% - Accent1 3 2" xfId="709"/>
    <cellStyle name="40% - Accent1 4" xfId="35"/>
    <cellStyle name="40% - Accent2 2" xfId="83"/>
    <cellStyle name="40% - Accent2 2 2" xfId="252"/>
    <cellStyle name="40% - Accent2 3" xfId="212"/>
    <cellStyle name="40% - Accent2 3 2" xfId="615"/>
    <cellStyle name="40% - Accent2 4" xfId="39"/>
    <cellStyle name="40% - Accent3 2" xfId="84"/>
    <cellStyle name="40% - Accent3 2 2" xfId="253"/>
    <cellStyle name="40% - Accent3 3" xfId="216"/>
    <cellStyle name="40% - Accent3 3 2" xfId="600"/>
    <cellStyle name="40% - Accent3 4" xfId="43"/>
    <cellStyle name="40% - Accent4 2" xfId="85"/>
    <cellStyle name="40% - Accent4 2 2" xfId="254"/>
    <cellStyle name="40% - Accent4 3" xfId="220"/>
    <cellStyle name="40% - Accent4 3 2" xfId="648"/>
    <cellStyle name="40% - Accent4 4" xfId="47"/>
    <cellStyle name="40% - Accent5 2" xfId="86"/>
    <cellStyle name="40% - Accent5 2 2" xfId="255"/>
    <cellStyle name="40% - Accent5 3" xfId="224"/>
    <cellStyle name="40% - Accent5 3 2" xfId="606"/>
    <cellStyle name="40% - Accent5 4" xfId="51"/>
    <cellStyle name="40% - Accent6 2" xfId="87"/>
    <cellStyle name="40% - Accent6 2 2" xfId="256"/>
    <cellStyle name="40% - Accent6 3" xfId="228"/>
    <cellStyle name="40% - Accent6 3 2" xfId="622"/>
    <cellStyle name="40% - Accent6 4" xfId="55"/>
    <cellStyle name="60% - Accent1 2" xfId="88"/>
    <cellStyle name="60% - Accent1 2 2" xfId="257"/>
    <cellStyle name="60% - Accent1 3" xfId="209"/>
    <cellStyle name="60% - Accent1 3 2" xfId="665"/>
    <cellStyle name="60% - Accent1 4" xfId="36"/>
    <cellStyle name="60% - Accent2 2" xfId="89"/>
    <cellStyle name="60% - Accent2 2 2" xfId="258"/>
    <cellStyle name="60% - Accent2 3" xfId="213"/>
    <cellStyle name="60% - Accent2 3 2" xfId="617"/>
    <cellStyle name="60% - Accent2 4" xfId="40"/>
    <cellStyle name="60% - Accent3 2" xfId="90"/>
    <cellStyle name="60% - Accent3 2 2" xfId="259"/>
    <cellStyle name="60% - Accent3 3" xfId="217"/>
    <cellStyle name="60% - Accent3 3 2" xfId="684"/>
    <cellStyle name="60% - Accent3 4" xfId="44"/>
    <cellStyle name="60% - Accent4 2" xfId="91"/>
    <cellStyle name="60% - Accent4 2 2" xfId="260"/>
    <cellStyle name="60% - Accent4 3" xfId="221"/>
    <cellStyle name="60% - Accent4 3 2" xfId="632"/>
    <cellStyle name="60% - Accent4 4" xfId="48"/>
    <cellStyle name="60% - Accent5 2" xfId="92"/>
    <cellStyle name="60% - Accent5 2 2" xfId="261"/>
    <cellStyle name="60% - Accent5 3" xfId="225"/>
    <cellStyle name="60% - Accent5 3 2" xfId="651"/>
    <cellStyle name="60% - Accent5 4" xfId="52"/>
    <cellStyle name="60% - Accent6 2" xfId="93"/>
    <cellStyle name="60% - Accent6 2 2" xfId="262"/>
    <cellStyle name="60% - Accent6 3" xfId="229"/>
    <cellStyle name="60% - Accent6 3 2" xfId="638"/>
    <cellStyle name="60% - Accent6 4" xfId="56"/>
    <cellStyle name="Accent1 2" xfId="206"/>
    <cellStyle name="Accent1 2 2" xfId="616"/>
    <cellStyle name="Accent1 3" xfId="33"/>
    <cellStyle name="Accent2 2" xfId="210"/>
    <cellStyle name="Accent2 2 2" xfId="629"/>
    <cellStyle name="Accent2 3" xfId="37"/>
    <cellStyle name="Accent3 2" xfId="214"/>
    <cellStyle name="Accent3 2 2" xfId="685"/>
    <cellStyle name="Accent3 3" xfId="41"/>
    <cellStyle name="Accent4 2" xfId="218"/>
    <cellStyle name="Accent4 2 2" xfId="639"/>
    <cellStyle name="Accent4 3" xfId="45"/>
    <cellStyle name="Accent5 2" xfId="222"/>
    <cellStyle name="Accent5 2 2" xfId="649"/>
    <cellStyle name="Accent5 3" xfId="49"/>
    <cellStyle name="Accent6 2" xfId="226"/>
    <cellStyle name="Accent6 2 2" xfId="719"/>
    <cellStyle name="Accent6 3" xfId="53"/>
    <cellStyle name="Accounts heading" xfId="94"/>
    <cellStyle name="Accounts heading 2" xfId="263"/>
    <cellStyle name="Bad 2" xfId="95"/>
    <cellStyle name="Bad 2 2" xfId="264"/>
    <cellStyle name="Bad 3" xfId="195"/>
    <cellStyle name="Bad 3 2" xfId="660"/>
    <cellStyle name="Bad 4" xfId="22"/>
    <cellStyle name="BetterValues" xfId="96"/>
    <cellStyle name="BetterValues 2" xfId="155"/>
    <cellStyle name="BetterValues 2 2" xfId="303"/>
    <cellStyle name="BetterValues 3" xfId="265"/>
    <cellStyle name="Calculation 2" xfId="97"/>
    <cellStyle name="Calculation 2 2" xfId="266"/>
    <cellStyle name="Calculation 3" xfId="199"/>
    <cellStyle name="Calculation 3 2" xfId="654"/>
    <cellStyle name="Calculation 4" xfId="26"/>
    <cellStyle name="Check Cell 2" xfId="98"/>
    <cellStyle name="Check Cell 2 2" xfId="267"/>
    <cellStyle name="Check Cell 3" xfId="201"/>
    <cellStyle name="Check Cell 3 2" xfId="619"/>
    <cellStyle name="Check Cell 4" xfId="28"/>
    <cellStyle name="Comma [0] 2" xfId="72"/>
    <cellStyle name="Comma [0] 2 2" xfId="165"/>
    <cellStyle name="Comma [0] 3" xfId="150"/>
    <cellStyle name="Comma [0] 3 2" xfId="175"/>
    <cellStyle name="Comma [0] 3 3" xfId="348"/>
    <cellStyle name="Comma [0] 3 3 2" xfId="354"/>
    <cellStyle name="Comma [0] 3 3 2 2" xfId="670"/>
    <cellStyle name="Comma [0] 3 3 3" xfId="409"/>
    <cellStyle name="Comma [0] 3 3 3 2" xfId="682"/>
    <cellStyle name="Comma [0] 3 3 4" xfId="668"/>
    <cellStyle name="Comma [0] 4" xfId="183"/>
    <cellStyle name="Comma [0] 5" xfId="15"/>
    <cellStyle name="Comma [0] 6" xfId="661"/>
    <cellStyle name="Comma 10" xfId="147"/>
    <cellStyle name="Comma 11" xfId="149"/>
    <cellStyle name="Comma 12" xfId="153"/>
    <cellStyle name="Comma 13" xfId="58"/>
    <cellStyle name="Comma 13 2" xfId="235"/>
    <cellStyle name="Comma 14" xfId="302"/>
    <cellStyle name="Comma 14 2" xfId="688"/>
    <cellStyle name="Comma 15" xfId="321"/>
    <cellStyle name="Comma 15 2" xfId="708"/>
    <cellStyle name="Comma 16" xfId="344"/>
    <cellStyle name="Comma 16 2" xfId="710"/>
    <cellStyle name="Comma 17" xfId="349"/>
    <cellStyle name="Comma 17 2" xfId="602"/>
    <cellStyle name="Comma 18" xfId="352"/>
    <cellStyle name="Comma 18 2" xfId="628"/>
    <cellStyle name="Comma 19" xfId="360"/>
    <cellStyle name="Comma 19 2" xfId="690"/>
    <cellStyle name="Comma 2" xfId="63"/>
    <cellStyle name="Comma 2 2" xfId="100"/>
    <cellStyle name="Comma 2 2 2" xfId="168"/>
    <cellStyle name="Comma 2 2 3" xfId="325"/>
    <cellStyle name="Comma 2 2 4" xfId="370"/>
    <cellStyle name="Comma 2 2 5" xfId="403"/>
    <cellStyle name="Comma 2 3" xfId="99"/>
    <cellStyle name="Comma 2 3 2" xfId="156"/>
    <cellStyle name="Comma 2 3 2 2" xfId="179"/>
    <cellStyle name="Comma 2 3 3" xfId="167"/>
    <cellStyle name="Comma 2 4" xfId="162"/>
    <cellStyle name="Comma 2 5" xfId="181"/>
    <cellStyle name="Comma 2 5 2" xfId="184"/>
    <cellStyle name="Comma 2 5 2 2" xfId="309"/>
    <cellStyle name="Comma 2 5 3" xfId="307"/>
    <cellStyle name="Comma 2 5 4" xfId="351"/>
    <cellStyle name="Comma 2 5 4 2" xfId="355"/>
    <cellStyle name="Comma 2 5 4 2 2" xfId="671"/>
    <cellStyle name="Comma 2 5 4 3" xfId="410"/>
    <cellStyle name="Comma 2 5 4 3 2" xfId="683"/>
    <cellStyle name="Comma 2 5 4 4" xfId="669"/>
    <cellStyle name="Comma 2 5 5" xfId="318"/>
    <cellStyle name="Comma 2 5 5 2" xfId="662"/>
    <cellStyle name="Comma 2 5 6" xfId="230"/>
    <cellStyle name="Comma 2 6" xfId="324"/>
    <cellStyle name="Comma 2 7" xfId="363"/>
    <cellStyle name="Comma 2 7 2" xfId="623"/>
    <cellStyle name="Comma 2 8" xfId="401"/>
    <cellStyle name="Comma 2 8 2" xfId="681"/>
    <cellStyle name="Comma 20" xfId="369"/>
    <cellStyle name="Comma 21" xfId="375"/>
    <cellStyle name="Comma 22" xfId="377"/>
    <cellStyle name="Comma 23" xfId="379"/>
    <cellStyle name="Comma 24" xfId="380"/>
    <cellStyle name="Comma 25" xfId="381"/>
    <cellStyle name="Comma 26" xfId="382"/>
    <cellStyle name="Comma 27" xfId="383"/>
    <cellStyle name="Comma 28" xfId="384"/>
    <cellStyle name="Comma 29" xfId="385"/>
    <cellStyle name="Comma 3" xfId="61"/>
    <cellStyle name="Comma 3 2" xfId="101"/>
    <cellStyle name="Comma 3 2 2" xfId="185"/>
    <cellStyle name="Comma 3 2 2 2" xfId="310"/>
    <cellStyle name="Comma 3 2 3" xfId="268"/>
    <cellStyle name="Comma 3 2 4" xfId="327"/>
    <cellStyle name="Comma 3 2 5" xfId="319"/>
    <cellStyle name="Comma 3 2 5 2" xfId="663"/>
    <cellStyle name="Comma 3 2 6" xfId="231"/>
    <cellStyle name="Comma 3 3" xfId="151"/>
    <cellStyle name="Comma 3 3 2" xfId="176"/>
    <cellStyle name="Comma 3 4" xfId="160"/>
    <cellStyle name="Comma 3 5" xfId="238"/>
    <cellStyle name="Comma 3 6" xfId="326"/>
    <cellStyle name="Comma 3 6 2" xfId="626"/>
    <cellStyle name="Comma 30" xfId="386"/>
    <cellStyle name="Comma 31" xfId="388"/>
    <cellStyle name="Comma 32" xfId="394"/>
    <cellStyle name="Comma 33" xfId="395"/>
    <cellStyle name="Comma 34" xfId="396"/>
    <cellStyle name="Comma 35" xfId="397"/>
    <cellStyle name="Comma 36" xfId="398"/>
    <cellStyle name="Comma 37" xfId="400"/>
    <cellStyle name="Comma 38" xfId="11"/>
    <cellStyle name="Comma 38 2" xfId="601"/>
    <cellStyle name="Comma 39" xfId="588"/>
    <cellStyle name="Comma 39 2" xfId="711"/>
    <cellStyle name="Comma 4" xfId="64"/>
    <cellStyle name="Comma 4 2" xfId="102"/>
    <cellStyle name="Comma 4 2 2" xfId="169"/>
    <cellStyle name="Comma 4 2 3" xfId="666"/>
    <cellStyle name="Comma 4 2 4" xfId="693"/>
    <cellStyle name="Comma 4 3" xfId="163"/>
    <cellStyle name="Comma 4 4" xfId="328"/>
    <cellStyle name="Comma 4 4 2" xfId="644"/>
    <cellStyle name="Comma 4 5" xfId="678"/>
    <cellStyle name="Comma 4 6" xfId="667"/>
    <cellStyle name="Comma 40" xfId="593"/>
    <cellStyle name="Comma 40 2" xfId="716"/>
    <cellStyle name="Comma 41" xfId="591"/>
    <cellStyle name="Comma 41 2" xfId="714"/>
    <cellStyle name="Comma 42" xfId="590"/>
    <cellStyle name="Comma 42 2" xfId="713"/>
    <cellStyle name="Comma 43" xfId="592"/>
    <cellStyle name="Comma 43 2" xfId="715"/>
    <cellStyle name="Comma 44" xfId="594"/>
    <cellStyle name="Comma 44 2" xfId="717"/>
    <cellStyle name="Comma 45" xfId="589"/>
    <cellStyle name="Comma 45 2" xfId="712"/>
    <cellStyle name="Comma 5" xfId="5"/>
    <cellStyle name="Comma 5 2" xfId="170"/>
    <cellStyle name="Comma 5 3" xfId="329"/>
    <cellStyle name="Comma 5 3 2" xfId="672"/>
    <cellStyle name="Comma 5 4" xfId="103"/>
    <cellStyle name="Comma 6" xfId="65"/>
    <cellStyle name="Comma 6 2" xfId="164"/>
    <cellStyle name="Comma 6 3" xfId="323"/>
    <cellStyle name="Comma 6 4" xfId="367"/>
    <cellStyle name="Comma 7" xfId="75"/>
    <cellStyle name="Comma 7 2" xfId="154"/>
    <cellStyle name="Comma 7 2 2" xfId="178"/>
    <cellStyle name="Comma 7 3" xfId="166"/>
    <cellStyle name="Comma 8" xfId="69"/>
    <cellStyle name="Comma 9" xfId="104"/>
    <cellStyle name="Comma 9 2" xfId="105"/>
    <cellStyle name="Comma 9 2 2" xfId="172"/>
    <cellStyle name="Comma 9 3" xfId="171"/>
    <cellStyle name="Currency 2" xfId="330"/>
    <cellStyle name="Currency 2 2" xfId="331"/>
    <cellStyle name="Currency 3" xfId="332"/>
    <cellStyle name="Currency 3 2" xfId="333"/>
    <cellStyle name="Euro" xfId="641"/>
    <cellStyle name="Explanatory Text 2" xfId="106"/>
    <cellStyle name="Explanatory Text 2 2" xfId="269"/>
    <cellStyle name="Explanatory Text 3" xfId="204"/>
    <cellStyle name="Explanatory Text 3 2" xfId="704"/>
    <cellStyle name="Explanatory Text 4" xfId="31"/>
    <cellStyle name="EY0dp" xfId="635"/>
    <cellStyle name="EY1dp" xfId="699"/>
    <cellStyle name="EYCurrency 2 3" xfId="608"/>
    <cellStyle name="EYCurrency 2 3 2" xfId="633"/>
    <cellStyle name="EYCurrency 2 3 2 2" xfId="695"/>
    <cellStyle name="EYCurrency 2 3 2 3" xfId="643"/>
    <cellStyle name="EYCurrency 2 3 3" xfId="659"/>
    <cellStyle name="EYCurrency 2 3 4" xfId="698"/>
    <cellStyle name="EYNotesHeading 2 3" xfId="700"/>
    <cellStyle name="EYNotesHeading 2 3 2" xfId="634"/>
    <cellStyle name="EYNotesHeading 2 3 2 2" xfId="691"/>
    <cellStyle name="EYNotesHeading 2 3 2 3" xfId="705"/>
    <cellStyle name="EYNotesHeading 2 3 3" xfId="696"/>
    <cellStyle name="EYNotesHeading 2 3 4" xfId="621"/>
    <cellStyle name="EYnumber 8" xfId="701"/>
    <cellStyle name="EYnumber 8 2" xfId="679"/>
    <cellStyle name="EYnumber 8 2 2" xfId="647"/>
    <cellStyle name="EYnumber 8 2 2 2" xfId="655"/>
    <cellStyle name="EYnumber 8 2 2 3" xfId="694"/>
    <cellStyle name="EYnumber 8 2 3" xfId="664"/>
    <cellStyle name="EYnumber 8 2 3 2" xfId="675"/>
    <cellStyle name="EYnumber 8 2 3 3" xfId="618"/>
    <cellStyle name="EYnumber 8 2 4" xfId="706"/>
    <cellStyle name="EYnumber 8 2 5" xfId="650"/>
    <cellStyle name="EYnumber 8 3" xfId="605"/>
    <cellStyle name="EYnumber 8 3 2" xfId="653"/>
    <cellStyle name="EYnumber 8 3 3" xfId="686"/>
    <cellStyle name="EYnumber 8 4" xfId="657"/>
    <cellStyle name="EYnumber 8 5" xfId="674"/>
    <cellStyle name="EYtext" xfId="612"/>
    <cellStyle name="FramedText" xfId="107"/>
    <cellStyle name="FramedText 10" xfId="459"/>
    <cellStyle name="FramedText 11" xfId="525"/>
    <cellStyle name="FramedText 12" xfId="510"/>
    <cellStyle name="FramedText 13" xfId="509"/>
    <cellStyle name="FramedText 14" xfId="529"/>
    <cellStyle name="FramedText 15" xfId="535"/>
    <cellStyle name="FramedText 16" xfId="553"/>
    <cellStyle name="FramedText 17" xfId="568"/>
    <cellStyle name="FramedText 2" xfId="148"/>
    <cellStyle name="FramedText 2 10" xfId="555"/>
    <cellStyle name="FramedText 2 11" xfId="427"/>
    <cellStyle name="FramedText 2 12" xfId="440"/>
    <cellStyle name="FramedText 2 13" xfId="558"/>
    <cellStyle name="FramedText 2 14" xfId="503"/>
    <cellStyle name="FramedText 2 15" xfId="536"/>
    <cellStyle name="FramedText 2 16" xfId="528"/>
    <cellStyle name="FramedText 2 2" xfId="174"/>
    <cellStyle name="FramedText 2 2 10" xfId="443"/>
    <cellStyle name="FramedText 2 2 11" xfId="413"/>
    <cellStyle name="FramedText 2 2 12" xfId="480"/>
    <cellStyle name="FramedText 2 2 13" xfId="582"/>
    <cellStyle name="FramedText 2 2 14" xfId="580"/>
    <cellStyle name="FramedText 2 2 15" xfId="577"/>
    <cellStyle name="FramedText 2 2 2" xfId="316"/>
    <cellStyle name="FramedText 2 2 2 10" xfId="586"/>
    <cellStyle name="FramedText 2 2 2 11" xfId="530"/>
    <cellStyle name="FramedText 2 2 2 12" xfId="524"/>
    <cellStyle name="FramedText 2 2 2 13" xfId="642"/>
    <cellStyle name="FramedText 2 2 2 2" xfId="447"/>
    <cellStyle name="FramedText 2 2 2 3" xfId="455"/>
    <cellStyle name="FramedText 2 2 2 4" xfId="542"/>
    <cellStyle name="FramedText 2 2 2 5" xfId="484"/>
    <cellStyle name="FramedText 2 2 2 6" xfId="505"/>
    <cellStyle name="FramedText 2 2 2 7" xfId="574"/>
    <cellStyle name="FramedText 2 2 2 8" xfId="579"/>
    <cellStyle name="FramedText 2 2 2 9" xfId="488"/>
    <cellStyle name="FramedText 2 2 3" xfId="347"/>
    <cellStyle name="FramedText 2 2 3 10" xfId="564"/>
    <cellStyle name="FramedText 2 2 3 11" xfId="426"/>
    <cellStyle name="FramedText 2 2 3 12" xfId="475"/>
    <cellStyle name="FramedText 2 2 3 2" xfId="432"/>
    <cellStyle name="FramedText 2 2 3 3" xfId="507"/>
    <cellStyle name="FramedText 2 2 3 4" xfId="494"/>
    <cellStyle name="FramedText 2 2 3 5" xfId="561"/>
    <cellStyle name="FramedText 2 2 3 6" xfId="519"/>
    <cellStyle name="FramedText 2 2 3 7" xfId="532"/>
    <cellStyle name="FramedText 2 2 3 8" xfId="485"/>
    <cellStyle name="FramedText 2 2 3 9" xfId="575"/>
    <cellStyle name="FramedText 2 2 4" xfId="306"/>
    <cellStyle name="FramedText 2 2 4 10" xfId="581"/>
    <cellStyle name="FramedText 2 2 4 11" xfId="493"/>
    <cellStyle name="FramedText 2 2 4 12" xfId="471"/>
    <cellStyle name="FramedText 2 2 4 2" xfId="465"/>
    <cellStyle name="FramedText 2 2 4 3" xfId="545"/>
    <cellStyle name="FramedText 2 2 4 4" xfId="429"/>
    <cellStyle name="FramedText 2 2 4 5" xfId="458"/>
    <cellStyle name="FramedText 2 2 4 6" xfId="552"/>
    <cellStyle name="FramedText 2 2 4 7" xfId="554"/>
    <cellStyle name="FramedText 2 2 4 8" xfId="497"/>
    <cellStyle name="FramedText 2 2 4 9" xfId="523"/>
    <cellStyle name="FramedText 2 2 5" xfId="476"/>
    <cellStyle name="FramedText 2 2 6" xfId="420"/>
    <cellStyle name="FramedText 2 2 7" xfId="491"/>
    <cellStyle name="FramedText 2 2 8" xfId="466"/>
    <cellStyle name="FramedText 2 2 9" xfId="541"/>
    <cellStyle name="FramedText 2 3" xfId="314"/>
    <cellStyle name="FramedText 2 3 10" xfId="511"/>
    <cellStyle name="FramedText 2 3 11" xfId="474"/>
    <cellStyle name="FramedText 2 3 12" xfId="557"/>
    <cellStyle name="FramedText 2 3 13" xfId="630"/>
    <cellStyle name="FramedText 2 3 2" xfId="479"/>
    <cellStyle name="FramedText 2 3 3" xfId="508"/>
    <cellStyle name="FramedText 2 3 4" xfId="499"/>
    <cellStyle name="FramedText 2 3 5" xfId="415"/>
    <cellStyle name="FramedText 2 3 6" xfId="573"/>
    <cellStyle name="FramedText 2 3 7" xfId="489"/>
    <cellStyle name="FramedText 2 3 8" xfId="498"/>
    <cellStyle name="FramedText 2 3 9" xfId="495"/>
    <cellStyle name="FramedText 2 4" xfId="345"/>
    <cellStyle name="FramedText 2 4 10" xfId="422"/>
    <cellStyle name="FramedText 2 4 11" xfId="585"/>
    <cellStyle name="FramedText 2 4 12" xfId="531"/>
    <cellStyle name="FramedText 2 4 2" xfId="502"/>
    <cellStyle name="FramedText 2 4 3" xfId="421"/>
    <cellStyle name="FramedText 2 4 4" xfId="428"/>
    <cellStyle name="FramedText 2 4 5" xfId="442"/>
    <cellStyle name="FramedText 2 4 6" xfId="512"/>
    <cellStyle name="FramedText 2 4 7" xfId="569"/>
    <cellStyle name="FramedText 2 4 8" xfId="461"/>
    <cellStyle name="FramedText 2 4 9" xfId="566"/>
    <cellStyle name="FramedText 2 5" xfId="301"/>
    <cellStyle name="FramedText 2 5 10" xfId="565"/>
    <cellStyle name="FramedText 2 5 11" xfId="492"/>
    <cellStyle name="FramedText 2 5 12" xfId="431"/>
    <cellStyle name="FramedText 2 5 2" xfId="562"/>
    <cellStyle name="FramedText 2 5 3" xfId="544"/>
    <cellStyle name="FramedText 2 5 4" xfId="460"/>
    <cellStyle name="FramedText 2 5 5" xfId="478"/>
    <cellStyle name="FramedText 2 5 6" xfId="533"/>
    <cellStyle name="FramedText 2 5 7" xfId="453"/>
    <cellStyle name="FramedText 2 5 8" xfId="517"/>
    <cellStyle name="FramedText 2 5 9" xfId="452"/>
    <cellStyle name="FramedText 2 6" xfId="463"/>
    <cellStyle name="FramedText 2 7" xfId="414"/>
    <cellStyle name="FramedText 2 8" xfId="506"/>
    <cellStyle name="FramedText 2 9" xfId="483"/>
    <cellStyle name="FramedText 3" xfId="157"/>
    <cellStyle name="FramedText 3 10" xfId="560"/>
    <cellStyle name="FramedText 3 11" xfId="526"/>
    <cellStyle name="FramedText 3 12" xfId="584"/>
    <cellStyle name="FramedText 3 13" xfId="437"/>
    <cellStyle name="FramedText 3 14" xfId="576"/>
    <cellStyle name="FramedText 3 15" xfId="587"/>
    <cellStyle name="FramedText 3 2" xfId="315"/>
    <cellStyle name="FramedText 3 2 10" xfId="583"/>
    <cellStyle name="FramedText 3 2 11" xfId="469"/>
    <cellStyle name="FramedText 3 2 12" xfId="516"/>
    <cellStyle name="FramedText 3 2 13" xfId="680"/>
    <cellStyle name="FramedText 3 2 2" xfId="504"/>
    <cellStyle name="FramedText 3 2 3" xfId="439"/>
    <cellStyle name="FramedText 3 2 4" xfId="496"/>
    <cellStyle name="FramedText 3 2 5" xfId="487"/>
    <cellStyle name="FramedText 3 2 6" xfId="482"/>
    <cellStyle name="FramedText 3 2 7" xfId="513"/>
    <cellStyle name="FramedText 3 2 8" xfId="551"/>
    <cellStyle name="FramedText 3 2 9" xfId="546"/>
    <cellStyle name="FramedText 3 3" xfId="346"/>
    <cellStyle name="FramedText 3 3 10" xfId="578"/>
    <cellStyle name="FramedText 3 3 11" xfId="548"/>
    <cellStyle name="FramedText 3 3 12" xfId="450"/>
    <cellStyle name="FramedText 3 3 2" xfId="446"/>
    <cellStyle name="FramedText 3 3 3" xfId="549"/>
    <cellStyle name="FramedText 3 3 4" xfId="547"/>
    <cellStyle name="FramedText 3 3 5" xfId="454"/>
    <cellStyle name="FramedText 3 3 6" xfId="449"/>
    <cellStyle name="FramedText 3 3 7" xfId="486"/>
    <cellStyle name="FramedText 3 3 8" xfId="464"/>
    <cellStyle name="FramedText 3 3 9" xfId="434"/>
    <cellStyle name="FramedText 3 4" xfId="304"/>
    <cellStyle name="FramedText 3 4 10" xfId="514"/>
    <cellStyle name="FramedText 3 4 11" xfId="571"/>
    <cellStyle name="FramedText 3 4 12" xfId="572"/>
    <cellStyle name="FramedText 3 4 2" xfId="468"/>
    <cellStyle name="FramedText 3 4 3" xfId="538"/>
    <cellStyle name="FramedText 3 4 4" xfId="515"/>
    <cellStyle name="FramedText 3 4 5" xfId="563"/>
    <cellStyle name="FramedText 3 4 6" xfId="467"/>
    <cellStyle name="FramedText 3 4 7" xfId="456"/>
    <cellStyle name="FramedText 3 4 8" xfId="436"/>
    <cellStyle name="FramedText 3 4 9" xfId="14"/>
    <cellStyle name="FramedText 3 5" xfId="418"/>
    <cellStyle name="FramedText 3 6" xfId="559"/>
    <cellStyle name="FramedText 3 7" xfId="433"/>
    <cellStyle name="FramedText 3 8" xfId="570"/>
    <cellStyle name="FramedText 3 9" xfId="462"/>
    <cellStyle name="FramedText 4" xfId="313"/>
    <cellStyle name="FramedText 4 10" xfId="430"/>
    <cellStyle name="FramedText 4 11" xfId="470"/>
    <cellStyle name="FramedText 4 12" xfId="448"/>
    <cellStyle name="FramedText 4 13" xfId="692"/>
    <cellStyle name="FramedText 4 2" xfId="419"/>
    <cellStyle name="FramedText 4 3" xfId="435"/>
    <cellStyle name="FramedText 4 4" xfId="540"/>
    <cellStyle name="FramedText 4 5" xfId="423"/>
    <cellStyle name="FramedText 4 6" xfId="534"/>
    <cellStyle name="FramedText 4 7" xfId="425"/>
    <cellStyle name="FramedText 4 8" xfId="518"/>
    <cellStyle name="FramedText 4 9" xfId="527"/>
    <cellStyle name="FramedText 5" xfId="350"/>
    <cellStyle name="FramedText 5 10" xfId="417"/>
    <cellStyle name="FramedText 5 11" xfId="451"/>
    <cellStyle name="FramedText 5 12" xfId="500"/>
    <cellStyle name="FramedText 5 2" xfId="445"/>
    <cellStyle name="FramedText 5 3" xfId="550"/>
    <cellStyle name="FramedText 5 4" xfId="424"/>
    <cellStyle name="FramedText 5 5" xfId="457"/>
    <cellStyle name="FramedText 5 6" xfId="444"/>
    <cellStyle name="FramedText 5 7" xfId="412"/>
    <cellStyle name="FramedText 5 8" xfId="556"/>
    <cellStyle name="FramedText 5 9" xfId="537"/>
    <cellStyle name="FramedText 6" xfId="270"/>
    <cellStyle name="FramedText 6 10" xfId="543"/>
    <cellStyle name="FramedText 6 11" xfId="501"/>
    <cellStyle name="FramedText 6 12" xfId="522"/>
    <cellStyle name="FramedText 6 2" xfId="521"/>
    <cellStyle name="FramedText 6 3" xfId="416"/>
    <cellStyle name="FramedText 6 4" xfId="472"/>
    <cellStyle name="FramedText 6 5" xfId="490"/>
    <cellStyle name="FramedText 6 6" xfId="441"/>
    <cellStyle name="FramedText 6 7" xfId="438"/>
    <cellStyle name="FramedText 6 8" xfId="567"/>
    <cellStyle name="FramedText 6 9" xfId="539"/>
    <cellStyle name="FramedText 7" xfId="473"/>
    <cellStyle name="FramedText 8" xfId="477"/>
    <cellStyle name="FramedText 9" xfId="481"/>
    <cellStyle name="Good 2" xfId="108"/>
    <cellStyle name="Good 2 2" xfId="271"/>
    <cellStyle name="Good 3" xfId="194"/>
    <cellStyle name="Good 3 2" xfId="613"/>
    <cellStyle name="Good 4" xfId="21"/>
    <cellStyle name="Heading 1 2" xfId="109"/>
    <cellStyle name="Heading 1 2 2" xfId="272"/>
    <cellStyle name="Heading 1 3" xfId="190"/>
    <cellStyle name="Heading 1 3 2" xfId="627"/>
    <cellStyle name="Heading 1 4" xfId="17"/>
    <cellStyle name="Heading 2 2" xfId="110"/>
    <cellStyle name="Heading 2 2 2" xfId="273"/>
    <cellStyle name="Heading 2 3" xfId="191"/>
    <cellStyle name="Heading 2 3 2" xfId="707"/>
    <cellStyle name="Heading 2 4" xfId="18"/>
    <cellStyle name="Heading 3 2" xfId="111"/>
    <cellStyle name="Heading 3 2 2" xfId="274"/>
    <cellStyle name="Heading 3 3" xfId="192"/>
    <cellStyle name="Heading 3 3 2" xfId="631"/>
    <cellStyle name="Heading 3 4" xfId="19"/>
    <cellStyle name="Heading 4 2" xfId="112"/>
    <cellStyle name="Heading 4 2 2" xfId="275"/>
    <cellStyle name="Heading 4 3" xfId="193"/>
    <cellStyle name="Heading 4 3 2" xfId="640"/>
    <cellStyle name="Heading 4 4" xfId="20"/>
    <cellStyle name="Input 2" xfId="113"/>
    <cellStyle name="Input 2 2" xfId="276"/>
    <cellStyle name="Input 3" xfId="197"/>
    <cellStyle name="Input 3 2" xfId="687"/>
    <cellStyle name="Input 4" xfId="24"/>
    <cellStyle name="Komma_businessplan MSC final up to 2019 nr10 after tax reform" xfId="658"/>
    <cellStyle name="KPMG Heading 1" xfId="114"/>
    <cellStyle name="KPMG Heading 2" xfId="115"/>
    <cellStyle name="KPMG Heading 3" xfId="116"/>
    <cellStyle name="KPMG Heading 4" xfId="117"/>
    <cellStyle name="KPMG Normal" xfId="118"/>
    <cellStyle name="KPMG Normal 2" xfId="277"/>
    <cellStyle name="KPMG Normal Text" xfId="119"/>
    <cellStyle name="KPMG Normal Text 2" xfId="278"/>
    <cellStyle name="Linked Cell 2" xfId="120"/>
    <cellStyle name="Linked Cell 2 2" xfId="279"/>
    <cellStyle name="Linked Cell 3" xfId="200"/>
    <cellStyle name="Linked Cell 3 2" xfId="620"/>
    <cellStyle name="Linked Cell 4" xfId="27"/>
    <cellStyle name="Milliers 2" xfId="62"/>
    <cellStyle name="Milliers 2 2" xfId="121"/>
    <cellStyle name="Milliers 2 2 2" xfId="158"/>
    <cellStyle name="Milliers 2 2 2 2" xfId="180"/>
    <cellStyle name="Milliers 2 2 3" xfId="173"/>
    <cellStyle name="Milliers 2 3" xfId="152"/>
    <cellStyle name="Milliers 2 3 2" xfId="177"/>
    <cellStyle name="Milliers 2 4" xfId="161"/>
    <cellStyle name="Milliers 2 5" xfId="362"/>
    <cellStyle name="Milliers 2 6" xfId="405"/>
    <cellStyle name="Milliers 3" xfId="122"/>
    <cellStyle name="Milliers 3 2" xfId="280"/>
    <cellStyle name="millions" xfId="677"/>
    <cellStyle name="Neutral 2" xfId="123"/>
    <cellStyle name="Neutral 2 2" xfId="281"/>
    <cellStyle name="Neutral 3" xfId="196"/>
    <cellStyle name="Neutral 3 2" xfId="702"/>
    <cellStyle name="Neutral 4" xfId="23"/>
    <cellStyle name="Normal" xfId="0" builtinId="0"/>
    <cellStyle name="Normal 10" xfId="66"/>
    <cellStyle name="Normal 10 2" xfId="334"/>
    <cellStyle name="Normal 10 3" xfId="239"/>
    <cellStyle name="Normal 11" xfId="146"/>
    <cellStyle name="Normal 11 2" xfId="300"/>
    <cellStyle name="Normal 12" xfId="74"/>
    <cellStyle name="Normal 12 2" xfId="244"/>
    <cellStyle name="Normal 13" xfId="182"/>
    <cellStyle name="Normal 13 2" xfId="308"/>
    <cellStyle name="Normal 14" xfId="57"/>
    <cellStyle name="Normal 14 2" xfId="342"/>
    <cellStyle name="Normal 14 3" xfId="317"/>
    <cellStyle name="Normal 14 3 2" xfId="520"/>
    <cellStyle name="Normal 15" xfId="343"/>
    <cellStyle name="Normal 15 2" xfId="676"/>
    <cellStyle name="Normal 16" xfId="188"/>
    <cellStyle name="Normal 16 2" xfId="411"/>
    <cellStyle name="Normal 16 3" xfId="625"/>
    <cellStyle name="Normal 17" xfId="241"/>
    <cellStyle name="Normal 17 2" xfId="689"/>
    <cellStyle name="Normal 18" xfId="357"/>
    <cellStyle name="Normal 182 2" xfId="404"/>
    <cellStyle name="Normal 19" xfId="358"/>
    <cellStyle name="Normal 2" xfId="6"/>
    <cellStyle name="Normal 2 2" xfId="70"/>
    <cellStyle name="Normal 2 2 2" xfId="125"/>
    <cellStyle name="Normal 2 2 2 2" xfId="336"/>
    <cellStyle name="Normal 2 2 2 3" xfId="283"/>
    <cellStyle name="Normal 2 2 3" xfId="335"/>
    <cellStyle name="Normal 2 2 4" xfId="242"/>
    <cellStyle name="Normal 2 3" xfId="124"/>
    <cellStyle name="Normal 2 3 2" xfId="282"/>
    <cellStyle name="Normal 2 4" xfId="60"/>
    <cellStyle name="Normal 2 4 2" xfId="237"/>
    <cellStyle name="Normal 2 5" xfId="186"/>
    <cellStyle name="Normal 2 5 2" xfId="311"/>
    <cellStyle name="Normal 2 6" xfId="236"/>
    <cellStyle name="Normal 2 6 2" xfId="610"/>
    <cellStyle name="Normal 2 7" xfId="232"/>
    <cellStyle name="Normal 2 7 2" xfId="611"/>
    <cellStyle name="Normal 2 8" xfId="59"/>
    <cellStyle name="Normal 2 9" xfId="596"/>
    <cellStyle name="Normal 20" xfId="356"/>
    <cellStyle name="Normal 21" xfId="359"/>
    <cellStyle name="Normal 22" xfId="361"/>
    <cellStyle name="Normal 23" xfId="368"/>
    <cellStyle name="Normal 24" xfId="374"/>
    <cellStyle name="Normal 25" xfId="365"/>
    <cellStyle name="Normal 26" xfId="364"/>
    <cellStyle name="Normal 27" xfId="366"/>
    <cellStyle name="Normal 28" xfId="372"/>
    <cellStyle name="Normal 29" xfId="371"/>
    <cellStyle name="Normal 3" xfId="8"/>
    <cellStyle name="Normal 3 2" xfId="127"/>
    <cellStyle name="Normal 3 2 2" xfId="285"/>
    <cellStyle name="Normal 3 3" xfId="187"/>
    <cellStyle name="Normal 3 3 2" xfId="312"/>
    <cellStyle name="Normal 3 4" xfId="284"/>
    <cellStyle name="Normal 3 4 2" xfId="646"/>
    <cellStyle name="Normal 3 5" xfId="337"/>
    <cellStyle name="Normal 3 6" xfId="233"/>
    <cellStyle name="Normal 3 7" xfId="402"/>
    <cellStyle name="Normal 3 8" xfId="126"/>
    <cellStyle name="Normal 3 9" xfId="598"/>
    <cellStyle name="Normal 30" xfId="373"/>
    <cellStyle name="Normal 31" xfId="376"/>
    <cellStyle name="Normal 32" xfId="378"/>
    <cellStyle name="Normal 33" xfId="387"/>
    <cellStyle name="Normal 34" xfId="389"/>
    <cellStyle name="Normal 35" xfId="393"/>
    <cellStyle name="Normal 36" xfId="391"/>
    <cellStyle name="Normal 37" xfId="392"/>
    <cellStyle name="Normal 38" xfId="390"/>
    <cellStyle name="Normal 39" xfId="399"/>
    <cellStyle name="Normal 4" xfId="1"/>
    <cellStyle name="Normal 4 2" xfId="4"/>
    <cellStyle name="Normal 4 2 2" xfId="286"/>
    <cellStyle name="Normal 4 3" xfId="338"/>
    <cellStyle name="Normal 4 3 2" xfId="673"/>
    <cellStyle name="Normal 4 4" xfId="320"/>
    <cellStyle name="Normal 4 5" xfId="234"/>
    <cellStyle name="Normal 4 6" xfId="128"/>
    <cellStyle name="Normal 4 7" xfId="9"/>
    <cellStyle name="Normal 4 8" xfId="599"/>
    <cellStyle name="Normal 40" xfId="406"/>
    <cellStyle name="Normal 41" xfId="407"/>
    <cellStyle name="Normal 42" xfId="408"/>
    <cellStyle name="Normal 43" xfId="12"/>
    <cellStyle name="Normal 44" xfId="10"/>
    <cellStyle name="Normal 45" xfId="595"/>
    <cellStyle name="Normal 45 2" xfId="718"/>
    <cellStyle name="Normal 46" xfId="2"/>
    <cellStyle name="Normal 48 2" xfId="71"/>
    <cellStyle name="Normal 48 2 2" xfId="243"/>
    <cellStyle name="Normal 5" xfId="129"/>
    <cellStyle name="Normal 5 2" xfId="339"/>
    <cellStyle name="Normal 5 3" xfId="287"/>
    <cellStyle name="Normal 6" xfId="130"/>
    <cellStyle name="Normal 6 2" xfId="340"/>
    <cellStyle name="Normal 6 3" xfId="288"/>
    <cellStyle name="Normal 7" xfId="67"/>
    <cellStyle name="Normal 7 2" xfId="240"/>
    <cellStyle name="Normal 8" xfId="131"/>
    <cellStyle name="Normal 8 2" xfId="132"/>
    <cellStyle name="Normal 8 2 2" xfId="290"/>
    <cellStyle name="Normal 8 3" xfId="322"/>
    <cellStyle name="Normal 8 4" xfId="289"/>
    <cellStyle name="Normal 9" xfId="133"/>
    <cellStyle name="Normal 9 2" xfId="134"/>
    <cellStyle name="Normal 9 2 2" xfId="353"/>
    <cellStyle name="Normal 9 2 3" xfId="292"/>
    <cellStyle name="Normal 9 3" xfId="341"/>
    <cellStyle name="Normal 9 4" xfId="291"/>
    <cellStyle name="Note 2" xfId="135"/>
    <cellStyle name="Note 2 2" xfId="293"/>
    <cellStyle name="Note 3" xfId="203"/>
    <cellStyle name="Note 3 2" xfId="697"/>
    <cellStyle name="Note 4" xfId="30"/>
    <cellStyle name="Objective" xfId="136"/>
    <cellStyle name="Objective 2" xfId="294"/>
    <cellStyle name="Ongedefinieerd" xfId="636"/>
    <cellStyle name="Output 2" xfId="137"/>
    <cellStyle name="Output 2 2" xfId="295"/>
    <cellStyle name="Output 3" xfId="198"/>
    <cellStyle name="Output 3 2" xfId="624"/>
    <cellStyle name="Output 4" xfId="25"/>
    <cellStyle name="Percent 2" xfId="7"/>
    <cellStyle name="Percent 2 2" xfId="68"/>
    <cellStyle name="Percent 2 3" xfId="597"/>
    <cellStyle name="Percent 2 3 2" xfId="703"/>
    <cellStyle name="Percent 3" xfId="138"/>
    <cellStyle name="Percent 4" xfId="139"/>
    <cellStyle name="Percent 5" xfId="73"/>
    <cellStyle name="Percent 6" xfId="13"/>
    <cellStyle name="Percent 7" xfId="3"/>
    <cellStyle name="Pourcentage 2" xfId="140"/>
    <cellStyle name="SheetHeading" xfId="141"/>
    <cellStyle name="SheetHeading 2" xfId="296"/>
    <cellStyle name="Standaard_Blad1" xfId="603"/>
    <cellStyle name="thousands" xfId="604"/>
    <cellStyle name="Title 2" xfId="142"/>
    <cellStyle name="Title 2 2" xfId="297"/>
    <cellStyle name="Title 3" xfId="189"/>
    <cellStyle name="Title 3 2" xfId="721"/>
    <cellStyle name="Title 4" xfId="16"/>
    <cellStyle name="Total 2" xfId="205"/>
    <cellStyle name="Total 2 2" xfId="607"/>
    <cellStyle name="Total 3" xfId="32"/>
    <cellStyle name="Warning Text 2" xfId="143"/>
    <cellStyle name="Warning Text 2 2" xfId="298"/>
    <cellStyle name="Warning Text 3" xfId="202"/>
    <cellStyle name="Warning Text 3 2" xfId="656"/>
    <cellStyle name="Warning Text 4" xfId="29"/>
    <cellStyle name="WorseValues" xfId="144"/>
    <cellStyle name="WorseValues 2" xfId="159"/>
    <cellStyle name="WorseValues 2 2" xfId="305"/>
    <cellStyle name="WorseValues 3" xfId="299"/>
    <cellStyle name="千分位" xfId="1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opLeftCell="A16" zoomScale="120" zoomScaleNormal="120" workbookViewId="0">
      <selection activeCell="C42" sqref="C42"/>
    </sheetView>
  </sheetViews>
  <sheetFormatPr defaultColWidth="11.453125" defaultRowHeight="14.5"/>
  <cols>
    <col min="1" max="1" width="3.453125" bestFit="1" customWidth="1"/>
    <col min="2" max="2" width="15.81640625" style="1" customWidth="1"/>
    <col min="3" max="3" width="13.7265625" style="2" customWidth="1"/>
    <col min="4" max="4" width="74.26953125" bestFit="1" customWidth="1"/>
  </cols>
  <sheetData>
    <row r="1" spans="1:6" ht="18.5">
      <c r="A1" s="43" t="s">
        <v>20</v>
      </c>
      <c r="B1" s="43"/>
      <c r="C1" s="43"/>
      <c r="D1" s="43"/>
    </row>
    <row r="3" spans="1:6">
      <c r="A3" t="s">
        <v>6</v>
      </c>
    </row>
    <row r="4" spans="1:6">
      <c r="B4" s="3" t="s">
        <v>3</v>
      </c>
      <c r="C4" s="4" t="s">
        <v>4</v>
      </c>
    </row>
    <row r="5" spans="1:6">
      <c r="A5" t="s">
        <v>0</v>
      </c>
      <c r="B5" s="1">
        <v>18984</v>
      </c>
      <c r="C5" s="2">
        <f t="shared" ref="C5:C11" si="0">B5/F5</f>
        <v>28.940921432349988</v>
      </c>
      <c r="D5" t="s">
        <v>2</v>
      </c>
      <c r="F5">
        <v>655.95699999999999</v>
      </c>
    </row>
    <row r="6" spans="1:6">
      <c r="A6" t="s">
        <v>1</v>
      </c>
      <c r="B6" s="1">
        <f>B5*2</f>
        <v>37968</v>
      </c>
      <c r="C6" s="2">
        <f t="shared" si="0"/>
        <v>57.881842864699976</v>
      </c>
      <c r="D6" t="s">
        <v>2</v>
      </c>
      <c r="F6">
        <f t="shared" ref="F6:F11" si="1">F5</f>
        <v>655.95699999999999</v>
      </c>
    </row>
    <row r="7" spans="1:6">
      <c r="A7" t="s">
        <v>0</v>
      </c>
      <c r="B7" s="1">
        <v>17500</v>
      </c>
      <c r="C7" s="2">
        <f t="shared" si="0"/>
        <v>26.678578016546815</v>
      </c>
      <c r="D7" t="s">
        <v>23</v>
      </c>
      <c r="F7">
        <f t="shared" si="1"/>
        <v>655.95699999999999</v>
      </c>
    </row>
    <row r="8" spans="1:6">
      <c r="A8" t="s">
        <v>1</v>
      </c>
      <c r="B8" s="1">
        <v>24500</v>
      </c>
      <c r="C8" s="2">
        <f t="shared" si="0"/>
        <v>37.350009223165543</v>
      </c>
      <c r="D8" t="s">
        <v>19</v>
      </c>
      <c r="F8">
        <f t="shared" si="1"/>
        <v>655.95699999999999</v>
      </c>
    </row>
    <row r="9" spans="1:6">
      <c r="A9" t="s">
        <v>0</v>
      </c>
      <c r="B9" s="1">
        <v>1000</v>
      </c>
      <c r="C9" s="2">
        <f t="shared" si="0"/>
        <v>1.5244901723741038</v>
      </c>
      <c r="D9" t="s">
        <v>17</v>
      </c>
      <c r="F9">
        <f t="shared" si="1"/>
        <v>655.95699999999999</v>
      </c>
    </row>
    <row r="10" spans="1:6">
      <c r="A10" t="s">
        <v>1</v>
      </c>
      <c r="B10" s="1">
        <v>2000</v>
      </c>
      <c r="C10" s="2">
        <f t="shared" si="0"/>
        <v>3.0489803447482076</v>
      </c>
      <c r="D10" t="s">
        <v>17</v>
      </c>
      <c r="F10">
        <f t="shared" si="1"/>
        <v>655.95699999999999</v>
      </c>
    </row>
    <row r="11" spans="1:6">
      <c r="A11" t="s">
        <v>7</v>
      </c>
      <c r="B11" s="1">
        <v>5600</v>
      </c>
      <c r="C11" s="2">
        <f t="shared" si="0"/>
        <v>8.5371449652949813</v>
      </c>
      <c r="D11" t="s">
        <v>5</v>
      </c>
      <c r="F11">
        <f t="shared" si="1"/>
        <v>655.95699999999999</v>
      </c>
    </row>
    <row r="12" spans="1:6">
      <c r="F12">
        <f t="shared" ref="F12:F43" si="2">F11</f>
        <v>655.95699999999999</v>
      </c>
    </row>
    <row r="13" spans="1:6">
      <c r="A13" t="s">
        <v>9</v>
      </c>
      <c r="F13">
        <f t="shared" si="2"/>
        <v>655.95699999999999</v>
      </c>
    </row>
    <row r="14" spans="1:6">
      <c r="F14">
        <f t="shared" si="2"/>
        <v>655.95699999999999</v>
      </c>
    </row>
    <row r="15" spans="1:6">
      <c r="A15" t="s">
        <v>0</v>
      </c>
      <c r="B15" s="1">
        <f>18666*12/9</f>
        <v>24888</v>
      </c>
      <c r="D15" s="8"/>
      <c r="F15">
        <f t="shared" si="2"/>
        <v>655.95699999999999</v>
      </c>
    </row>
    <row r="16" spans="1:6">
      <c r="A16" t="s">
        <v>1</v>
      </c>
      <c r="B16" s="1">
        <f>2307*12/9</f>
        <v>3076</v>
      </c>
      <c r="D16" s="8" t="s">
        <v>18</v>
      </c>
      <c r="F16">
        <f t="shared" si="2"/>
        <v>655.95699999999999</v>
      </c>
    </row>
    <row r="17" spans="1:6">
      <c r="A17" t="s">
        <v>7</v>
      </c>
      <c r="B17" s="1">
        <f>10536*12/9</f>
        <v>14048</v>
      </c>
      <c r="D17" s="8"/>
      <c r="F17">
        <f t="shared" si="2"/>
        <v>655.95699999999999</v>
      </c>
    </row>
    <row r="18" spans="1:6">
      <c r="F18">
        <f t="shared" si="2"/>
        <v>655.95699999999999</v>
      </c>
    </row>
    <row r="19" spans="1:6">
      <c r="A19" t="s">
        <v>8</v>
      </c>
      <c r="F19">
        <f t="shared" si="2"/>
        <v>655.95699999999999</v>
      </c>
    </row>
    <row r="20" spans="1:6">
      <c r="B20" s="3" t="s">
        <v>3</v>
      </c>
      <c r="C20" s="4" t="s">
        <v>4</v>
      </c>
      <c r="F20">
        <f t="shared" si="2"/>
        <v>655.95699999999999</v>
      </c>
    </row>
    <row r="21" spans="1:6">
      <c r="A21" t="s">
        <v>0</v>
      </c>
      <c r="B21" s="1">
        <f>B15*(B5+B7+B9)</f>
        <v>932901792</v>
      </c>
      <c r="C21" s="1">
        <f>B21/F21</f>
        <v>1422199.6136941903</v>
      </c>
      <c r="F21">
        <f t="shared" si="2"/>
        <v>655.95699999999999</v>
      </c>
    </row>
    <row r="22" spans="1:6">
      <c r="A22" t="s">
        <v>1</v>
      </c>
      <c r="B22" s="1">
        <f>B16*(B6+B8+B10)</f>
        <v>198303568</v>
      </c>
      <c r="C22" s="1">
        <f>B22/F22</f>
        <v>302311.84056271979</v>
      </c>
      <c r="F22">
        <f t="shared" si="2"/>
        <v>655.95699999999999</v>
      </c>
    </row>
    <row r="23" spans="1:6" ht="15" thickBot="1">
      <c r="A23" t="s">
        <v>7</v>
      </c>
      <c r="B23" s="1">
        <f>B11*B17</f>
        <v>78668800</v>
      </c>
      <c r="C23" s="1">
        <f>B23/F23</f>
        <v>119929.81247246389</v>
      </c>
      <c r="F23">
        <f t="shared" si="2"/>
        <v>655.95699999999999</v>
      </c>
    </row>
    <row r="24" spans="1:6">
      <c r="B24" s="5">
        <f>B21+B22+B23</f>
        <v>1209874160</v>
      </c>
      <c r="C24" s="5">
        <f>C21+C22+C23</f>
        <v>1844441.266729374</v>
      </c>
      <c r="F24">
        <f t="shared" si="2"/>
        <v>655.95699999999999</v>
      </c>
    </row>
    <row r="25" spans="1:6">
      <c r="F25">
        <f t="shared" si="2"/>
        <v>655.95699999999999</v>
      </c>
    </row>
    <row r="26" spans="1:6">
      <c r="A26" t="s">
        <v>10</v>
      </c>
      <c r="F26">
        <f t="shared" si="2"/>
        <v>655.95699999999999</v>
      </c>
    </row>
    <row r="27" spans="1:6">
      <c r="B27" s="3" t="s">
        <v>3</v>
      </c>
      <c r="C27" s="4" t="s">
        <v>4</v>
      </c>
      <c r="F27">
        <f t="shared" si="2"/>
        <v>655.95699999999999</v>
      </c>
    </row>
    <row r="28" spans="1:6">
      <c r="A28" t="s">
        <v>0</v>
      </c>
      <c r="B28" s="1">
        <f t="shared" ref="B28:B33" si="3">C28*F28</f>
        <v>1338.15228</v>
      </c>
      <c r="C28" s="2">
        <v>2.04</v>
      </c>
      <c r="D28" t="s">
        <v>11</v>
      </c>
      <c r="F28">
        <f t="shared" si="2"/>
        <v>655.95699999999999</v>
      </c>
    </row>
    <row r="29" spans="1:6">
      <c r="A29" t="s">
        <v>1</v>
      </c>
      <c r="B29" s="1">
        <f t="shared" si="3"/>
        <v>1338.15228</v>
      </c>
      <c r="C29" s="2">
        <v>2.04</v>
      </c>
      <c r="D29" t="s">
        <v>11</v>
      </c>
      <c r="F29">
        <f t="shared" si="2"/>
        <v>655.95699999999999</v>
      </c>
    </row>
    <row r="30" spans="1:6">
      <c r="A30" t="s">
        <v>0</v>
      </c>
      <c r="B30" s="1">
        <f t="shared" si="3"/>
        <v>3004.2830600000002</v>
      </c>
      <c r="C30" s="2">
        <v>4.58</v>
      </c>
      <c r="D30" t="s">
        <v>13</v>
      </c>
      <c r="F30">
        <f t="shared" si="2"/>
        <v>655.95699999999999</v>
      </c>
    </row>
    <row r="31" spans="1:6">
      <c r="A31" t="s">
        <v>1</v>
      </c>
      <c r="B31" s="1">
        <f t="shared" si="3"/>
        <v>3004.2830600000002</v>
      </c>
      <c r="C31" s="2">
        <v>4.58</v>
      </c>
      <c r="D31" t="s">
        <v>13</v>
      </c>
      <c r="F31">
        <f t="shared" si="2"/>
        <v>655.95699999999999</v>
      </c>
    </row>
    <row r="32" spans="1:6">
      <c r="A32" t="s">
        <v>0</v>
      </c>
      <c r="B32" s="1">
        <f t="shared" si="3"/>
        <v>997.05463999999995</v>
      </c>
      <c r="C32" s="2">
        <v>1.52</v>
      </c>
      <c r="D32" t="s">
        <v>12</v>
      </c>
      <c r="F32">
        <f t="shared" si="2"/>
        <v>655.95699999999999</v>
      </c>
    </row>
    <row r="33" spans="1:6">
      <c r="A33" t="s">
        <v>1</v>
      </c>
      <c r="B33" s="1">
        <f t="shared" si="3"/>
        <v>997.05463999999995</v>
      </c>
      <c r="C33" s="2">
        <v>1.52</v>
      </c>
      <c r="D33" t="s">
        <v>12</v>
      </c>
      <c r="F33">
        <f t="shared" si="2"/>
        <v>655.95699999999999</v>
      </c>
    </row>
    <row r="34" spans="1:6">
      <c r="A34" t="s">
        <v>0</v>
      </c>
      <c r="B34" s="1">
        <v>17500</v>
      </c>
      <c r="C34" s="2">
        <f>B34/F34</f>
        <v>26.678578016546815</v>
      </c>
      <c r="D34" t="s">
        <v>21</v>
      </c>
      <c r="F34">
        <f t="shared" si="2"/>
        <v>655.95699999999999</v>
      </c>
    </row>
    <row r="35" spans="1:6">
      <c r="A35" t="s">
        <v>1</v>
      </c>
      <c r="B35" s="1">
        <v>24500</v>
      </c>
      <c r="C35" s="2">
        <f>B35/F35</f>
        <v>37.350009223165543</v>
      </c>
      <c r="D35" t="s">
        <v>22</v>
      </c>
      <c r="F35">
        <f t="shared" si="2"/>
        <v>655.95699999999999</v>
      </c>
    </row>
    <row r="36" spans="1:6">
      <c r="F36">
        <f t="shared" si="2"/>
        <v>655.95699999999999</v>
      </c>
    </row>
    <row r="37" spans="1:6">
      <c r="A37" t="s">
        <v>14</v>
      </c>
      <c r="F37">
        <f t="shared" si="2"/>
        <v>655.95699999999999</v>
      </c>
    </row>
    <row r="38" spans="1:6">
      <c r="B38" s="3" t="s">
        <v>3</v>
      </c>
      <c r="C38" s="4" t="s">
        <v>4</v>
      </c>
      <c r="F38">
        <f t="shared" si="2"/>
        <v>655.95699999999999</v>
      </c>
    </row>
    <row r="39" spans="1:6">
      <c r="A39" t="s">
        <v>0</v>
      </c>
      <c r="B39" s="1">
        <f>B15*(B28+B30+B32+B34)</f>
        <v>568429226.62223995</v>
      </c>
      <c r="C39" s="1">
        <f>B39/F39</f>
        <v>866564.76967581711</v>
      </c>
      <c r="F39">
        <f t="shared" si="2"/>
        <v>655.95699999999999</v>
      </c>
    </row>
    <row r="40" spans="1:6">
      <c r="A40" t="s">
        <v>1</v>
      </c>
      <c r="B40" s="1">
        <f>B16*(B29+B31+B33+B35)</f>
        <v>91786271.178479999</v>
      </c>
      <c r="C40" s="1">
        <f>B40/F40</f>
        <v>139927.2683704572</v>
      </c>
      <c r="F40">
        <f t="shared" si="2"/>
        <v>655.95699999999999</v>
      </c>
    </row>
    <row r="41" spans="1:6" ht="15" thickBot="1">
      <c r="B41" s="1">
        <f>12*7684000+3*13031000</f>
        <v>131301000</v>
      </c>
      <c r="C41" s="1">
        <f>B41/F41</f>
        <v>200167.08412289221</v>
      </c>
      <c r="D41" t="s">
        <v>16</v>
      </c>
      <c r="F41">
        <f t="shared" si="2"/>
        <v>655.95699999999999</v>
      </c>
    </row>
    <row r="42" spans="1:6">
      <c r="B42" s="5">
        <f>B39+B40+B41</f>
        <v>791516497.80071998</v>
      </c>
      <c r="C42" s="5">
        <f>C39+C40+C41</f>
        <v>1206659.1221691666</v>
      </c>
      <c r="F42">
        <f t="shared" si="2"/>
        <v>655.95699999999999</v>
      </c>
    </row>
    <row r="43" spans="1:6">
      <c r="F43">
        <f t="shared" si="2"/>
        <v>655.95699999999999</v>
      </c>
    </row>
    <row r="44" spans="1:6">
      <c r="A44" t="s">
        <v>15</v>
      </c>
    </row>
    <row r="45" spans="1:6">
      <c r="B45" s="3" t="s">
        <v>3</v>
      </c>
      <c r="C45" s="4" t="s">
        <v>4</v>
      </c>
    </row>
    <row r="46" spans="1:6">
      <c r="B46" s="6">
        <f>B24-B42</f>
        <v>418357662.19928002</v>
      </c>
      <c r="C46" s="6">
        <f>C24-C42</f>
        <v>637782.14456020738</v>
      </c>
    </row>
    <row r="47" spans="1:6">
      <c r="B47" s="7">
        <f>B46/B24</f>
        <v>0.34578609580295527</v>
      </c>
      <c r="C47" s="7">
        <f>C46/C24</f>
        <v>0.34578609580295522</v>
      </c>
    </row>
  </sheetData>
  <mergeCells count="1">
    <mergeCell ref="A1:D1"/>
  </mergeCells>
  <pageMargins left="0.31496062992125984" right="0.31496062992125984" top="0.74803149606299213" bottom="0.74803149606299213" header="0.31496062992125984" footer="0.31496062992125984"/>
  <pageSetup paperSize="9" scale="97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2"/>
  <sheetViews>
    <sheetView workbookViewId="0">
      <selection activeCell="F5" sqref="F5"/>
    </sheetView>
  </sheetViews>
  <sheetFormatPr defaultRowHeight="14.5"/>
  <cols>
    <col min="1" max="1" width="28.453125" customWidth="1"/>
    <col min="2" max="2" width="10.7265625" bestFit="1" customWidth="1"/>
    <col min="3" max="5" width="9.26953125" bestFit="1" customWidth="1"/>
    <col min="6" max="6" width="9.7265625" bestFit="1" customWidth="1"/>
    <col min="7" max="9" width="9.26953125" bestFit="1" customWidth="1"/>
    <col min="15" max="17" width="11.453125" bestFit="1" customWidth="1"/>
    <col min="18" max="18" width="11.1796875" customWidth="1"/>
    <col min="19" max="23" width="11.453125" bestFit="1" customWidth="1"/>
  </cols>
  <sheetData>
    <row r="1" spans="1:23">
      <c r="A1">
        <v>655.95699999999999</v>
      </c>
      <c r="B1">
        <f>$A$1</f>
        <v>655.95699999999999</v>
      </c>
      <c r="K1">
        <v>1.175</v>
      </c>
      <c r="L1">
        <f>$K$1</f>
        <v>1.175</v>
      </c>
    </row>
    <row r="2" spans="1:23">
      <c r="A2" s="20" t="s">
        <v>34</v>
      </c>
      <c r="B2" s="10">
        <v>1901</v>
      </c>
      <c r="C2" s="10">
        <v>1902</v>
      </c>
      <c r="D2" s="10">
        <v>1903</v>
      </c>
      <c r="E2" s="10">
        <v>1904</v>
      </c>
      <c r="F2" s="10">
        <v>1905</v>
      </c>
      <c r="G2" s="10">
        <v>1906</v>
      </c>
      <c r="H2" s="10">
        <v>1907</v>
      </c>
      <c r="I2" s="10">
        <v>1908</v>
      </c>
    </row>
    <row r="3" spans="1:23">
      <c r="A3" t="s">
        <v>24</v>
      </c>
      <c r="B3" s="9">
        <v>22930.615464901741</v>
      </c>
      <c r="C3" s="9">
        <v>19084.763805704519</v>
      </c>
      <c r="D3" s="9">
        <v>16356.246972146218</v>
      </c>
      <c r="E3" s="9">
        <v>20501.435660033771</v>
      </c>
      <c r="F3" s="9">
        <v>17522.353746451499</v>
      </c>
      <c r="G3" s="9">
        <v>17591.016479873586</v>
      </c>
      <c r="H3" s="9">
        <v>23709.677738672941</v>
      </c>
      <c r="O3" s="38"/>
      <c r="P3" s="38"/>
      <c r="Q3" s="38"/>
      <c r="R3" s="38"/>
      <c r="S3" s="38"/>
      <c r="T3" s="38"/>
      <c r="U3" s="38"/>
      <c r="V3" s="38"/>
      <c r="W3" s="38"/>
    </row>
    <row r="4" spans="1:23">
      <c r="A4" t="s">
        <v>25</v>
      </c>
      <c r="B4" s="9">
        <f>7277868/($A$1)</f>
        <v>11095.038241835975</v>
      </c>
      <c r="C4" s="9">
        <f>1497600/($A$1)</f>
        <v>2283.0764821474577</v>
      </c>
      <c r="D4" s="9">
        <f>2457000/($A$1)</f>
        <v>3745.6723535231731</v>
      </c>
      <c r="E4" s="9">
        <f>1872000/($A$1)</f>
        <v>2853.8456026843223</v>
      </c>
      <c r="F4" s="9">
        <f>1432548/($A$1)</f>
        <v>2183.9053474541774</v>
      </c>
      <c r="G4" s="9">
        <f>2808000/($A$1)</f>
        <v>4280.768404026483</v>
      </c>
      <c r="H4" s="9">
        <f>1825200/($A$1)</f>
        <v>2782.4994626172142</v>
      </c>
      <c r="I4" s="11">
        <v>0</v>
      </c>
      <c r="J4" s="11"/>
      <c r="K4" s="11" t="s">
        <v>30</v>
      </c>
      <c r="L4" s="11"/>
    </row>
    <row r="5" spans="1:23">
      <c r="A5" t="s">
        <v>26</v>
      </c>
      <c r="B5" s="9">
        <f>11982*$K$5</f>
        <v>74998.636682234603</v>
      </c>
      <c r="C5" s="9">
        <f>8861*($K$5)</f>
        <v>55463.438461131766</v>
      </c>
      <c r="D5" s="9">
        <f>10274*($K$5)</f>
        <v>64307.794464469895</v>
      </c>
      <c r="E5" s="9">
        <f>9850*($K$5)</f>
        <v>61653.861735938139</v>
      </c>
      <c r="F5" s="9">
        <f>10137*($K$5)</f>
        <v>63450.273747939587</v>
      </c>
      <c r="G5" s="9">
        <f>10632*($K$5)</f>
        <v>66548.615022994345</v>
      </c>
      <c r="H5" s="9">
        <f>9555*($K$5)</f>
        <v>59807.375521511567</v>
      </c>
      <c r="I5" s="11">
        <f>13477*($K$5)</f>
        <v>84356.253260430283</v>
      </c>
      <c r="K5" s="2">
        <v>6.2592753031409281</v>
      </c>
      <c r="L5" s="2">
        <f>$K$5</f>
        <v>6.2592753031409281</v>
      </c>
    </row>
    <row r="6" spans="1:23">
      <c r="A6" t="s">
        <v>27</v>
      </c>
      <c r="B6" s="9">
        <f>(59223+3000)*1.05</f>
        <v>65334.15</v>
      </c>
      <c r="C6" s="9">
        <f>B6</f>
        <v>65334.15</v>
      </c>
      <c r="D6" s="9">
        <f t="shared" ref="D6:H6" si="0">C6</f>
        <v>65334.15</v>
      </c>
      <c r="E6" s="9">
        <f t="shared" si="0"/>
        <v>65334.15</v>
      </c>
      <c r="F6" s="9">
        <f t="shared" si="0"/>
        <v>65334.15</v>
      </c>
      <c r="G6" s="9">
        <f t="shared" si="0"/>
        <v>65334.15</v>
      </c>
      <c r="H6" s="9">
        <f t="shared" si="0"/>
        <v>65334.15</v>
      </c>
      <c r="I6" s="9">
        <f>H6</f>
        <v>65334.15</v>
      </c>
      <c r="O6" t="s">
        <v>51</v>
      </c>
    </row>
    <row r="7" spans="1:23">
      <c r="A7" t="s">
        <v>31</v>
      </c>
    </row>
    <row r="8" spans="1:23" s="38" customFormat="1" ht="15" thickBot="1">
      <c r="A8" s="38" t="s">
        <v>88</v>
      </c>
      <c r="B8" s="9">
        <f>((51897967+8472156)/($A$1))*($K$1)</f>
        <v>108139.54958175613</v>
      </c>
      <c r="C8" s="9">
        <f>((50968090.1+7555281)/($A$1))*($K$1)</f>
        <v>104831.50731297936</v>
      </c>
      <c r="D8" s="9">
        <f>((53240567+7222247)/($A$1))*($K$1)</f>
        <v>108305.58474107296</v>
      </c>
      <c r="E8" s="9">
        <f>((54989015+10236752)/($A$1))*($K$1)</f>
        <v>116837.34791304918</v>
      </c>
      <c r="F8" s="9">
        <f>((56969600+9988884)/($A$1))*($K$1)</f>
        <v>119941.12220770569</v>
      </c>
      <c r="G8" s="9">
        <f>((58177954+9437036)/($A$1))*($K$1)</f>
        <v>121117.10561820364</v>
      </c>
      <c r="H8" s="9">
        <f>((63216843+8965538)/($A$1))*($K$1)</f>
        <v>129298.56328234931</v>
      </c>
      <c r="I8" s="9">
        <f>((61306843+9211310)/($A$1))*($K$1)</f>
        <v>126317.47168640628</v>
      </c>
      <c r="J8" s="38">
        <v>59440914</v>
      </c>
    </row>
    <row r="9" spans="1:23" ht="15" thickBot="1">
      <c r="A9" s="16" t="s">
        <v>32</v>
      </c>
      <c r="B9" s="21">
        <f>SUM(B3:B8)</f>
        <v>282497.98997072846</v>
      </c>
      <c r="C9" s="21">
        <f t="shared" ref="C9:I9" si="1">SUM(C3:C8)</f>
        <v>246996.93606196309</v>
      </c>
      <c r="D9" s="21">
        <f t="shared" si="1"/>
        <v>258049.44853121226</v>
      </c>
      <c r="E9" s="21">
        <f t="shared" si="1"/>
        <v>267180.64091170538</v>
      </c>
      <c r="F9" s="21">
        <f t="shared" si="1"/>
        <v>268431.80504955095</v>
      </c>
      <c r="G9" s="21">
        <f t="shared" si="1"/>
        <v>274871.65552509809</v>
      </c>
      <c r="H9" s="21">
        <f t="shared" si="1"/>
        <v>280932.26600515103</v>
      </c>
      <c r="I9" s="21">
        <f t="shared" si="1"/>
        <v>276007.87494683656</v>
      </c>
    </row>
    <row r="11" spans="1:23">
      <c r="A11" t="s">
        <v>27</v>
      </c>
      <c r="B11" s="9">
        <v>37717.706358800962</v>
      </c>
      <c r="C11" s="9">
        <v>50360.218524232536</v>
      </c>
      <c r="D11" s="9">
        <v>27831.780857586702</v>
      </c>
      <c r="E11" s="9">
        <v>114039.08757357574</v>
      </c>
      <c r="F11" s="9">
        <v>67371.442387229632</v>
      </c>
      <c r="G11" s="9">
        <v>46099.960540096385</v>
      </c>
      <c r="H11" s="9">
        <v>36118.978204364015</v>
      </c>
      <c r="I11" s="11">
        <v>28267.092385628937</v>
      </c>
    </row>
    <row r="12" spans="1:23">
      <c r="B12" s="12"/>
      <c r="C12" s="12"/>
      <c r="D12" s="12"/>
      <c r="E12" s="12"/>
      <c r="F12" s="13"/>
      <c r="G12" s="13"/>
      <c r="H12" s="13"/>
      <c r="I12" s="13"/>
    </row>
    <row r="13" spans="1:23">
      <c r="A13" s="20" t="s">
        <v>47</v>
      </c>
      <c r="B13" s="10">
        <v>1901</v>
      </c>
      <c r="C13" s="10">
        <v>1902</v>
      </c>
      <c r="D13" s="10">
        <v>1903</v>
      </c>
      <c r="E13" s="10">
        <v>1904</v>
      </c>
      <c r="F13" s="10">
        <v>1905</v>
      </c>
      <c r="G13" s="10">
        <v>1906</v>
      </c>
      <c r="H13" s="10">
        <v>1907</v>
      </c>
      <c r="I13" s="10">
        <v>1908</v>
      </c>
    </row>
    <row r="14" spans="1:23">
      <c r="A14" t="s">
        <v>28</v>
      </c>
      <c r="B14" s="9">
        <f>72136584/($A$1)</f>
        <v>109971.51337663902</v>
      </c>
      <c r="C14" s="9">
        <f>46544472/($A$1)</f>
        <v>70956.590142341651</v>
      </c>
      <c r="D14" s="9">
        <f>38507040/($A$1)</f>
        <v>58703.604047216511</v>
      </c>
      <c r="E14" s="9">
        <f>45704412/($A$1)</f>
        <v>69675.926928137065</v>
      </c>
      <c r="F14" s="9">
        <f>43709796/($A$1)</f>
        <v>66635.154438476908</v>
      </c>
      <c r="G14" s="9">
        <f>49724532/($A$1)</f>
        <v>75804.560359901647</v>
      </c>
      <c r="H14" s="9">
        <f>51100452/($A$1)</f>
        <v>77902.136877874611</v>
      </c>
      <c r="I14" s="11">
        <f>51597936/($A$1)</f>
        <v>78660.546346787974</v>
      </c>
    </row>
    <row r="15" spans="1:23">
      <c r="A15" t="s">
        <v>29</v>
      </c>
      <c r="B15" s="9">
        <v>35474.400000000001</v>
      </c>
      <c r="C15" s="9">
        <v>33343.829999999994</v>
      </c>
      <c r="D15" s="9">
        <v>27406.079999999998</v>
      </c>
      <c r="E15" s="9">
        <v>34339.5</v>
      </c>
      <c r="F15" s="9">
        <v>30003.48</v>
      </c>
      <c r="G15" s="9">
        <v>35341.019999999997</v>
      </c>
      <c r="H15" s="9">
        <v>35904.959999999999</v>
      </c>
      <c r="I15" s="11">
        <v>37038.689999999995</v>
      </c>
      <c r="K15" s="11" t="s">
        <v>30</v>
      </c>
    </row>
    <row r="16" spans="1:23">
      <c r="A16" t="s">
        <v>80</v>
      </c>
      <c r="B16" s="9">
        <v>6451.1850624354947</v>
      </c>
      <c r="C16" s="9">
        <v>3225.5925312177474</v>
      </c>
      <c r="D16" s="9">
        <v>6018.3823024984886</v>
      </c>
      <c r="E16" s="9">
        <v>8343.3060398776142</v>
      </c>
      <c r="F16" s="9">
        <v>8353.9774710842321</v>
      </c>
      <c r="G16" s="9">
        <v>11954.823258231867</v>
      </c>
      <c r="H16" s="9">
        <v>12144.088713132111</v>
      </c>
      <c r="I16" s="11">
        <v>4193.6437906753035</v>
      </c>
      <c r="J16" s="18"/>
      <c r="K16" s="15">
        <v>1.17</v>
      </c>
    </row>
    <row r="17" spans="1:23">
      <c r="A17" t="s">
        <v>83</v>
      </c>
    </row>
    <row r="18" spans="1:23" s="38" customFormat="1">
      <c r="A18" s="38" t="s">
        <v>81</v>
      </c>
      <c r="B18" s="9">
        <v>16444.260819846906</v>
      </c>
      <c r="C18" s="9">
        <v>37342.528095688634</v>
      </c>
      <c r="D18" s="9">
        <v>37643.005454400256</v>
      </c>
      <c r="E18" s="9">
        <v>68795.887853562584</v>
      </c>
      <c r="F18" s="9">
        <v>47434.197002241257</v>
      </c>
      <c r="G18" s="9">
        <v>46397.309085234614</v>
      </c>
      <c r="K18" s="38" t="s">
        <v>86</v>
      </c>
    </row>
    <row r="19" spans="1:23" s="38" customFormat="1" ht="15" thickBot="1">
      <c r="A19" s="38" t="s">
        <v>82</v>
      </c>
      <c r="B19" s="9">
        <v>155667.3099763481</v>
      </c>
      <c r="C19" s="9">
        <v>146150.44846131568</v>
      </c>
      <c r="D19" s="9">
        <v>150619.43141852287</v>
      </c>
      <c r="E19" s="9">
        <v>165505.07598059019</v>
      </c>
      <c r="F19" s="9">
        <v>169541.33108269863</v>
      </c>
      <c r="G19" s="9">
        <v>163582.40779946957</v>
      </c>
      <c r="H19" s="9">
        <v>170319.01961561508</v>
      </c>
      <c r="I19" s="11">
        <v>171820.97172528077</v>
      </c>
    </row>
    <row r="20" spans="1:23" ht="15" thickBot="1">
      <c r="A20" s="16" t="s">
        <v>33</v>
      </c>
      <c r="B20" s="21">
        <f t="shared" ref="B20:I20" si="2">SUM(B14:B19)</f>
        <v>324008.66923526954</v>
      </c>
      <c r="C20" s="21">
        <f t="shared" si="2"/>
        <v>291018.98923056369</v>
      </c>
      <c r="D20" s="21">
        <f t="shared" si="2"/>
        <v>280390.50322263816</v>
      </c>
      <c r="E20" s="21">
        <f t="shared" si="2"/>
        <v>346659.69680216745</v>
      </c>
      <c r="F20" s="21">
        <f t="shared" si="2"/>
        <v>321968.13999450102</v>
      </c>
      <c r="G20" s="21">
        <f t="shared" si="2"/>
        <v>333080.1205028377</v>
      </c>
      <c r="H20" s="21">
        <f t="shared" si="2"/>
        <v>296270.20520662179</v>
      </c>
      <c r="I20" s="19">
        <f t="shared" si="2"/>
        <v>291713.85186274408</v>
      </c>
    </row>
    <row r="22" spans="1:23">
      <c r="B22" s="9"/>
      <c r="C22" s="9"/>
      <c r="D22" s="9"/>
      <c r="E22" s="9"/>
      <c r="F22" s="9"/>
      <c r="G22" s="9"/>
      <c r="H22" s="9"/>
      <c r="I22" s="11"/>
    </row>
    <row r="24" spans="1:23">
      <c r="A24" s="20" t="s">
        <v>48</v>
      </c>
      <c r="B24" s="10">
        <v>1901</v>
      </c>
      <c r="C24" s="10">
        <v>1902</v>
      </c>
      <c r="D24" s="10">
        <v>1903</v>
      </c>
      <c r="E24" s="10">
        <v>1904</v>
      </c>
      <c r="F24" s="10">
        <v>1905</v>
      </c>
      <c r="G24" s="10">
        <v>1906</v>
      </c>
      <c r="H24" s="10">
        <v>1907</v>
      </c>
      <c r="I24" s="10">
        <v>1908</v>
      </c>
    </row>
    <row r="25" spans="1:23">
      <c r="A25" t="s">
        <v>35</v>
      </c>
      <c r="B25" s="9">
        <f>8017776/($A$1)</f>
        <v>12223.020716296953</v>
      </c>
      <c r="C25" s="9">
        <f>4787640/($A$1)</f>
        <v>7298.7101288651547</v>
      </c>
      <c r="D25" s="9">
        <f>5033340/($A$1)</f>
        <v>7673.2773642174716</v>
      </c>
      <c r="E25" s="9">
        <f>4175496/($A$1)</f>
        <v>6365.5026167873812</v>
      </c>
      <c r="F25" s="9">
        <f>7230132/($A$1)</f>
        <v>11022.265178967524</v>
      </c>
      <c r="G25" s="9">
        <f>4492332/($A$1)</f>
        <v>6848.5159850417022</v>
      </c>
      <c r="H25" s="9">
        <f>5746572/($A$1)</f>
        <v>8760.5925388401993</v>
      </c>
      <c r="I25" s="9">
        <f>4143672/($A$1)</f>
        <v>6316.9872415417476</v>
      </c>
    </row>
    <row r="26" spans="1:23">
      <c r="A26" t="s">
        <v>36</v>
      </c>
      <c r="B26" s="9">
        <f>494*($K$27)</f>
        <v>2761.46</v>
      </c>
      <c r="C26" s="9">
        <f>447*($K$27)</f>
        <v>2498.73</v>
      </c>
      <c r="D26" s="9">
        <f>441*($K$27)</f>
        <v>2465.19</v>
      </c>
      <c r="E26" s="9">
        <f>408*($K$27)</f>
        <v>2280.7199999999998</v>
      </c>
      <c r="F26" s="9">
        <f>641*($K$27)</f>
        <v>3583.19</v>
      </c>
      <c r="G26" s="9">
        <f>586*($K$27)</f>
        <v>3275.74</v>
      </c>
      <c r="H26" s="9">
        <f>606*($K$27)</f>
        <v>3387.54</v>
      </c>
      <c r="I26" s="9">
        <f>462*($K$27)</f>
        <v>2582.58</v>
      </c>
      <c r="K26" s="11" t="s">
        <v>30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t="s">
        <v>37</v>
      </c>
      <c r="K27">
        <v>5.59</v>
      </c>
      <c r="L27">
        <f>$K$27</f>
        <v>5.59</v>
      </c>
    </row>
    <row r="28" spans="1:23">
      <c r="A28" t="s">
        <v>38</v>
      </c>
    </row>
    <row r="29" spans="1:23" ht="15" thickBot="1">
      <c r="A29" s="38" t="s">
        <v>87</v>
      </c>
      <c r="B29" s="9">
        <f>((10984671+2239839)/($A$1))*($K$1)</f>
        <v>23688.746747119094</v>
      </c>
      <c r="C29" s="9">
        <f>((10467713+1911304.04)/($A$1))*($K$1)</f>
        <v>22174.235539829591</v>
      </c>
      <c r="D29" s="9">
        <f>((10785223+2027851)/($A$1))*($K$1)</f>
        <v>22951.751334310025</v>
      </c>
      <c r="E29" s="9">
        <f>((11302300+2481389)/($A$1))*($K$1)</f>
        <v>24690.390642984225</v>
      </c>
      <c r="F29" s="9">
        <f>((11679072+2228688.62)/($A$1))*($K$1)</f>
        <v>24912.637152282852</v>
      </c>
      <c r="G29" s="9">
        <f>((10923429+2484783.5)/($A$1))*($K$1)</f>
        <v>24017.808617790499</v>
      </c>
      <c r="H29" s="9">
        <f>((13151115+1918558)/($A$1))*($K$1)</f>
        <v>26993.942857534868</v>
      </c>
      <c r="I29" s="9">
        <f>((12271471+2042711)/($A$1))*($K$1)</f>
        <v>25640.649996874796</v>
      </c>
      <c r="J29" s="9">
        <f>(12079803/($A$1))*($K$1)</f>
        <v>21638.260625315379</v>
      </c>
    </row>
    <row r="30" spans="1:23" ht="15" thickBot="1">
      <c r="A30" s="16" t="s">
        <v>39</v>
      </c>
      <c r="B30" s="21">
        <f>SUM(B25:B29)</f>
        <v>38673.227463416042</v>
      </c>
      <c r="C30" s="21">
        <f t="shared" ref="C30:I30" si="3">SUM(C25:C29)</f>
        <v>31971.675668694748</v>
      </c>
      <c r="D30" s="21">
        <f t="shared" si="3"/>
        <v>33090.218698527497</v>
      </c>
      <c r="E30" s="21">
        <f t="shared" si="3"/>
        <v>33336.613259771606</v>
      </c>
      <c r="F30" s="21">
        <f t="shared" si="3"/>
        <v>39518.092331250373</v>
      </c>
      <c r="G30" s="21">
        <f t="shared" si="3"/>
        <v>34142.064602832201</v>
      </c>
      <c r="H30" s="21">
        <f t="shared" si="3"/>
        <v>39142.075396375069</v>
      </c>
      <c r="I30" s="21">
        <f t="shared" si="3"/>
        <v>34540.217238416546</v>
      </c>
    </row>
    <row r="31" spans="1:23">
      <c r="A31" t="s">
        <v>45</v>
      </c>
    </row>
    <row r="32" spans="1:23">
      <c r="A32" t="s">
        <v>46</v>
      </c>
    </row>
    <row r="35" spans="1:12">
      <c r="A35" s="20" t="s">
        <v>49</v>
      </c>
      <c r="B35" s="10">
        <v>1901</v>
      </c>
      <c r="C35" s="10">
        <v>1902</v>
      </c>
      <c r="D35" s="10">
        <v>1903</v>
      </c>
      <c r="E35" s="10">
        <v>1904</v>
      </c>
      <c r="F35" s="10">
        <v>1905</v>
      </c>
      <c r="G35" s="10">
        <v>1906</v>
      </c>
      <c r="H35" s="10">
        <v>1907</v>
      </c>
      <c r="I35" s="10">
        <v>1908</v>
      </c>
    </row>
    <row r="36" spans="1:12">
      <c r="A36" t="s">
        <v>40</v>
      </c>
      <c r="B36" s="9">
        <f>6590376/($A$1)</f>
        <v>10046.963444250157</v>
      </c>
      <c r="C36" s="9">
        <f>4614012/($A$1)</f>
        <v>7034.0159492161838</v>
      </c>
      <c r="D36" s="9">
        <f>4383756/($A$1)</f>
        <v>6682.9929400860119</v>
      </c>
      <c r="E36" s="9">
        <f>4035564/($A$1)</f>
        <v>6152.1776579867283</v>
      </c>
      <c r="F36" s="9">
        <f>4455828/($A$1)</f>
        <v>6792.8659957893578</v>
      </c>
      <c r="G36" s="9">
        <f>5279976/($A$1)</f>
        <v>8049.2715223711311</v>
      </c>
      <c r="H36" s="9">
        <f>5158296/($A$1)</f>
        <v>7863.7715581966504</v>
      </c>
      <c r="I36" s="9">
        <f>5213520/($A$1)</f>
        <v>7947.9600034758378</v>
      </c>
      <c r="J36" s="9"/>
    </row>
    <row r="37" spans="1:12">
      <c r="A37" t="s">
        <v>41</v>
      </c>
      <c r="B37" s="9">
        <f>1240*($K$38)</f>
        <v>6931.5999999999995</v>
      </c>
      <c r="C37" s="9">
        <f>1291*($K$38)</f>
        <v>7216.69</v>
      </c>
      <c r="D37" s="9">
        <f>1126*($K$38)</f>
        <v>6294.34</v>
      </c>
      <c r="E37" s="9">
        <f>1161*($K$38)</f>
        <v>6489.99</v>
      </c>
      <c r="F37" s="9">
        <f>1251*($K$38)</f>
        <v>6993.09</v>
      </c>
      <c r="G37" s="9">
        <f>1435*($K$38)</f>
        <v>8021.65</v>
      </c>
      <c r="H37" s="9">
        <f>1455*($K$38)</f>
        <v>8133.45</v>
      </c>
      <c r="I37" s="9">
        <f>1531*($K$38)</f>
        <v>8558.2899999999991</v>
      </c>
      <c r="K37" s="11" t="s">
        <v>30</v>
      </c>
    </row>
    <row r="38" spans="1:12">
      <c r="A38" t="s">
        <v>42</v>
      </c>
      <c r="K38">
        <v>5.59</v>
      </c>
      <c r="L38">
        <f>$K$38</f>
        <v>5.59</v>
      </c>
    </row>
    <row r="39" spans="1:12">
      <c r="A39" t="s">
        <v>43</v>
      </c>
    </row>
    <row r="40" spans="1:12" ht="15" thickBot="1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12" ht="15" thickBot="1">
      <c r="A41" s="16" t="s">
        <v>44</v>
      </c>
      <c r="B41" s="14"/>
      <c r="C41" s="14"/>
      <c r="D41" s="14"/>
      <c r="E41" s="14"/>
      <c r="F41" s="14"/>
      <c r="G41" s="14"/>
      <c r="H41" s="14"/>
      <c r="I41" s="17"/>
    </row>
    <row r="42" spans="1:12">
      <c r="A42" t="s">
        <v>50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3"/>
  <sheetViews>
    <sheetView tabSelected="1" topLeftCell="A85" workbookViewId="0">
      <selection activeCell="B88" sqref="B88"/>
    </sheetView>
  </sheetViews>
  <sheetFormatPr defaultRowHeight="14.5"/>
  <cols>
    <col min="1" max="1" width="63.81640625" customWidth="1"/>
  </cols>
  <sheetData>
    <row r="1" spans="1:10" s="41" customFormat="1"/>
    <row r="2" spans="1:10" s="41" customFormat="1">
      <c r="A2" s="41" t="s">
        <v>104</v>
      </c>
    </row>
    <row r="3" spans="1:10" s="41" customFormat="1"/>
    <row r="4" spans="1:10" s="41" customFormat="1">
      <c r="B4" s="10">
        <v>1901</v>
      </c>
      <c r="C4" s="10">
        <v>1902</v>
      </c>
      <c r="D4" s="10">
        <v>1903</v>
      </c>
      <c r="E4" s="10">
        <v>1904</v>
      </c>
      <c r="F4" s="10">
        <v>1905</v>
      </c>
      <c r="G4" s="10">
        <v>1906</v>
      </c>
      <c r="H4" s="10">
        <v>1907</v>
      </c>
      <c r="I4" s="10">
        <v>1908</v>
      </c>
    </row>
    <row r="5" spans="1:10" s="41" customFormat="1">
      <c r="A5" s="41" t="str">
        <f>A51</f>
        <v>RTG variable cost CFS</v>
      </c>
      <c r="B5" s="1">
        <f t="shared" ref="B5:J5" si="0">B51</f>
        <v>2925.476330318806</v>
      </c>
      <c r="C5" s="1">
        <f t="shared" si="0"/>
        <v>1923.6464590474202</v>
      </c>
      <c r="D5" s="1">
        <f t="shared" si="0"/>
        <v>2301.5592661816277</v>
      </c>
      <c r="E5" s="1">
        <f t="shared" si="0"/>
        <v>2031.8064387810107</v>
      </c>
      <c r="F5" s="1">
        <f t="shared" si="0"/>
        <v>2970.8008665433149</v>
      </c>
      <c r="G5" s="1">
        <f t="shared" si="0"/>
        <v>1767.0849499189746</v>
      </c>
      <c r="H5" s="1">
        <f t="shared" si="0"/>
        <v>2151.2718783745054</v>
      </c>
      <c r="I5" s="1">
        <f t="shared" si="0"/>
        <v>1851.0363946631312</v>
      </c>
      <c r="J5" s="41">
        <f t="shared" si="0"/>
        <v>0</v>
      </c>
    </row>
    <row r="6" spans="1:10" s="41" customFormat="1">
      <c r="A6" s="41" t="str">
        <f>A74</f>
        <v>TT variable cost CFS</v>
      </c>
      <c r="B6" s="1">
        <f t="shared" ref="B6:J6" si="1">B74</f>
        <v>9811.8261669226176</v>
      </c>
      <c r="C6" s="1">
        <f t="shared" si="1"/>
        <v>6233.9984001402127</v>
      </c>
      <c r="D6" s="1">
        <f t="shared" si="1"/>
        <v>5819.0275915993743</v>
      </c>
      <c r="E6" s="1">
        <f t="shared" si="1"/>
        <v>6210.2867876130522</v>
      </c>
      <c r="F6" s="1">
        <f t="shared" si="1"/>
        <v>8808.739534896491</v>
      </c>
      <c r="G6" s="1">
        <f t="shared" si="1"/>
        <v>5648.269066457101</v>
      </c>
      <c r="H6" s="1">
        <f t="shared" si="1"/>
        <v>7399.682895811251</v>
      </c>
      <c r="I6" s="1">
        <f t="shared" si="1"/>
        <v>5750.1354686666391</v>
      </c>
      <c r="J6" s="41">
        <f t="shared" si="1"/>
        <v>0</v>
      </c>
    </row>
    <row r="7" spans="1:10" s="41" customFormat="1">
      <c r="A7" s="41" t="str">
        <f>A98</f>
        <v>RST variable cost CFS</v>
      </c>
      <c r="B7" s="1">
        <f t="shared" ref="B7:J7" si="2">B98</f>
        <v>12788.230656211093</v>
      </c>
      <c r="C7" s="1">
        <f t="shared" si="2"/>
        <v>7986.6976465086445</v>
      </c>
      <c r="D7" s="1">
        <f t="shared" si="2"/>
        <v>8737.5919981243514</v>
      </c>
      <c r="E7" s="1">
        <f t="shared" si="2"/>
        <v>7164.8767838412914</v>
      </c>
      <c r="F7" s="1">
        <f t="shared" si="2"/>
        <v>11735.88383982399</v>
      </c>
      <c r="G7" s="1">
        <f t="shared" si="2"/>
        <v>7935.0077053180539</v>
      </c>
      <c r="H7" s="1">
        <f t="shared" si="2"/>
        <v>10659.114402310535</v>
      </c>
      <c r="I7" s="1">
        <f t="shared" si="2"/>
        <v>8488.3536640393941</v>
      </c>
      <c r="J7" s="41">
        <f t="shared" si="2"/>
        <v>0</v>
      </c>
    </row>
    <row r="8" spans="1:10" s="41" customFormat="1" ht="15" thickBot="1">
      <c r="A8" s="41" t="str">
        <f>A120</f>
        <v>ECH variable cost CFS</v>
      </c>
      <c r="B8" s="42">
        <f t="shared" ref="B8:J8" si="3">B120</f>
        <v>2716.1210367409926</v>
      </c>
      <c r="C8" s="42">
        <f t="shared" si="3"/>
        <v>1977.5135612882061</v>
      </c>
      <c r="D8" s="42">
        <f t="shared" si="3"/>
        <v>1984.5325074774441</v>
      </c>
      <c r="E8" s="42">
        <f t="shared" si="3"/>
        <v>2064.4421692302626</v>
      </c>
      <c r="F8" s="42">
        <f t="shared" si="3"/>
        <v>2979.9673231199713</v>
      </c>
      <c r="G8" s="42">
        <f t="shared" si="3"/>
        <v>1943.0987703759738</v>
      </c>
      <c r="H8" s="42">
        <f t="shared" si="3"/>
        <v>2481.1540911947159</v>
      </c>
      <c r="I8" s="42">
        <f t="shared" si="3"/>
        <v>1862.9144516362678</v>
      </c>
      <c r="J8" s="41">
        <f t="shared" si="3"/>
        <v>0</v>
      </c>
    </row>
    <row r="9" spans="1:10" s="41" customFormat="1">
      <c r="B9" s="1">
        <f>SUM(B5:B8)</f>
        <v>28241.654190193509</v>
      </c>
      <c r="C9" s="1">
        <f t="shared" ref="C9:I9" si="4">SUM(C5:C8)</f>
        <v>18121.856066984485</v>
      </c>
      <c r="D9" s="1">
        <f t="shared" si="4"/>
        <v>18842.711363382798</v>
      </c>
      <c r="E9" s="1">
        <f t="shared" si="4"/>
        <v>17471.412179465617</v>
      </c>
      <c r="F9" s="1">
        <f t="shared" si="4"/>
        <v>26495.391564383768</v>
      </c>
      <c r="G9" s="1">
        <f t="shared" si="4"/>
        <v>17293.460492070102</v>
      </c>
      <c r="H9" s="1">
        <f t="shared" si="4"/>
        <v>22691.223267691006</v>
      </c>
      <c r="I9" s="1">
        <f t="shared" si="4"/>
        <v>17952.439979005434</v>
      </c>
    </row>
    <row r="10" spans="1:10" s="41" customFormat="1"/>
    <row r="11" spans="1:10" s="41" customFormat="1">
      <c r="A11" s="41" t="s">
        <v>103</v>
      </c>
    </row>
    <row r="12" spans="1:10" s="41" customFormat="1">
      <c r="A12" s="41" t="str">
        <f>A66</f>
        <v>TT manpower 20 FTE to deduct when no CFS</v>
      </c>
      <c r="B12" s="41">
        <f t="shared" ref="B12:I12" si="5">B66</f>
        <v>8000</v>
      </c>
      <c r="C12" s="41">
        <f t="shared" si="5"/>
        <v>8000</v>
      </c>
      <c r="D12" s="41">
        <f t="shared" si="5"/>
        <v>8000</v>
      </c>
      <c r="E12" s="41">
        <f t="shared" si="5"/>
        <v>8000</v>
      </c>
      <c r="F12" s="41">
        <f t="shared" si="5"/>
        <v>8000</v>
      </c>
      <c r="G12" s="41">
        <f t="shared" si="5"/>
        <v>8000</v>
      </c>
      <c r="H12" s="41">
        <f t="shared" si="5"/>
        <v>8000</v>
      </c>
      <c r="I12" s="41">
        <f t="shared" si="5"/>
        <v>8000</v>
      </c>
    </row>
    <row r="13" spans="1:10" s="41" customFormat="1"/>
    <row r="14" spans="1:10" s="41" customFormat="1"/>
    <row r="15" spans="1:10" s="41" customFormat="1"/>
    <row r="16" spans="1:10" s="41" customFormat="1"/>
    <row r="17" spans="1:13" s="41" customFormat="1">
      <c r="A17" s="41" t="s">
        <v>99</v>
      </c>
    </row>
    <row r="18" spans="1:13" s="41" customFormat="1">
      <c r="A18" s="41" t="str">
        <f>A52</f>
        <v>RTG fixed cost contribution margin</v>
      </c>
      <c r="B18" s="1">
        <f t="shared" ref="B18:I18" si="6">B52</f>
        <v>4654.8636111150081</v>
      </c>
      <c r="C18" s="1">
        <f t="shared" si="6"/>
        <v>1635.7895944044194</v>
      </c>
      <c r="D18" s="1">
        <f t="shared" si="6"/>
        <v>1781.4349981621026</v>
      </c>
      <c r="E18" s="1">
        <f t="shared" si="6"/>
        <v>1561.5537571574241</v>
      </c>
      <c r="F18" s="1">
        <f t="shared" si="6"/>
        <v>2334.0890102286749</v>
      </c>
      <c r="G18" s="1">
        <f t="shared" si="6"/>
        <v>1305.7053949350743</v>
      </c>
      <c r="H18" s="1">
        <f t="shared" si="6"/>
        <v>1628.6471384615384</v>
      </c>
      <c r="I18" s="1">
        <f t="shared" si="6"/>
        <v>1433.6327751662798</v>
      </c>
    </row>
    <row r="19" spans="1:13" s="41" customFormat="1">
      <c r="A19" s="41" t="str">
        <f>A75</f>
        <v>TT fixed cost contribution margin</v>
      </c>
      <c r="B19" s="1">
        <f t="shared" ref="B19:I19" si="7">B75</f>
        <v>11117.584412882021</v>
      </c>
      <c r="C19" s="1">
        <f t="shared" si="7"/>
        <v>10638.308757585075</v>
      </c>
      <c r="D19" s="1">
        <f t="shared" si="7"/>
        <v>11891.102874847913</v>
      </c>
      <c r="E19" s="1">
        <f t="shared" si="7"/>
        <v>12950.272235968176</v>
      </c>
      <c r="F19" s="1">
        <f t="shared" si="7"/>
        <v>18203.956236398797</v>
      </c>
      <c r="G19" s="1">
        <f t="shared" si="7"/>
        <v>9634.5901768317653</v>
      </c>
      <c r="H19" s="1">
        <f t="shared" si="7"/>
        <v>10006.311019362071</v>
      </c>
      <c r="I19" s="1">
        <f t="shared" si="7"/>
        <v>8240.6383318635726</v>
      </c>
    </row>
    <row r="20" spans="1:13" s="41" customFormat="1">
      <c r="A20" s="41" t="str">
        <f>A99</f>
        <v>RST fixed cost contribution margin</v>
      </c>
      <c r="B20" s="1">
        <f t="shared" ref="B20:I20" si="8">B99</f>
        <v>20216.72709880818</v>
      </c>
      <c r="C20" s="1">
        <f t="shared" si="8"/>
        <v>18076.03950314712</v>
      </c>
      <c r="D20" s="1">
        <f t="shared" si="8"/>
        <v>19780.409759901213</v>
      </c>
      <c r="E20" s="1">
        <f t="shared" si="8"/>
        <v>20460.218819535879</v>
      </c>
      <c r="F20" s="1">
        <f t="shared" si="8"/>
        <v>20017.987264368378</v>
      </c>
      <c r="G20" s="1">
        <f t="shared" si="8"/>
        <v>18824.247107994965</v>
      </c>
      <c r="H20" s="1">
        <f t="shared" si="8"/>
        <v>23685.24743765824</v>
      </c>
      <c r="I20" s="1">
        <f t="shared" si="8"/>
        <v>24455.897623131958</v>
      </c>
    </row>
    <row r="21" spans="1:13" s="41" customFormat="1" ht="15" thickBot="1">
      <c r="A21" s="41" t="str">
        <f>A121</f>
        <v>ECH fixed cost contribution margin</v>
      </c>
      <c r="B21" s="42">
        <f t="shared" ref="B21:I21" si="9">B121</f>
        <v>0</v>
      </c>
      <c r="C21" s="42">
        <f t="shared" si="9"/>
        <v>0</v>
      </c>
      <c r="D21" s="42">
        <f t="shared" si="9"/>
        <v>0</v>
      </c>
      <c r="E21" s="42">
        <f t="shared" si="9"/>
        <v>0</v>
      </c>
      <c r="F21" s="42">
        <f t="shared" si="9"/>
        <v>0</v>
      </c>
      <c r="G21" s="42">
        <f t="shared" si="9"/>
        <v>0</v>
      </c>
      <c r="H21" s="42">
        <f t="shared" si="9"/>
        <v>0</v>
      </c>
      <c r="I21" s="42">
        <f t="shared" si="9"/>
        <v>0</v>
      </c>
    </row>
    <row r="22" spans="1:13" s="41" customFormat="1">
      <c r="B22" s="1">
        <f>SUM(B18:B21)</f>
        <v>35989.175122805209</v>
      </c>
      <c r="C22" s="1">
        <f t="shared" ref="C22:I22" si="10">SUM(C18:C21)</f>
        <v>30350.137855136614</v>
      </c>
      <c r="D22" s="1">
        <f t="shared" si="10"/>
        <v>33452.947632911229</v>
      </c>
      <c r="E22" s="1">
        <f t="shared" si="10"/>
        <v>34972.044812661479</v>
      </c>
      <c r="F22" s="1">
        <f t="shared" si="10"/>
        <v>40556.03251099585</v>
      </c>
      <c r="G22" s="1">
        <f t="shared" si="10"/>
        <v>29764.542679761806</v>
      </c>
      <c r="H22" s="1">
        <f t="shared" si="10"/>
        <v>35320.20559548185</v>
      </c>
      <c r="I22" s="1">
        <f t="shared" si="10"/>
        <v>34130.168730161808</v>
      </c>
    </row>
    <row r="23" spans="1:13" s="41" customFormat="1"/>
    <row r="24" spans="1:13" s="41" customFormat="1">
      <c r="A24" s="41" t="s">
        <v>102</v>
      </c>
    </row>
    <row r="25" spans="1:13" s="41" customFormat="1"/>
    <row r="26" spans="1:13" s="41" customFormat="1"/>
    <row r="27" spans="1:13" s="41" customFormat="1"/>
    <row r="28" spans="1:13" s="41" customFormat="1"/>
    <row r="29" spans="1:13" s="41" customFormat="1"/>
    <row r="30" spans="1:13" s="41" customFormat="1"/>
    <row r="31" spans="1:13">
      <c r="A31" s="37" t="s">
        <v>34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3" spans="1:20">
      <c r="A33" s="20"/>
      <c r="B33" s="10">
        <v>1901</v>
      </c>
      <c r="C33" s="10">
        <v>1902</v>
      </c>
      <c r="D33" s="10">
        <v>1903</v>
      </c>
      <c r="E33" s="10">
        <v>1904</v>
      </c>
      <c r="F33" s="10">
        <v>1905</v>
      </c>
      <c r="G33" s="10">
        <v>1906</v>
      </c>
      <c r="H33" s="10">
        <v>1907</v>
      </c>
      <c r="I33" s="10">
        <v>1908</v>
      </c>
    </row>
    <row r="34" spans="1:20">
      <c r="A34" s="20" t="s">
        <v>59</v>
      </c>
      <c r="B34" s="10"/>
      <c r="C34" s="10"/>
      <c r="D34" s="10"/>
      <c r="E34" s="10"/>
      <c r="F34" s="10"/>
      <c r="G34" s="10"/>
      <c r="H34" s="10"/>
      <c r="I34" s="10"/>
    </row>
    <row r="35" spans="1:20">
      <c r="A35" s="30" t="s">
        <v>52</v>
      </c>
      <c r="B35" s="31">
        <f>SUM(B36:B38)</f>
        <v>109024.29038897232</v>
      </c>
      <c r="C35" s="31">
        <f t="shared" ref="C35:I35" si="11">SUM(C36:C38)</f>
        <v>76831.27874898375</v>
      </c>
      <c r="D35" s="31">
        <f t="shared" si="11"/>
        <v>84409.713790139285</v>
      </c>
      <c r="E35" s="31">
        <f t="shared" si="11"/>
        <v>85009.142998656229</v>
      </c>
      <c r="F35" s="31">
        <f t="shared" si="11"/>
        <v>83156.53284184527</v>
      </c>
      <c r="G35" s="31">
        <f t="shared" si="11"/>
        <v>88420.39990689441</v>
      </c>
      <c r="H35" s="31">
        <f t="shared" si="11"/>
        <v>86299.552722801716</v>
      </c>
      <c r="I35" s="31">
        <f t="shared" si="11"/>
        <v>84356.253260430283</v>
      </c>
    </row>
    <row r="36" spans="1:20">
      <c r="A36" s="24" t="s">
        <v>53</v>
      </c>
      <c r="B36" s="9">
        <f>'EG calcul per equipment'!B3</f>
        <v>22930.615464901741</v>
      </c>
      <c r="C36" s="9">
        <f>'EG calcul per equipment'!C3</f>
        <v>19084.763805704519</v>
      </c>
      <c r="D36" s="9">
        <f>'EG calcul per equipment'!D3</f>
        <v>16356.246972146218</v>
      </c>
      <c r="E36" s="9">
        <f>'EG calcul per equipment'!E3</f>
        <v>20501.435660033771</v>
      </c>
      <c r="F36" s="9">
        <f>'EG calcul per equipment'!F3</f>
        <v>17522.353746451499</v>
      </c>
      <c r="G36" s="9">
        <f>'EG calcul per equipment'!G3</f>
        <v>17591.016479873586</v>
      </c>
      <c r="H36" s="9">
        <f>'EG calcul per equipment'!H3</f>
        <v>23709.677738672941</v>
      </c>
      <c r="I36" s="9">
        <f>'EG calcul per equipment'!I3</f>
        <v>0</v>
      </c>
    </row>
    <row r="37" spans="1:20">
      <c r="A37" s="24" t="s">
        <v>54</v>
      </c>
      <c r="B37" s="9">
        <f>'EG calcul per equipment'!B4</f>
        <v>11095.038241835975</v>
      </c>
      <c r="C37" s="9">
        <f>'EG calcul per equipment'!C4</f>
        <v>2283.0764821474577</v>
      </c>
      <c r="D37" s="9">
        <f>'EG calcul per equipment'!D4</f>
        <v>3745.6723535231731</v>
      </c>
      <c r="E37" s="9">
        <f>'EG calcul per equipment'!E4</f>
        <v>2853.8456026843223</v>
      </c>
      <c r="F37" s="9">
        <f>'EG calcul per equipment'!F4</f>
        <v>2183.9053474541774</v>
      </c>
      <c r="G37" s="9">
        <f>'EG calcul per equipment'!G4</f>
        <v>4280.768404026483</v>
      </c>
      <c r="H37" s="9">
        <f>'EG calcul per equipment'!H4</f>
        <v>2782.4994626172142</v>
      </c>
      <c r="I37" s="9">
        <f>'EG calcul per equipment'!I4</f>
        <v>0</v>
      </c>
      <c r="K37" s="2"/>
      <c r="L37" s="2"/>
    </row>
    <row r="38" spans="1:20">
      <c r="A38" s="24" t="s">
        <v>55</v>
      </c>
      <c r="B38" s="9">
        <f>'EG calcul per equipment'!B5</f>
        <v>74998.636682234603</v>
      </c>
      <c r="C38" s="9">
        <f>'EG calcul per equipment'!C5</f>
        <v>55463.438461131766</v>
      </c>
      <c r="D38" s="9">
        <f>'EG calcul per equipment'!D5</f>
        <v>64307.794464469895</v>
      </c>
      <c r="E38" s="9">
        <f>'EG calcul per equipment'!E5</f>
        <v>61653.861735938139</v>
      </c>
      <c r="F38" s="9">
        <f>'EG calcul per equipment'!F5</f>
        <v>63450.273747939587</v>
      </c>
      <c r="G38" s="9">
        <f>'EG calcul per equipment'!G5</f>
        <v>66548.615022994345</v>
      </c>
      <c r="H38" s="9">
        <f>'EG calcul per equipment'!H5</f>
        <v>59807.375521511567</v>
      </c>
      <c r="I38" s="9">
        <f>'EG calcul per equipment'!I5</f>
        <v>84356.253260430283</v>
      </c>
      <c r="K38" s="2"/>
      <c r="L38" s="2"/>
    </row>
    <row r="39" spans="1:20" s="28" customFormat="1">
      <c r="A39" s="32" t="s">
        <v>58</v>
      </c>
      <c r="B39" s="31">
        <f>SUM(B40:B42)</f>
        <v>173473.69958175614</v>
      </c>
      <c r="C39" s="31">
        <f t="shared" ref="C39:I39" si="12">SUM(C40:C41)</f>
        <v>65334.15</v>
      </c>
      <c r="D39" s="31">
        <f t="shared" si="12"/>
        <v>65334.15</v>
      </c>
      <c r="E39" s="31">
        <f t="shared" si="12"/>
        <v>65334.15</v>
      </c>
      <c r="F39" s="31">
        <f t="shared" si="12"/>
        <v>65334.15</v>
      </c>
      <c r="G39" s="31">
        <f t="shared" si="12"/>
        <v>65334.15</v>
      </c>
      <c r="H39" s="31">
        <f t="shared" si="12"/>
        <v>65334.15</v>
      </c>
      <c r="I39" s="31">
        <f t="shared" si="12"/>
        <v>65334.15</v>
      </c>
      <c r="K39" s="2"/>
      <c r="L39" s="2"/>
    </row>
    <row r="40" spans="1:20">
      <c r="A40" s="24" t="s">
        <v>63</v>
      </c>
      <c r="B40" s="9">
        <f>'EG calcul per equipment'!B6</f>
        <v>65334.15</v>
      </c>
      <c r="C40" s="9">
        <f>'EG calcul per equipment'!C6</f>
        <v>65334.15</v>
      </c>
      <c r="D40" s="9">
        <f>'EG calcul per equipment'!D6</f>
        <v>65334.15</v>
      </c>
      <c r="E40" s="9">
        <f>'EG calcul per equipment'!E6</f>
        <v>65334.15</v>
      </c>
      <c r="F40" s="9">
        <f>'EG calcul per equipment'!F6</f>
        <v>65334.15</v>
      </c>
      <c r="G40" s="9">
        <f>'EG calcul per equipment'!G6</f>
        <v>65334.15</v>
      </c>
      <c r="H40" s="9">
        <f>'EG calcul per equipment'!H6</f>
        <v>65334.15</v>
      </c>
      <c r="I40" s="9">
        <f>'EG calcul per equipment'!I6</f>
        <v>65334.15</v>
      </c>
    </row>
    <row r="41" spans="1:20">
      <c r="A41" s="24" t="s">
        <v>84</v>
      </c>
      <c r="B41">
        <f>'EG calcul per equipment'!B7</f>
        <v>0</v>
      </c>
      <c r="C41">
        <f>'EG calcul per equipment'!C7</f>
        <v>0</v>
      </c>
      <c r="D41">
        <f>'EG calcul per equipment'!D7</f>
        <v>0</v>
      </c>
      <c r="E41">
        <f>'EG calcul per equipment'!E7</f>
        <v>0</v>
      </c>
      <c r="F41">
        <f>'EG calcul per equipment'!F7</f>
        <v>0</v>
      </c>
      <c r="G41">
        <f>'EG calcul per equipment'!G7</f>
        <v>0</v>
      </c>
      <c r="H41">
        <f>'EG calcul per equipment'!H7</f>
        <v>0</v>
      </c>
      <c r="I41">
        <f>'EG calcul per equipment'!I7</f>
        <v>0</v>
      </c>
      <c r="L41" s="41"/>
      <c r="M41" s="41"/>
      <c r="N41" s="41"/>
      <c r="O41" s="41"/>
      <c r="P41" s="41"/>
      <c r="Q41" s="41"/>
      <c r="R41" s="41"/>
      <c r="S41" s="41"/>
      <c r="T41" s="41"/>
    </row>
    <row r="42" spans="1:20" s="38" customFormat="1">
      <c r="A42" s="24" t="s">
        <v>85</v>
      </c>
      <c r="B42" s="1">
        <f>'EG calcul per equipment'!B8</f>
        <v>108139.54958175613</v>
      </c>
      <c r="C42" s="1">
        <f>'EG calcul per equipment'!C8</f>
        <v>104831.50731297936</v>
      </c>
      <c r="D42" s="1">
        <f>'EG calcul per equipment'!D8</f>
        <v>108305.58474107296</v>
      </c>
      <c r="E42" s="1">
        <f>'EG calcul per equipment'!E8</f>
        <v>116837.34791304918</v>
      </c>
      <c r="F42" s="1">
        <f>'EG calcul per equipment'!F8</f>
        <v>119941.12220770569</v>
      </c>
      <c r="G42" s="1">
        <f>'EG calcul per equipment'!G8</f>
        <v>121117.10561820364</v>
      </c>
      <c r="H42" s="1">
        <f>'EG calcul per equipment'!H8</f>
        <v>129298.56328234931</v>
      </c>
      <c r="I42" s="1">
        <f>'EG calcul per equipment'!I8</f>
        <v>126317.47168640628</v>
      </c>
    </row>
    <row r="43" spans="1:20" s="38" customFormat="1">
      <c r="A43" s="32" t="s">
        <v>68</v>
      </c>
      <c r="B43" s="30"/>
      <c r="C43" s="30"/>
      <c r="D43" s="30"/>
      <c r="E43" s="30"/>
      <c r="F43" s="30"/>
      <c r="G43" s="30"/>
      <c r="H43" s="30"/>
      <c r="I43" s="30"/>
    </row>
    <row r="44" spans="1:20" s="38" customFormat="1">
      <c r="A44" s="24" t="s">
        <v>97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</row>
    <row r="46" spans="1:20" s="22" customFormat="1">
      <c r="A46" s="25" t="s">
        <v>56</v>
      </c>
      <c r="B46" s="9">
        <v>99168</v>
      </c>
      <c r="C46" s="9">
        <v>95218</v>
      </c>
      <c r="D46" s="9">
        <v>76174</v>
      </c>
      <c r="E46" s="9">
        <v>89243</v>
      </c>
      <c r="F46" s="9">
        <v>86717</v>
      </c>
      <c r="G46" s="9">
        <v>97573</v>
      </c>
      <c r="H46" s="9">
        <v>102375</v>
      </c>
      <c r="I46" s="9">
        <v>102538</v>
      </c>
      <c r="J46" s="9"/>
      <c r="K46" s="9"/>
    </row>
    <row r="47" spans="1:20">
      <c r="A47" s="26" t="s">
        <v>60</v>
      </c>
      <c r="B47" s="27">
        <f>B35/B46</f>
        <v>1.0993898272524638</v>
      </c>
      <c r="C47" s="27">
        <f t="shared" ref="C47:I47" si="13">C35/C46</f>
        <v>0.80689868248633401</v>
      </c>
      <c r="D47" s="27">
        <f t="shared" si="13"/>
        <v>1.1081171238236049</v>
      </c>
      <c r="E47" s="27">
        <f t="shared" si="13"/>
        <v>0.9525581053825648</v>
      </c>
      <c r="F47" s="27">
        <f t="shared" si="13"/>
        <v>0.9589415321314767</v>
      </c>
      <c r="G47" s="27">
        <f t="shared" si="13"/>
        <v>0.90619741021485878</v>
      </c>
      <c r="H47" s="27">
        <f t="shared" si="13"/>
        <v>0.84297487397120119</v>
      </c>
      <c r="I47" s="27">
        <f t="shared" si="13"/>
        <v>0.82268284207250275</v>
      </c>
    </row>
    <row r="48" spans="1:20" s="28" customFormat="1">
      <c r="A48" s="26" t="s">
        <v>61</v>
      </c>
      <c r="B48" s="27">
        <f>B39/B46</f>
        <v>1.7492910977508485</v>
      </c>
      <c r="C48" s="27">
        <f t="shared" ref="C48:I48" si="14">C39/C46</f>
        <v>0.68615335335755845</v>
      </c>
      <c r="D48" s="27">
        <f t="shared" si="14"/>
        <v>0.85769619555228815</v>
      </c>
      <c r="E48" s="27">
        <f t="shared" si="14"/>
        <v>0.73209271315397284</v>
      </c>
      <c r="F48" s="27">
        <f t="shared" si="14"/>
        <v>0.75341801492210292</v>
      </c>
      <c r="G48" s="27">
        <f t="shared" si="14"/>
        <v>0.66959251022311506</v>
      </c>
      <c r="H48" s="27">
        <f t="shared" si="14"/>
        <v>0.63818461538461535</v>
      </c>
      <c r="I48" s="27">
        <f t="shared" si="14"/>
        <v>0.63717012229612435</v>
      </c>
    </row>
    <row r="49" spans="1:13">
      <c r="A49" s="26" t="s">
        <v>57</v>
      </c>
      <c r="B49" s="9">
        <v>2661</v>
      </c>
      <c r="C49" s="9">
        <v>2384</v>
      </c>
      <c r="D49" s="9">
        <v>2077</v>
      </c>
      <c r="E49" s="9">
        <v>2133</v>
      </c>
      <c r="F49" s="9">
        <v>3098</v>
      </c>
      <c r="G49" s="9">
        <v>1950</v>
      </c>
      <c r="H49" s="9">
        <v>2552</v>
      </c>
      <c r="I49" s="9">
        <v>2250</v>
      </c>
      <c r="J49" s="28"/>
      <c r="K49" s="28"/>
    </row>
    <row r="50" spans="1:13">
      <c r="A50" s="26" t="s">
        <v>106</v>
      </c>
      <c r="B50">
        <v>2359</v>
      </c>
      <c r="C50">
        <v>1866</v>
      </c>
      <c r="D50">
        <v>1323</v>
      </c>
      <c r="E50">
        <v>1633</v>
      </c>
      <c r="F50">
        <v>2470</v>
      </c>
      <c r="G50">
        <v>1559</v>
      </c>
      <c r="H50">
        <v>2180</v>
      </c>
      <c r="I50">
        <v>1956</v>
      </c>
    </row>
    <row r="51" spans="1:13">
      <c r="A51" s="33" t="s">
        <v>62</v>
      </c>
      <c r="B51" s="29">
        <f>B49*B47</f>
        <v>2925.476330318806</v>
      </c>
      <c r="C51" s="29">
        <f t="shared" ref="C51:I51" si="15">C49*C47</f>
        <v>1923.6464590474202</v>
      </c>
      <c r="D51" s="29">
        <f t="shared" si="15"/>
        <v>2301.5592661816277</v>
      </c>
      <c r="E51" s="29">
        <f t="shared" si="15"/>
        <v>2031.8064387810107</v>
      </c>
      <c r="F51" s="29">
        <f t="shared" si="15"/>
        <v>2970.8008665433149</v>
      </c>
      <c r="G51" s="29">
        <f t="shared" si="15"/>
        <v>1767.0849499189746</v>
      </c>
      <c r="H51" s="29">
        <f t="shared" si="15"/>
        <v>2151.2718783745054</v>
      </c>
      <c r="I51" s="29">
        <f t="shared" si="15"/>
        <v>1851.0363946631312</v>
      </c>
    </row>
    <row r="52" spans="1:13">
      <c r="A52" s="33" t="s">
        <v>65</v>
      </c>
      <c r="B52" s="29">
        <f>B48*B49</f>
        <v>4654.8636111150081</v>
      </c>
      <c r="C52" s="29">
        <f t="shared" ref="C52:I52" si="16">C48*C49</f>
        <v>1635.7895944044194</v>
      </c>
      <c r="D52" s="29">
        <f t="shared" si="16"/>
        <v>1781.4349981621026</v>
      </c>
      <c r="E52" s="29">
        <f t="shared" si="16"/>
        <v>1561.5537571574241</v>
      </c>
      <c r="F52" s="29">
        <f t="shared" si="16"/>
        <v>2334.0890102286749</v>
      </c>
      <c r="G52" s="29">
        <f t="shared" si="16"/>
        <v>1305.7053949350743</v>
      </c>
      <c r="H52" s="29">
        <f t="shared" si="16"/>
        <v>1628.6471384615384</v>
      </c>
      <c r="I52" s="29">
        <f t="shared" si="16"/>
        <v>1433.6327751662798</v>
      </c>
    </row>
    <row r="53" spans="1:13">
      <c r="A53" s="44" t="s">
        <v>105</v>
      </c>
      <c r="B53" s="45">
        <f>(B48+B47)*B49</f>
        <v>7580.3399414338137</v>
      </c>
      <c r="C53" s="45">
        <f t="shared" ref="C53:I53" si="17">(C48+C47)*C49</f>
        <v>3559.4360534518391</v>
      </c>
      <c r="D53" s="45">
        <f t="shared" si="17"/>
        <v>4082.9942643437298</v>
      </c>
      <c r="E53" s="45">
        <f t="shared" si="17"/>
        <v>3593.3601959384346</v>
      </c>
      <c r="F53" s="45">
        <f t="shared" si="17"/>
        <v>5304.8898767719893</v>
      </c>
      <c r="G53" s="45">
        <f t="shared" si="17"/>
        <v>3072.7903448540487</v>
      </c>
      <c r="H53" s="45">
        <f t="shared" si="17"/>
        <v>3779.9190168360442</v>
      </c>
      <c r="I53" s="45">
        <f t="shared" si="17"/>
        <v>3284.6691698294112</v>
      </c>
    </row>
    <row r="54" spans="1:13">
      <c r="A54" s="37" t="s">
        <v>47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3">
      <c r="B55" s="12"/>
      <c r="C55" s="12"/>
      <c r="D55" s="12"/>
      <c r="E55" s="12"/>
      <c r="F55" s="13"/>
      <c r="G55" s="13"/>
      <c r="H55" s="13"/>
      <c r="I55" s="13"/>
    </row>
    <row r="56" spans="1:13">
      <c r="A56" s="20" t="s">
        <v>47</v>
      </c>
      <c r="B56" s="10">
        <v>1901</v>
      </c>
      <c r="C56" s="10">
        <v>1902</v>
      </c>
      <c r="D56" s="10">
        <v>1903</v>
      </c>
      <c r="E56" s="10">
        <v>1904</v>
      </c>
      <c r="F56" s="10">
        <v>1905</v>
      </c>
      <c r="G56" s="10">
        <v>1906</v>
      </c>
      <c r="H56" s="10">
        <v>1907</v>
      </c>
      <c r="I56" s="10">
        <v>1908</v>
      </c>
    </row>
    <row r="57" spans="1:13" s="28" customFormat="1"/>
    <row r="58" spans="1:13" s="28" customFormat="1">
      <c r="A58" s="30" t="s">
        <v>52</v>
      </c>
      <c r="B58" s="34">
        <f>SUM(B59:B61)</f>
        <v>151897.0984390745</v>
      </c>
      <c r="C58" s="34">
        <f t="shared" ref="C58:I58" si="18">SUM(C59:C61)</f>
        <v>107526.01267355938</v>
      </c>
      <c r="D58" s="34">
        <f t="shared" si="18"/>
        <v>92128.066349714994</v>
      </c>
      <c r="E58" s="34">
        <f t="shared" si="18"/>
        <v>112358.73296801468</v>
      </c>
      <c r="F58" s="34">
        <f t="shared" si="18"/>
        <v>104992.61190956114</v>
      </c>
      <c r="G58" s="34">
        <f t="shared" si="18"/>
        <v>123100.40361813351</v>
      </c>
      <c r="H58" s="34">
        <f t="shared" si="18"/>
        <v>125951.18559100671</v>
      </c>
      <c r="I58" s="34">
        <f t="shared" si="18"/>
        <v>119892.88013746327</v>
      </c>
    </row>
    <row r="59" spans="1:13">
      <c r="A59" s="24" t="s">
        <v>64</v>
      </c>
      <c r="B59" s="9">
        <f>'EG calcul per equipment'!B14</f>
        <v>109971.51337663902</v>
      </c>
      <c r="C59" s="9">
        <v>70956.590142341651</v>
      </c>
      <c r="D59" s="9">
        <v>58703.604047216511</v>
      </c>
      <c r="E59" s="9">
        <v>69675.926928137065</v>
      </c>
      <c r="F59" s="9">
        <v>66635.154438476908</v>
      </c>
      <c r="G59" s="9">
        <v>75804.560359901647</v>
      </c>
      <c r="H59" s="9">
        <v>77902.136877874611</v>
      </c>
      <c r="I59" s="11">
        <v>78660.546346787974</v>
      </c>
    </row>
    <row r="60" spans="1:13">
      <c r="A60" s="24" t="s">
        <v>55</v>
      </c>
      <c r="B60" s="9">
        <f>'EG calcul per equipment'!B15</f>
        <v>35474.400000000001</v>
      </c>
      <c r="C60" s="9">
        <v>33343.829999999994</v>
      </c>
      <c r="D60" s="9">
        <v>27406.079999999998</v>
      </c>
      <c r="E60" s="9">
        <v>34339.5</v>
      </c>
      <c r="F60" s="9">
        <v>30003.48</v>
      </c>
      <c r="G60" s="9">
        <v>35341.019999999997</v>
      </c>
      <c r="H60" s="9">
        <v>35904.959999999999</v>
      </c>
      <c r="I60" s="11">
        <v>37038.689999999995</v>
      </c>
      <c r="K60" s="11"/>
    </row>
    <row r="61" spans="1:13">
      <c r="A61" s="24" t="s">
        <v>66</v>
      </c>
      <c r="B61" s="9">
        <f>'EG calcul per equipment'!B16</f>
        <v>6451.1850624354947</v>
      </c>
      <c r="C61" s="9">
        <v>3225.5925312177474</v>
      </c>
      <c r="D61" s="9">
        <v>6018.3823024984886</v>
      </c>
      <c r="E61" s="9">
        <v>8343.3060398776142</v>
      </c>
      <c r="F61" s="9">
        <v>8353.9774710842321</v>
      </c>
      <c r="G61" s="9">
        <v>11954.823258231867</v>
      </c>
      <c r="H61" s="9">
        <v>12144.088713132111</v>
      </c>
      <c r="I61" s="11">
        <v>4193.6437906753035</v>
      </c>
      <c r="J61" s="18"/>
      <c r="K61" s="15"/>
    </row>
    <row r="62" spans="1:13" s="28" customFormat="1">
      <c r="A62" s="32" t="s">
        <v>58</v>
      </c>
      <c r="B62" s="31">
        <f>SUM(B63:B64)</f>
        <v>172111.57079619501</v>
      </c>
      <c r="C62" s="31">
        <f t="shared" ref="C62:I62" si="19">SUM(C63:C64)</f>
        <v>183492.97655700432</v>
      </c>
      <c r="D62" s="31">
        <f t="shared" si="19"/>
        <v>188262.43687292314</v>
      </c>
      <c r="E62" s="31">
        <f t="shared" si="19"/>
        <v>234300.96383415279</v>
      </c>
      <c r="F62" s="31">
        <f t="shared" si="19"/>
        <v>216975.52808493987</v>
      </c>
      <c r="G62" s="31">
        <f t="shared" si="19"/>
        <v>209979.71688470419</v>
      </c>
      <c r="H62" s="31">
        <f t="shared" si="19"/>
        <v>170319.01961561508</v>
      </c>
      <c r="I62" s="31">
        <f t="shared" si="19"/>
        <v>171820.97172528077</v>
      </c>
      <c r="K62" s="2"/>
      <c r="L62" s="2"/>
    </row>
    <row r="63" spans="1:13">
      <c r="A63" s="24" t="s">
        <v>89</v>
      </c>
      <c r="B63">
        <f>'EG calcul per equipment'!B17</f>
        <v>0</v>
      </c>
      <c r="C63" s="28">
        <f>'EG calcul per equipment'!C17</f>
        <v>0</v>
      </c>
      <c r="D63" s="28">
        <f>'EG calcul per equipment'!D17</f>
        <v>0</v>
      </c>
      <c r="E63" s="28">
        <f>'EG calcul per equipment'!E17</f>
        <v>0</v>
      </c>
      <c r="F63" s="28">
        <f>'EG calcul per equipment'!F17</f>
        <v>0</v>
      </c>
      <c r="G63" s="28">
        <f>'EG calcul per equipment'!G17</f>
        <v>0</v>
      </c>
      <c r="H63" s="28">
        <f>'EG calcul per equipment'!H17</f>
        <v>0</v>
      </c>
      <c r="I63" s="28">
        <f>'EG calcul per equipment'!I17</f>
        <v>0</v>
      </c>
    </row>
    <row r="64" spans="1:13" s="38" customFormat="1">
      <c r="A64" s="24" t="s">
        <v>90</v>
      </c>
      <c r="B64" s="1">
        <f>'EG calcul per equipment'!B18+'EG calcul per equipment'!B19</f>
        <v>172111.57079619501</v>
      </c>
      <c r="C64" s="1">
        <f>'EG calcul per equipment'!C18+'EG calcul per equipment'!C19</f>
        <v>183492.97655700432</v>
      </c>
      <c r="D64" s="1">
        <f>'EG calcul per equipment'!D18+'EG calcul per equipment'!D19</f>
        <v>188262.43687292314</v>
      </c>
      <c r="E64" s="1">
        <f>'EG calcul per equipment'!E18+'EG calcul per equipment'!E19</f>
        <v>234300.96383415279</v>
      </c>
      <c r="F64" s="1">
        <f>'EG calcul per equipment'!F18+'EG calcul per equipment'!F19</f>
        <v>216975.52808493987</v>
      </c>
      <c r="G64" s="1">
        <f>'EG calcul per equipment'!G18+'EG calcul per equipment'!G19</f>
        <v>209979.71688470419</v>
      </c>
      <c r="H64" s="1">
        <f>'EG calcul per equipment'!H18+'EG calcul per equipment'!H19</f>
        <v>170319.01961561508</v>
      </c>
      <c r="I64" s="1">
        <f>'EG calcul per equipment'!I18+'EG calcul per equipment'!I19</f>
        <v>171820.97172528077</v>
      </c>
    </row>
    <row r="65" spans="1:13" s="28" customFormat="1">
      <c r="A65" s="32" t="s">
        <v>68</v>
      </c>
      <c r="B65" s="30">
        <f>SUM(B66)</f>
        <v>8000</v>
      </c>
      <c r="C65" s="30">
        <f t="shared" ref="C65:I65" si="20">SUM(C66)</f>
        <v>8000</v>
      </c>
      <c r="D65" s="30">
        <f t="shared" si="20"/>
        <v>8000</v>
      </c>
      <c r="E65" s="30">
        <f t="shared" si="20"/>
        <v>8000</v>
      </c>
      <c r="F65" s="30">
        <f t="shared" si="20"/>
        <v>8000</v>
      </c>
      <c r="G65" s="30">
        <f t="shared" si="20"/>
        <v>8000</v>
      </c>
      <c r="H65" s="30">
        <f t="shared" si="20"/>
        <v>8000</v>
      </c>
      <c r="I65" s="30">
        <f t="shared" si="20"/>
        <v>8000</v>
      </c>
    </row>
    <row r="66" spans="1:13">
      <c r="A66" s="24" t="s">
        <v>92</v>
      </c>
      <c r="B66">
        <f>20*400</f>
        <v>8000</v>
      </c>
      <c r="C66" s="38">
        <f t="shared" ref="C66:I66" si="21">20*400</f>
        <v>8000</v>
      </c>
      <c r="D66" s="38">
        <f t="shared" si="21"/>
        <v>8000</v>
      </c>
      <c r="E66" s="38">
        <f t="shared" si="21"/>
        <v>8000</v>
      </c>
      <c r="F66" s="38">
        <f t="shared" si="21"/>
        <v>8000</v>
      </c>
      <c r="G66" s="38">
        <f t="shared" si="21"/>
        <v>8000</v>
      </c>
      <c r="H66" s="38">
        <f t="shared" si="21"/>
        <v>8000</v>
      </c>
      <c r="I66" s="38">
        <f t="shared" si="21"/>
        <v>8000</v>
      </c>
    </row>
    <row r="67" spans="1:13" s="22" customFormat="1">
      <c r="B67" s="23"/>
      <c r="C67" s="23"/>
      <c r="D67" s="23"/>
      <c r="E67" s="23"/>
      <c r="F67" s="23"/>
      <c r="G67" s="23"/>
      <c r="H67" s="23"/>
      <c r="I67" s="23"/>
    </row>
    <row r="69" spans="1:13" s="22" customFormat="1">
      <c r="A69" s="25" t="s">
        <v>69</v>
      </c>
      <c r="B69" s="9">
        <v>82390</v>
      </c>
      <c r="C69" s="9">
        <v>82240</v>
      </c>
      <c r="D69" s="9">
        <v>65767</v>
      </c>
      <c r="E69" s="9">
        <v>77182</v>
      </c>
      <c r="F69" s="9">
        <v>73851</v>
      </c>
      <c r="G69" s="9">
        <v>84998</v>
      </c>
      <c r="H69" s="9">
        <v>86876</v>
      </c>
      <c r="I69" s="9">
        <v>93827</v>
      </c>
    </row>
    <row r="70" spans="1:13" s="28" customFormat="1">
      <c r="A70" s="26" t="s">
        <v>60</v>
      </c>
      <c r="B70" s="27">
        <f>B58/B69</f>
        <v>1.8436351309512622</v>
      </c>
      <c r="C70" s="27">
        <f t="shared" ref="C70:I70" si="22">C58/C69</f>
        <v>1.3074661074119573</v>
      </c>
      <c r="D70" s="27">
        <f t="shared" si="22"/>
        <v>1.4008251303802057</v>
      </c>
      <c r="E70" s="27">
        <f t="shared" si="22"/>
        <v>1.455763428882572</v>
      </c>
      <c r="F70" s="27">
        <f t="shared" si="22"/>
        <v>1.4216816550833589</v>
      </c>
      <c r="G70" s="27">
        <f t="shared" si="22"/>
        <v>1.4482741196043849</v>
      </c>
      <c r="H70" s="27">
        <f t="shared" si="22"/>
        <v>1.4497811316244613</v>
      </c>
      <c r="I70" s="27">
        <f t="shared" si="22"/>
        <v>1.2778078819259198</v>
      </c>
    </row>
    <row r="71" spans="1:13" s="28" customFormat="1">
      <c r="A71" s="26" t="s">
        <v>61</v>
      </c>
      <c r="B71" s="27">
        <f>B62/B69</f>
        <v>2.0889861730330743</v>
      </c>
      <c r="C71" s="27">
        <f t="shared" ref="C71:I71" si="23">C62/C69</f>
        <v>2.2311889172787489</v>
      </c>
      <c r="D71" s="27">
        <f t="shared" si="23"/>
        <v>2.8625668933191895</v>
      </c>
      <c r="E71" s="27">
        <f t="shared" si="23"/>
        <v>3.0356943825523151</v>
      </c>
      <c r="F71" s="27">
        <f t="shared" si="23"/>
        <v>2.9380174687538405</v>
      </c>
      <c r="G71" s="27">
        <f t="shared" si="23"/>
        <v>2.4704077376491704</v>
      </c>
      <c r="H71" s="27">
        <f t="shared" si="23"/>
        <v>1.9604841338875532</v>
      </c>
      <c r="I71" s="27">
        <f t="shared" si="23"/>
        <v>1.8312529626363496</v>
      </c>
    </row>
    <row r="72" spans="1:13" s="28" customFormat="1">
      <c r="A72" s="26" t="s">
        <v>70</v>
      </c>
      <c r="B72" s="9">
        <v>5322</v>
      </c>
      <c r="C72" s="9">
        <v>4768</v>
      </c>
      <c r="D72" s="9">
        <v>4154</v>
      </c>
      <c r="E72" s="9">
        <v>4266</v>
      </c>
      <c r="F72" s="9">
        <v>6196</v>
      </c>
      <c r="G72" s="9">
        <v>3900</v>
      </c>
      <c r="H72" s="9">
        <v>5104</v>
      </c>
      <c r="I72" s="9">
        <v>4500</v>
      </c>
      <c r="J72" s="35"/>
      <c r="K72" s="35"/>
    </row>
    <row r="73" spans="1:13" s="28" customFormat="1"/>
    <row r="74" spans="1:13" s="28" customFormat="1">
      <c r="A74" s="33" t="s">
        <v>74</v>
      </c>
      <c r="B74" s="29">
        <f>B72*B70</f>
        <v>9811.8261669226176</v>
      </c>
      <c r="C74" s="29">
        <f t="shared" ref="C74:I74" si="24">C72*C70</f>
        <v>6233.9984001402127</v>
      </c>
      <c r="D74" s="29">
        <f t="shared" si="24"/>
        <v>5819.0275915993743</v>
      </c>
      <c r="E74" s="29">
        <f t="shared" si="24"/>
        <v>6210.2867876130522</v>
      </c>
      <c r="F74" s="29">
        <f t="shared" si="24"/>
        <v>8808.739534896491</v>
      </c>
      <c r="G74" s="29">
        <f t="shared" si="24"/>
        <v>5648.269066457101</v>
      </c>
      <c r="H74" s="29">
        <f t="shared" si="24"/>
        <v>7399.682895811251</v>
      </c>
      <c r="I74" s="29">
        <f t="shared" si="24"/>
        <v>5750.1354686666391</v>
      </c>
    </row>
    <row r="75" spans="1:13" s="28" customFormat="1">
      <c r="A75" s="33" t="s">
        <v>75</v>
      </c>
      <c r="B75" s="29">
        <f>B72*B71</f>
        <v>11117.584412882021</v>
      </c>
      <c r="C75" s="29">
        <f t="shared" ref="C75:I75" si="25">C72*C71</f>
        <v>10638.308757585075</v>
      </c>
      <c r="D75" s="29">
        <f t="shared" si="25"/>
        <v>11891.102874847913</v>
      </c>
      <c r="E75" s="29">
        <f t="shared" si="25"/>
        <v>12950.272235968176</v>
      </c>
      <c r="F75" s="29">
        <f t="shared" si="25"/>
        <v>18203.956236398797</v>
      </c>
      <c r="G75" s="29">
        <f t="shared" si="25"/>
        <v>9634.5901768317653</v>
      </c>
      <c r="H75" s="29">
        <f t="shared" si="25"/>
        <v>10006.311019362071</v>
      </c>
      <c r="I75" s="29">
        <f t="shared" si="25"/>
        <v>8240.6383318635726</v>
      </c>
    </row>
    <row r="76" spans="1:13">
      <c r="A76" s="33" t="s">
        <v>67</v>
      </c>
      <c r="B76" s="29">
        <f>B65</f>
        <v>8000</v>
      </c>
      <c r="C76" s="29">
        <f t="shared" ref="C76:I76" si="26">C65</f>
        <v>8000</v>
      </c>
      <c r="D76" s="29">
        <f t="shared" si="26"/>
        <v>8000</v>
      </c>
      <c r="E76" s="29">
        <f t="shared" si="26"/>
        <v>8000</v>
      </c>
      <c r="F76" s="29">
        <f t="shared" si="26"/>
        <v>8000</v>
      </c>
      <c r="G76" s="29">
        <f t="shared" si="26"/>
        <v>8000</v>
      </c>
      <c r="H76" s="29">
        <f t="shared" si="26"/>
        <v>8000</v>
      </c>
      <c r="I76" s="29">
        <f t="shared" si="26"/>
        <v>8000</v>
      </c>
    </row>
    <row r="77" spans="1:13">
      <c r="A77" s="44" t="s">
        <v>105</v>
      </c>
      <c r="B77" s="45">
        <f>(B71+B70)*B72</f>
        <v>20929.41057980464</v>
      </c>
      <c r="C77" s="45">
        <f t="shared" ref="C77:I77" si="27">(C71+C70)*C72</f>
        <v>16872.307157725289</v>
      </c>
      <c r="D77" s="45">
        <f t="shared" si="27"/>
        <v>17710.130466447288</v>
      </c>
      <c r="E77" s="45">
        <f t="shared" si="27"/>
        <v>19160.559023581227</v>
      </c>
      <c r="F77" s="45">
        <f t="shared" si="27"/>
        <v>27012.695771295286</v>
      </c>
      <c r="G77" s="45">
        <f t="shared" si="27"/>
        <v>15282.859243288867</v>
      </c>
      <c r="H77" s="45">
        <f t="shared" si="27"/>
        <v>17405.993915173323</v>
      </c>
      <c r="I77" s="45">
        <f t="shared" si="27"/>
        <v>13990.773800530213</v>
      </c>
    </row>
    <row r="78" spans="1:13" s="35" customFormat="1">
      <c r="A78" s="37" t="s">
        <v>48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</row>
    <row r="79" spans="1:13" s="35" customFormat="1"/>
    <row r="80" spans="1:13">
      <c r="A80" s="20" t="s">
        <v>48</v>
      </c>
      <c r="B80" s="10">
        <v>1901</v>
      </c>
      <c r="C80" s="10">
        <v>1902</v>
      </c>
      <c r="D80" s="10">
        <v>1903</v>
      </c>
      <c r="E80" s="10">
        <v>1904</v>
      </c>
      <c r="F80" s="10">
        <v>1905</v>
      </c>
      <c r="G80" s="10">
        <v>1906</v>
      </c>
      <c r="H80" s="10">
        <v>1907</v>
      </c>
      <c r="I80" s="10">
        <v>1908</v>
      </c>
    </row>
    <row r="81" spans="1:12" s="35" customFormat="1">
      <c r="A81" s="20"/>
      <c r="B81" s="10"/>
      <c r="C81" s="10"/>
      <c r="D81" s="10"/>
      <c r="E81" s="10"/>
      <c r="F81" s="10"/>
      <c r="G81" s="10"/>
      <c r="H81" s="10"/>
      <c r="I81" s="10"/>
    </row>
    <row r="82" spans="1:12" s="35" customFormat="1">
      <c r="A82" s="30" t="s">
        <v>52</v>
      </c>
      <c r="B82" s="34">
        <f>SUM(B83:B85)</f>
        <v>14984.480716296952</v>
      </c>
      <c r="C82" s="34">
        <f t="shared" ref="C82:I82" si="28">SUM(C83:C85)</f>
        <v>9797.4401288651552</v>
      </c>
      <c r="D82" s="34">
        <f t="shared" si="28"/>
        <v>10138.467364217471</v>
      </c>
      <c r="E82" s="34">
        <f t="shared" si="28"/>
        <v>8646.2226167873814</v>
      </c>
      <c r="F82" s="34">
        <f t="shared" si="28"/>
        <v>14605.455178967524</v>
      </c>
      <c r="G82" s="34">
        <f t="shared" si="28"/>
        <v>10124.255985041702</v>
      </c>
      <c r="H82" s="34">
        <f t="shared" si="28"/>
        <v>12148.1325388402</v>
      </c>
      <c r="I82" s="34">
        <f t="shared" si="28"/>
        <v>8899.5672415417466</v>
      </c>
    </row>
    <row r="83" spans="1:12">
      <c r="A83" s="24" t="s">
        <v>64</v>
      </c>
      <c r="B83" s="9">
        <f>'EG calcul per equipment'!B25</f>
        <v>12223.020716296953</v>
      </c>
      <c r="C83" s="9">
        <v>7298.7101288651547</v>
      </c>
      <c r="D83" s="9">
        <v>7673.2773642174716</v>
      </c>
      <c r="E83" s="9">
        <v>6365.5026167873812</v>
      </c>
      <c r="F83" s="9">
        <v>11022.265178967524</v>
      </c>
      <c r="G83" s="9">
        <v>6848.5159850417022</v>
      </c>
      <c r="H83" s="9">
        <v>8760.5925388401993</v>
      </c>
      <c r="I83" s="9">
        <v>6316.9872415417476</v>
      </c>
    </row>
    <row r="84" spans="1:12">
      <c r="A84" s="24" t="s">
        <v>55</v>
      </c>
      <c r="B84" s="9">
        <f>'EG calcul per equipment'!B26</f>
        <v>2761.46</v>
      </c>
      <c r="C84" s="9">
        <v>2498.73</v>
      </c>
      <c r="D84" s="9">
        <v>2465.19</v>
      </c>
      <c r="E84" s="9">
        <v>2280.7199999999998</v>
      </c>
      <c r="F84" s="9">
        <v>3583.19</v>
      </c>
      <c r="G84" s="9">
        <v>3275.74</v>
      </c>
      <c r="H84" s="9">
        <v>3387.54</v>
      </c>
      <c r="I84" s="9">
        <v>2582.58</v>
      </c>
      <c r="K84" s="11"/>
    </row>
    <row r="85" spans="1:12">
      <c r="A85" s="24" t="s">
        <v>71</v>
      </c>
    </row>
    <row r="86" spans="1:12" s="35" customFormat="1">
      <c r="A86" s="32" t="s">
        <v>58</v>
      </c>
      <c r="B86" s="31">
        <f>SUM(B87:B88)</f>
        <v>23688.746747119094</v>
      </c>
      <c r="C86" s="31">
        <f t="shared" ref="C86:I86" si="29">SUM(C87:C88)</f>
        <v>22174.235539829591</v>
      </c>
      <c r="D86" s="31">
        <f t="shared" si="29"/>
        <v>22951.751334310025</v>
      </c>
      <c r="E86" s="31">
        <f t="shared" si="29"/>
        <v>24690.390642984225</v>
      </c>
      <c r="F86" s="31">
        <f t="shared" si="29"/>
        <v>24912.637152282852</v>
      </c>
      <c r="G86" s="31">
        <f t="shared" si="29"/>
        <v>24017.808617790499</v>
      </c>
      <c r="H86" s="31">
        <f t="shared" si="29"/>
        <v>26993.942857534868</v>
      </c>
      <c r="I86" s="31">
        <f t="shared" si="29"/>
        <v>25640.649996874796</v>
      </c>
      <c r="K86" s="2"/>
      <c r="L86" s="2"/>
    </row>
    <row r="87" spans="1:12">
      <c r="A87" s="24" t="s">
        <v>79</v>
      </c>
      <c r="B87">
        <f>'EG calcul per equipment'!B28</f>
        <v>0</v>
      </c>
      <c r="C87" s="35">
        <f>'EG calcul per equipment'!C28</f>
        <v>0</v>
      </c>
      <c r="D87" s="35">
        <f>'EG calcul per equipment'!D28</f>
        <v>0</v>
      </c>
      <c r="E87" s="35">
        <f>'EG calcul per equipment'!E28</f>
        <v>0</v>
      </c>
      <c r="F87" s="35">
        <f>'EG calcul per equipment'!F28</f>
        <v>0</v>
      </c>
      <c r="G87" s="35">
        <f>'EG calcul per equipment'!G28</f>
        <v>0</v>
      </c>
      <c r="H87" s="35">
        <f>'EG calcul per equipment'!H28</f>
        <v>0</v>
      </c>
      <c r="I87" s="35">
        <f>'EG calcul per equipment'!I28</f>
        <v>0</v>
      </c>
    </row>
    <row r="88" spans="1:12">
      <c r="A88" s="24" t="s">
        <v>78</v>
      </c>
      <c r="B88" s="1">
        <f>'EG calcul per equipment'!B29</f>
        <v>23688.746747119094</v>
      </c>
      <c r="C88" s="1">
        <f>'EG calcul per equipment'!C29</f>
        <v>22174.235539829591</v>
      </c>
      <c r="D88" s="1">
        <f>'EG calcul per equipment'!D29</f>
        <v>22951.751334310025</v>
      </c>
      <c r="E88" s="1">
        <f>'EG calcul per equipment'!E29</f>
        <v>24690.390642984225</v>
      </c>
      <c r="F88" s="1">
        <f>'EG calcul per equipment'!F29</f>
        <v>24912.637152282852</v>
      </c>
      <c r="G88" s="1">
        <f>'EG calcul per equipment'!G29</f>
        <v>24017.808617790499</v>
      </c>
      <c r="H88" s="1">
        <f>'EG calcul per equipment'!H29</f>
        <v>26993.942857534868</v>
      </c>
      <c r="I88" s="1">
        <f>'EG calcul per equipment'!I29</f>
        <v>25640.649996874796</v>
      </c>
    </row>
    <row r="89" spans="1:12" s="22" customFormat="1"/>
    <row r="90" spans="1:12" s="38" customFormat="1">
      <c r="A90" s="32" t="s">
        <v>68</v>
      </c>
      <c r="B90" s="30">
        <f>SUM(B91)</f>
        <v>8000</v>
      </c>
      <c r="C90" s="30">
        <f t="shared" ref="C90" si="30">SUM(C91)</f>
        <v>8000</v>
      </c>
      <c r="D90" s="30">
        <f t="shared" ref="D90" si="31">SUM(D91)</f>
        <v>8000</v>
      </c>
      <c r="E90" s="30">
        <f t="shared" ref="E90" si="32">SUM(E91)</f>
        <v>8000</v>
      </c>
      <c r="F90" s="30">
        <f t="shared" ref="F90" si="33">SUM(F91)</f>
        <v>8000</v>
      </c>
      <c r="G90" s="30">
        <f t="shared" ref="G90" si="34">SUM(G91)</f>
        <v>8000</v>
      </c>
      <c r="H90" s="30">
        <f t="shared" ref="H90" si="35">SUM(H91)</f>
        <v>8000</v>
      </c>
      <c r="I90" s="30">
        <f t="shared" ref="I90" si="36">SUM(I91)</f>
        <v>8000</v>
      </c>
    </row>
    <row r="91" spans="1:12" s="38" customFormat="1">
      <c r="A91" s="24" t="s">
        <v>98</v>
      </c>
      <c r="B91" s="38">
        <f>20*400</f>
        <v>8000</v>
      </c>
      <c r="C91" s="38">
        <f t="shared" ref="C91:I91" si="37">20*400</f>
        <v>8000</v>
      </c>
      <c r="D91" s="38">
        <f t="shared" si="37"/>
        <v>8000</v>
      </c>
      <c r="E91" s="38">
        <f t="shared" si="37"/>
        <v>8000</v>
      </c>
      <c r="F91" s="38">
        <f t="shared" si="37"/>
        <v>8000</v>
      </c>
      <c r="G91" s="38">
        <f t="shared" si="37"/>
        <v>8000</v>
      </c>
      <c r="H91" s="38">
        <f t="shared" si="37"/>
        <v>8000</v>
      </c>
      <c r="I91" s="38">
        <f t="shared" si="37"/>
        <v>8000</v>
      </c>
    </row>
    <row r="92" spans="1:12" s="38" customFormat="1">
      <c r="A92" s="24"/>
    </row>
    <row r="93" spans="1:12" s="22" customFormat="1">
      <c r="A93" s="25" t="s">
        <v>72</v>
      </c>
      <c r="B93" s="9">
        <v>6236</v>
      </c>
      <c r="C93" s="9">
        <v>5849</v>
      </c>
      <c r="D93" s="9">
        <v>4820</v>
      </c>
      <c r="E93" s="9">
        <v>5148</v>
      </c>
      <c r="F93" s="9">
        <v>7711</v>
      </c>
      <c r="G93" s="9">
        <v>4976</v>
      </c>
      <c r="H93" s="9">
        <v>5817</v>
      </c>
      <c r="I93" s="9">
        <v>4718</v>
      </c>
      <c r="J93" s="38"/>
      <c r="K93" s="38"/>
    </row>
    <row r="94" spans="1:12" s="35" customFormat="1">
      <c r="A94" s="26" t="s">
        <v>60</v>
      </c>
      <c r="B94" s="27">
        <f>B82/B93</f>
        <v>2.4028994092843092</v>
      </c>
      <c r="C94" s="27">
        <f t="shared" ref="C94:I94" si="38">C82/C93</f>
        <v>1.6750624258617124</v>
      </c>
      <c r="D94" s="27">
        <f t="shared" si="38"/>
        <v>2.1034164656052843</v>
      </c>
      <c r="E94" s="27">
        <f t="shared" si="38"/>
        <v>1.6795304228413717</v>
      </c>
      <c r="F94" s="27">
        <f t="shared" si="38"/>
        <v>1.8941064944841817</v>
      </c>
      <c r="G94" s="27">
        <f t="shared" si="38"/>
        <v>2.0346173603379625</v>
      </c>
      <c r="H94" s="27">
        <f t="shared" si="38"/>
        <v>2.0883844832113119</v>
      </c>
      <c r="I94" s="27">
        <f t="shared" si="38"/>
        <v>1.8863008142309763</v>
      </c>
    </row>
    <row r="95" spans="1:12" s="35" customFormat="1">
      <c r="A95" s="26" t="s">
        <v>61</v>
      </c>
      <c r="B95" s="27">
        <f>B86/B93</f>
        <v>3.7987085867734276</v>
      </c>
      <c r="C95" s="27">
        <f t="shared" ref="C95:I95" si="39">C86/C93</f>
        <v>3.7911156676063587</v>
      </c>
      <c r="D95" s="27">
        <f t="shared" si="39"/>
        <v>4.7617741357489676</v>
      </c>
      <c r="E95" s="27">
        <f t="shared" si="39"/>
        <v>4.7961131785128641</v>
      </c>
      <c r="F95" s="27">
        <f t="shared" si="39"/>
        <v>3.2307920052240764</v>
      </c>
      <c r="G95" s="27">
        <f t="shared" si="39"/>
        <v>4.826730027691017</v>
      </c>
      <c r="H95" s="27">
        <f t="shared" si="39"/>
        <v>4.6405265355913476</v>
      </c>
      <c r="I95" s="27">
        <f t="shared" si="39"/>
        <v>5.4346439162515461</v>
      </c>
    </row>
    <row r="96" spans="1:12" s="35" customFormat="1">
      <c r="A96" s="26" t="s">
        <v>73</v>
      </c>
      <c r="B96" s="9">
        <v>5322</v>
      </c>
      <c r="C96" s="9">
        <v>4768</v>
      </c>
      <c r="D96" s="9">
        <v>4154</v>
      </c>
      <c r="E96" s="9">
        <v>4266</v>
      </c>
      <c r="F96" s="9">
        <v>6196</v>
      </c>
      <c r="G96" s="9">
        <v>3900</v>
      </c>
      <c r="H96" s="9">
        <v>5104</v>
      </c>
      <c r="I96" s="9">
        <v>4500</v>
      </c>
      <c r="J96" s="9"/>
      <c r="K96" s="9"/>
    </row>
    <row r="97" spans="1:13" s="35" customFormat="1"/>
    <row r="98" spans="1:13" s="35" customFormat="1">
      <c r="A98" s="33" t="s">
        <v>100</v>
      </c>
      <c r="B98" s="29">
        <f>B96*B94</f>
        <v>12788.230656211093</v>
      </c>
      <c r="C98" s="29">
        <f>C96*C94</f>
        <v>7986.6976465086445</v>
      </c>
      <c r="D98" s="29">
        <f t="shared" ref="D98:I98" si="40">D96*D94</f>
        <v>8737.5919981243514</v>
      </c>
      <c r="E98" s="29">
        <f t="shared" si="40"/>
        <v>7164.8767838412914</v>
      </c>
      <c r="F98" s="29">
        <f t="shared" si="40"/>
        <v>11735.88383982399</v>
      </c>
      <c r="G98" s="29">
        <f t="shared" si="40"/>
        <v>7935.0077053180539</v>
      </c>
      <c r="H98" s="29">
        <f t="shared" si="40"/>
        <v>10659.114402310535</v>
      </c>
      <c r="I98" s="29">
        <f t="shared" si="40"/>
        <v>8488.3536640393941</v>
      </c>
    </row>
    <row r="99" spans="1:13" s="35" customFormat="1">
      <c r="A99" s="33" t="s">
        <v>101</v>
      </c>
      <c r="B99" s="29">
        <f>B96*B95</f>
        <v>20216.72709880818</v>
      </c>
      <c r="C99" s="29">
        <f t="shared" ref="C99:I99" si="41">C96*C95</f>
        <v>18076.03950314712</v>
      </c>
      <c r="D99" s="29">
        <f t="shared" si="41"/>
        <v>19780.409759901213</v>
      </c>
      <c r="E99" s="29">
        <f t="shared" si="41"/>
        <v>20460.218819535879</v>
      </c>
      <c r="F99" s="29">
        <f t="shared" si="41"/>
        <v>20017.987264368378</v>
      </c>
      <c r="G99" s="29">
        <f t="shared" si="41"/>
        <v>18824.247107994965</v>
      </c>
      <c r="H99" s="29">
        <f t="shared" si="41"/>
        <v>23685.24743765824</v>
      </c>
      <c r="I99" s="29">
        <f t="shared" si="41"/>
        <v>24455.897623131958</v>
      </c>
    </row>
    <row r="100" spans="1:13" s="35" customFormat="1">
      <c r="A100" s="44" t="s">
        <v>105</v>
      </c>
      <c r="B100" s="45">
        <f>(B95+B94)*B96</f>
        <v>33004.957755019277</v>
      </c>
      <c r="C100" s="45">
        <f t="shared" ref="C100:I100" si="42">(C95+C94)*C96</f>
        <v>26062.737149655761</v>
      </c>
      <c r="D100" s="45">
        <f t="shared" si="42"/>
        <v>28518.001758025563</v>
      </c>
      <c r="E100" s="45">
        <f t="shared" si="42"/>
        <v>27625.095603377169</v>
      </c>
      <c r="F100" s="45">
        <f t="shared" si="42"/>
        <v>31753.871104192367</v>
      </c>
      <c r="G100" s="45">
        <f t="shared" si="42"/>
        <v>26759.254813313022</v>
      </c>
      <c r="H100" s="45">
        <f t="shared" si="42"/>
        <v>34344.361839968769</v>
      </c>
      <c r="I100" s="45">
        <f t="shared" si="42"/>
        <v>32944.251287171348</v>
      </c>
    </row>
    <row r="101" spans="1:13">
      <c r="A101" t="s">
        <v>76</v>
      </c>
    </row>
    <row r="102" spans="1:13">
      <c r="A102" t="s">
        <v>46</v>
      </c>
    </row>
    <row r="104" spans="1:13" s="38" customFormat="1">
      <c r="A104" s="37" t="s">
        <v>49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</row>
    <row r="105" spans="1:13" s="40" customFormat="1">
      <c r="A105" s="39"/>
    </row>
    <row r="106" spans="1:13">
      <c r="A106" s="20" t="s">
        <v>49</v>
      </c>
      <c r="B106" s="10">
        <v>1901</v>
      </c>
      <c r="C106" s="10">
        <v>1902</v>
      </c>
      <c r="D106" s="10">
        <v>1903</v>
      </c>
      <c r="E106" s="10">
        <v>1904</v>
      </c>
      <c r="F106" s="10">
        <v>1905</v>
      </c>
      <c r="G106" s="10">
        <v>1906</v>
      </c>
      <c r="H106" s="10">
        <v>1907</v>
      </c>
      <c r="I106" s="10">
        <v>1908</v>
      </c>
    </row>
    <row r="107" spans="1:13" s="38" customFormat="1">
      <c r="A107" s="30" t="s">
        <v>52</v>
      </c>
      <c r="B107" s="34">
        <f>SUM(B108:B110)</f>
        <v>16978.563444250158</v>
      </c>
      <c r="C107" s="34">
        <f t="shared" ref="C107" si="43">SUM(C108:C110)</f>
        <v>14250.705949216182</v>
      </c>
      <c r="D107" s="34">
        <f t="shared" ref="D107" si="44">SUM(D108:D110)</f>
        <v>12977.332940086013</v>
      </c>
      <c r="E107" s="34">
        <f t="shared" ref="E107" si="45">SUM(E108:E110)</f>
        <v>12642.167657986727</v>
      </c>
      <c r="F107" s="34">
        <f t="shared" ref="F107" si="46">SUM(F108:F110)</f>
        <v>13785.955995789358</v>
      </c>
      <c r="G107" s="34">
        <f t="shared" ref="G107" si="47">SUM(G108:G110)</f>
        <v>16070.921522371131</v>
      </c>
      <c r="H107" s="34">
        <f t="shared" ref="H107" si="48">SUM(H108:H110)</f>
        <v>15997.22155819665</v>
      </c>
      <c r="I107" s="34">
        <f t="shared" ref="I107" si="49">SUM(I108:I110)</f>
        <v>16506.250003475838</v>
      </c>
    </row>
    <row r="108" spans="1:13">
      <c r="A108" s="24" t="s">
        <v>64</v>
      </c>
      <c r="B108" s="9">
        <f>'EG calcul per equipment'!B36</f>
        <v>10046.963444250157</v>
      </c>
      <c r="C108" s="9">
        <f>'EG calcul per equipment'!C36</f>
        <v>7034.0159492161838</v>
      </c>
      <c r="D108" s="9">
        <f>'EG calcul per equipment'!D36</f>
        <v>6682.9929400860119</v>
      </c>
      <c r="E108" s="9">
        <f>'EG calcul per equipment'!E36</f>
        <v>6152.1776579867283</v>
      </c>
      <c r="F108" s="9">
        <f>'EG calcul per equipment'!F36</f>
        <v>6792.8659957893578</v>
      </c>
      <c r="G108" s="9">
        <f>'EG calcul per equipment'!G36</f>
        <v>8049.2715223711311</v>
      </c>
      <c r="H108" s="9">
        <f>'EG calcul per equipment'!H36</f>
        <v>7863.7715581966504</v>
      </c>
      <c r="I108" s="9">
        <f>'EG calcul per equipment'!I36</f>
        <v>7947.9600034758378</v>
      </c>
      <c r="J108" s="9"/>
    </row>
    <row r="109" spans="1:13">
      <c r="A109" s="24" t="s">
        <v>55</v>
      </c>
      <c r="B109" s="9">
        <f>'EG calcul per equipment'!B37</f>
        <v>6931.5999999999995</v>
      </c>
      <c r="C109" s="9">
        <f>'EG calcul per equipment'!C37</f>
        <v>7216.69</v>
      </c>
      <c r="D109" s="9">
        <f>'EG calcul per equipment'!D37</f>
        <v>6294.34</v>
      </c>
      <c r="E109" s="9">
        <f>'EG calcul per equipment'!E37</f>
        <v>6489.99</v>
      </c>
      <c r="F109" s="9">
        <f>'EG calcul per equipment'!F37</f>
        <v>6993.09</v>
      </c>
      <c r="G109" s="9">
        <f>'EG calcul per equipment'!G37</f>
        <v>8021.65</v>
      </c>
      <c r="H109" s="9">
        <f>'EG calcul per equipment'!H37</f>
        <v>8133.45</v>
      </c>
      <c r="I109" s="9">
        <f>'EG calcul per equipment'!I37</f>
        <v>8558.2899999999991</v>
      </c>
      <c r="K109" s="11"/>
    </row>
    <row r="110" spans="1:13">
      <c r="A110" s="24" t="s">
        <v>71</v>
      </c>
    </row>
    <row r="111" spans="1:13" s="38" customFormat="1">
      <c r="A111" s="32" t="s">
        <v>58</v>
      </c>
      <c r="B111" s="31">
        <f>SUM(B112:B113)</f>
        <v>0</v>
      </c>
      <c r="C111" s="31">
        <f t="shared" ref="C111" si="50">SUM(C112:C113)</f>
        <v>0</v>
      </c>
      <c r="D111" s="31">
        <f t="shared" ref="D111" si="51">SUM(D112:D113)</f>
        <v>0</v>
      </c>
      <c r="E111" s="31">
        <f t="shared" ref="E111" si="52">SUM(E112:E113)</f>
        <v>0</v>
      </c>
      <c r="F111" s="31">
        <f t="shared" ref="F111" si="53">SUM(F112:F113)</f>
        <v>0</v>
      </c>
      <c r="G111" s="31">
        <f t="shared" ref="G111" si="54">SUM(G112:G113)</f>
        <v>0</v>
      </c>
      <c r="H111" s="31">
        <f t="shared" ref="H111" si="55">SUM(H112:H113)</f>
        <v>0</v>
      </c>
      <c r="I111" s="31">
        <f t="shared" ref="I111" si="56">SUM(I112:I113)</f>
        <v>0</v>
      </c>
      <c r="K111" s="2"/>
      <c r="L111" s="2"/>
    </row>
    <row r="112" spans="1:13">
      <c r="A112" s="24" t="s">
        <v>43</v>
      </c>
      <c r="B112">
        <f>'EG calcul per equipment'!B39</f>
        <v>0</v>
      </c>
      <c r="C112" s="38">
        <f>'EG calcul per equipment'!C39</f>
        <v>0</v>
      </c>
      <c r="D112" s="38">
        <f>'EG calcul per equipment'!D39</f>
        <v>0</v>
      </c>
      <c r="E112" s="38">
        <f>'EG calcul per equipment'!E39</f>
        <v>0</v>
      </c>
      <c r="F112" s="38">
        <f>'EG calcul per equipment'!F39</f>
        <v>0</v>
      </c>
      <c r="G112" s="38">
        <f>'EG calcul per equipment'!G39</f>
        <v>0</v>
      </c>
      <c r="H112" s="38">
        <f>'EG calcul per equipment'!H39</f>
        <v>0</v>
      </c>
      <c r="I112" s="38">
        <f>'EG calcul per equipment'!I39</f>
        <v>0</v>
      </c>
    </row>
    <row r="113" spans="1:11">
      <c r="A113" s="24" t="s">
        <v>91</v>
      </c>
      <c r="B113">
        <f>'EG calcul per equipment'!B40</f>
        <v>0</v>
      </c>
      <c r="C113" s="38">
        <f>'EG calcul per equipment'!C40</f>
        <v>0</v>
      </c>
      <c r="D113" s="38">
        <f>'EG calcul per equipment'!D40</f>
        <v>0</v>
      </c>
      <c r="E113" s="38">
        <f>'EG calcul per equipment'!E40</f>
        <v>0</v>
      </c>
      <c r="F113" s="38">
        <f>'EG calcul per equipment'!F40</f>
        <v>0</v>
      </c>
      <c r="G113" s="38">
        <f>'EG calcul per equipment'!G40</f>
        <v>0</v>
      </c>
      <c r="H113" s="38">
        <f>'EG calcul per equipment'!H40</f>
        <v>0</v>
      </c>
      <c r="I113" s="38">
        <f>'EG calcul per equipment'!I40</f>
        <v>0</v>
      </c>
    </row>
    <row r="114" spans="1:11">
      <c r="A114" s="38"/>
      <c r="B114" s="38"/>
      <c r="C114" s="38"/>
      <c r="D114" s="38"/>
      <c r="E114" s="38"/>
      <c r="F114" s="38"/>
      <c r="G114" s="38"/>
      <c r="H114" s="38"/>
      <c r="I114" s="38"/>
    </row>
    <row r="115" spans="1:11" s="22" customFormat="1">
      <c r="A115" s="25" t="s">
        <v>93</v>
      </c>
      <c r="B115" s="9">
        <v>16634</v>
      </c>
      <c r="C115" s="9">
        <v>17180</v>
      </c>
      <c r="D115" s="9">
        <v>13582</v>
      </c>
      <c r="E115" s="9">
        <v>13062</v>
      </c>
      <c r="F115" s="9">
        <v>14332</v>
      </c>
      <c r="G115" s="9">
        <v>16128</v>
      </c>
      <c r="H115" s="9">
        <v>16454</v>
      </c>
      <c r="I115" s="9">
        <v>19936</v>
      </c>
      <c r="J115" s="9">
        <v>19707</v>
      </c>
      <c r="K115" s="9">
        <v>19975</v>
      </c>
    </row>
    <row r="116" spans="1:11" s="38" customFormat="1">
      <c r="A116" s="26" t="s">
        <v>60</v>
      </c>
      <c r="B116" s="27">
        <f>B107/B115</f>
        <v>1.0207144068925189</v>
      </c>
      <c r="C116" s="27">
        <f t="shared" ref="C116" si="57">C107/C115</f>
        <v>0.82949394349337502</v>
      </c>
      <c r="D116" s="27">
        <f t="shared" ref="D116" si="58">D107/D115</f>
        <v>0.95548026359048832</v>
      </c>
      <c r="E116" s="27">
        <f t="shared" ref="E116" si="59">E107/E115</f>
        <v>0.967858494716485</v>
      </c>
      <c r="F116" s="27">
        <f t="shared" ref="F116" si="60">F107/F115</f>
        <v>0.96190036253065569</v>
      </c>
      <c r="G116" s="27">
        <f t="shared" ref="G116" si="61">G107/G115</f>
        <v>0.99646090788511477</v>
      </c>
      <c r="H116" s="27">
        <f t="shared" ref="H116" si="62">H107/H115</f>
        <v>0.9722390639477726</v>
      </c>
      <c r="I116" s="27">
        <f t="shared" ref="I116" si="63">I107/I115</f>
        <v>0.82796197850500797</v>
      </c>
    </row>
    <row r="117" spans="1:11" s="38" customFormat="1">
      <c r="A117" s="26" t="s">
        <v>61</v>
      </c>
      <c r="B117" s="27">
        <f>B111/B115</f>
        <v>0</v>
      </c>
      <c r="C117" s="27">
        <f t="shared" ref="C117:I117" si="64">C111/C115</f>
        <v>0</v>
      </c>
      <c r="D117" s="27">
        <f t="shared" si="64"/>
        <v>0</v>
      </c>
      <c r="E117" s="27">
        <f t="shared" si="64"/>
        <v>0</v>
      </c>
      <c r="F117" s="27">
        <f t="shared" si="64"/>
        <v>0</v>
      </c>
      <c r="G117" s="27">
        <f t="shared" si="64"/>
        <v>0</v>
      </c>
      <c r="H117" s="27">
        <f t="shared" si="64"/>
        <v>0</v>
      </c>
      <c r="I117" s="27">
        <f t="shared" si="64"/>
        <v>0</v>
      </c>
    </row>
    <row r="118" spans="1:11" s="38" customFormat="1">
      <c r="A118" s="26" t="s">
        <v>94</v>
      </c>
      <c r="B118" s="9">
        <v>2661</v>
      </c>
      <c r="C118" s="9">
        <v>2384</v>
      </c>
      <c r="D118" s="9">
        <v>2077</v>
      </c>
      <c r="E118" s="9">
        <v>2133</v>
      </c>
      <c r="F118" s="9">
        <v>3098</v>
      </c>
      <c r="G118" s="9">
        <v>1950</v>
      </c>
      <c r="H118" s="9">
        <v>2552</v>
      </c>
      <c r="I118" s="9">
        <v>2250</v>
      </c>
      <c r="J118" s="9">
        <v>1946</v>
      </c>
      <c r="K118" s="9">
        <v>2411</v>
      </c>
    </row>
    <row r="119" spans="1:11" s="38" customFormat="1"/>
    <row r="120" spans="1:11" s="38" customFormat="1">
      <c r="A120" s="33" t="s">
        <v>95</v>
      </c>
      <c r="B120" s="29">
        <f>B118*B116</f>
        <v>2716.1210367409926</v>
      </c>
      <c r="C120" s="29">
        <f>C118*C116</f>
        <v>1977.5135612882061</v>
      </c>
      <c r="D120" s="29">
        <f t="shared" ref="D120:I120" si="65">D118*D116</f>
        <v>1984.5325074774441</v>
      </c>
      <c r="E120" s="29">
        <f t="shared" si="65"/>
        <v>2064.4421692302626</v>
      </c>
      <c r="F120" s="29">
        <f t="shared" si="65"/>
        <v>2979.9673231199713</v>
      </c>
      <c r="G120" s="29">
        <f t="shared" si="65"/>
        <v>1943.0987703759738</v>
      </c>
      <c r="H120" s="29">
        <f t="shared" si="65"/>
        <v>2481.1540911947159</v>
      </c>
      <c r="I120" s="29">
        <f t="shared" si="65"/>
        <v>1862.9144516362678</v>
      </c>
    </row>
    <row r="121" spans="1:11" s="38" customFormat="1">
      <c r="A121" s="33" t="s">
        <v>96</v>
      </c>
      <c r="B121" s="29">
        <f>B118*B117</f>
        <v>0</v>
      </c>
      <c r="C121" s="29">
        <f t="shared" ref="C121:I121" si="66">C118*C117</f>
        <v>0</v>
      </c>
      <c r="D121" s="29">
        <f t="shared" si="66"/>
        <v>0</v>
      </c>
      <c r="E121" s="29">
        <f t="shared" si="66"/>
        <v>0</v>
      </c>
      <c r="F121" s="29">
        <f t="shared" si="66"/>
        <v>0</v>
      </c>
      <c r="G121" s="29">
        <f t="shared" si="66"/>
        <v>0</v>
      </c>
      <c r="H121" s="29">
        <f t="shared" si="66"/>
        <v>0</v>
      </c>
      <c r="I121" s="29">
        <f t="shared" si="66"/>
        <v>0</v>
      </c>
    </row>
    <row r="122" spans="1:11" s="38" customFormat="1">
      <c r="A122" s="44" t="s">
        <v>105</v>
      </c>
      <c r="B122" s="45">
        <f>(B117+B116)*B118</f>
        <v>2716.1210367409926</v>
      </c>
      <c r="C122" s="45">
        <f t="shared" ref="C122:I122" si="67">(C117+C116)*C118</f>
        <v>1977.5135612882061</v>
      </c>
      <c r="D122" s="45">
        <f t="shared" si="67"/>
        <v>1984.5325074774441</v>
      </c>
      <c r="E122" s="45">
        <f t="shared" si="67"/>
        <v>2064.4421692302626</v>
      </c>
      <c r="F122" s="45">
        <f t="shared" si="67"/>
        <v>2979.9673231199713</v>
      </c>
      <c r="G122" s="45">
        <f t="shared" si="67"/>
        <v>1943.0987703759738</v>
      </c>
      <c r="H122" s="45">
        <f t="shared" si="67"/>
        <v>2481.1540911947159</v>
      </c>
      <c r="I122" s="45">
        <f t="shared" si="67"/>
        <v>1862.9144516362678</v>
      </c>
    </row>
    <row r="123" spans="1:11">
      <c r="A123" s="38" t="s">
        <v>77</v>
      </c>
      <c r="B123" s="38"/>
      <c r="C123" s="38"/>
      <c r="D123" s="38"/>
      <c r="E123" s="38"/>
      <c r="F123" s="38"/>
      <c r="G123" s="38"/>
      <c r="H123" s="38"/>
      <c r="I123" s="3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EG calcul per equipment</vt:lpstr>
      <vt:lpstr>EG calculation CFS</vt:lpstr>
      <vt:lpstr>Feuil1!Print_Area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Matronola</dc:creator>
  <cp:lastModifiedBy>Mohammed Soliman</cp:lastModifiedBy>
  <cp:lastPrinted>2019-10-17T10:20:47Z</cp:lastPrinted>
  <dcterms:created xsi:type="dcterms:W3CDTF">2019-10-07T14:51:21Z</dcterms:created>
  <dcterms:modified xsi:type="dcterms:W3CDTF">2019-11-20T09:46:27Z</dcterms:modified>
</cp:coreProperties>
</file>