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ul\Downloads\"/>
    </mc:Choice>
  </mc:AlternateContent>
  <xr:revisionPtr revIDLastSave="0" documentId="8_{461EBE06-F04C-48DC-8DE3-61DEFEBB084B}" xr6:coauthVersionLast="47" xr6:coauthVersionMax="47" xr10:uidLastSave="{00000000-0000-0000-0000-000000000000}"/>
  <bookViews>
    <workbookView xWindow="5070" yWindow="5070" windowWidth="28800" windowHeight="15345"/>
  </bookViews>
  <sheets>
    <sheet name="goodreads_library_export (1)" sheetId="1" r:id="rId1"/>
  </sheets>
  <definedNames>
    <definedName name="_xlnm._FilterDatabase" localSheetId="0" hidden="1">'goodreads_library_export (1)'!$A$1:$X$1289</definedName>
  </definedNames>
  <calcPr calcId="0"/>
</workbook>
</file>

<file path=xl/calcChain.xml><?xml version="1.0" encoding="utf-8"?>
<calcChain xmlns="http://schemas.openxmlformats.org/spreadsheetml/2006/main">
  <c r="G474" i="1" l="1"/>
  <c r="G612" i="1"/>
  <c r="G472" i="1"/>
  <c r="G1142" i="1"/>
  <c r="G1128" i="1"/>
  <c r="G455" i="1"/>
  <c r="G452" i="1"/>
  <c r="G286" i="1"/>
  <c r="G6" i="1"/>
  <c r="F2" i="1"/>
  <c r="G2" i="1"/>
  <c r="F3" i="1"/>
  <c r="G3" i="1"/>
  <c r="F4" i="1"/>
  <c r="G4" i="1"/>
  <c r="F5" i="1"/>
  <c r="G5" i="1"/>
  <c r="F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F453" i="1"/>
  <c r="G453" i="1"/>
  <c r="F454" i="1"/>
  <c r="G454" i="1"/>
  <c r="F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F473" i="1"/>
  <c r="G473" i="1"/>
  <c r="F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F1002" i="1"/>
  <c r="G1002" i="1"/>
  <c r="F1003" i="1"/>
  <c r="G1003" i="1"/>
  <c r="F1004" i="1"/>
  <c r="G1004" i="1"/>
  <c r="F1005" i="1"/>
  <c r="G1005" i="1"/>
  <c r="F1006" i="1"/>
  <c r="G1006" i="1"/>
  <c r="F1007" i="1"/>
  <c r="G1007" i="1"/>
  <c r="F1008" i="1"/>
  <c r="G1008" i="1"/>
  <c r="F1009" i="1"/>
  <c r="G1009" i="1"/>
  <c r="F1010" i="1"/>
  <c r="G1010" i="1"/>
  <c r="F1011" i="1"/>
  <c r="G1011" i="1"/>
  <c r="F1012" i="1"/>
  <c r="G1012" i="1"/>
  <c r="F1013" i="1"/>
  <c r="G1013" i="1"/>
  <c r="F1014" i="1"/>
  <c r="G1014" i="1"/>
  <c r="F1015" i="1"/>
  <c r="G1015" i="1"/>
  <c r="F1016" i="1"/>
  <c r="G1016" i="1"/>
  <c r="F1017" i="1"/>
  <c r="G1017" i="1"/>
  <c r="F1018" i="1"/>
  <c r="G1018" i="1"/>
  <c r="F1019" i="1"/>
  <c r="G1019" i="1"/>
  <c r="F1020" i="1"/>
  <c r="G1020" i="1"/>
  <c r="F1021" i="1"/>
  <c r="G1021" i="1"/>
  <c r="F1022" i="1"/>
  <c r="G1022" i="1"/>
  <c r="F1023" i="1"/>
  <c r="G1023" i="1"/>
  <c r="F1024" i="1"/>
  <c r="G1024" i="1"/>
  <c r="F1025" i="1"/>
  <c r="G1025" i="1"/>
  <c r="F1026" i="1"/>
  <c r="G1026" i="1"/>
  <c r="F1027" i="1"/>
  <c r="G1027" i="1"/>
  <c r="F1028" i="1"/>
  <c r="G1028" i="1"/>
  <c r="F1029" i="1"/>
  <c r="G1029" i="1"/>
  <c r="F1030" i="1"/>
  <c r="G1030" i="1"/>
  <c r="F1031" i="1"/>
  <c r="G1031" i="1"/>
  <c r="F1032" i="1"/>
  <c r="G1032" i="1"/>
  <c r="F1033" i="1"/>
  <c r="G1033" i="1"/>
  <c r="F1034" i="1"/>
  <c r="G1034" i="1"/>
  <c r="F1035" i="1"/>
  <c r="G1035" i="1"/>
  <c r="F1036" i="1"/>
  <c r="G1036" i="1"/>
  <c r="F1037" i="1"/>
  <c r="G1037" i="1"/>
  <c r="F1038" i="1"/>
  <c r="G1038" i="1"/>
  <c r="F1039" i="1"/>
  <c r="G1039" i="1"/>
  <c r="F1040" i="1"/>
  <c r="G1040" i="1"/>
  <c r="F1041" i="1"/>
  <c r="G1041" i="1"/>
  <c r="F1042" i="1"/>
  <c r="G1042" i="1"/>
  <c r="F1043" i="1"/>
  <c r="G1043" i="1"/>
  <c r="F1044" i="1"/>
  <c r="G1044" i="1"/>
  <c r="F1045" i="1"/>
  <c r="G1045" i="1"/>
  <c r="F1046" i="1"/>
  <c r="G1046" i="1"/>
  <c r="F1047" i="1"/>
  <c r="G1047" i="1"/>
  <c r="F1048" i="1"/>
  <c r="G1048" i="1"/>
  <c r="F1049" i="1"/>
  <c r="G1049" i="1"/>
  <c r="F1050" i="1"/>
  <c r="G1050" i="1"/>
  <c r="F1051" i="1"/>
  <c r="G1051" i="1"/>
  <c r="F1052" i="1"/>
  <c r="G1052" i="1"/>
  <c r="F1053" i="1"/>
  <c r="G1053" i="1"/>
  <c r="F1054" i="1"/>
  <c r="G1054" i="1"/>
  <c r="F1055" i="1"/>
  <c r="G1055" i="1"/>
  <c r="F1056" i="1"/>
  <c r="G1056" i="1"/>
  <c r="F1057" i="1"/>
  <c r="G1057" i="1"/>
  <c r="F1058" i="1"/>
  <c r="G1058" i="1"/>
  <c r="F1059" i="1"/>
  <c r="G1059" i="1"/>
  <c r="F1060" i="1"/>
  <c r="G1060" i="1"/>
  <c r="F1061" i="1"/>
  <c r="G1061" i="1"/>
  <c r="F1062" i="1"/>
  <c r="G1062" i="1"/>
  <c r="F1063" i="1"/>
  <c r="G1063" i="1"/>
  <c r="F1064" i="1"/>
  <c r="G1064" i="1"/>
  <c r="F1065" i="1"/>
  <c r="G1065" i="1"/>
  <c r="F1066" i="1"/>
  <c r="G1066" i="1"/>
  <c r="F1067" i="1"/>
  <c r="G1067" i="1"/>
  <c r="F1068" i="1"/>
  <c r="G1068" i="1"/>
  <c r="F1069" i="1"/>
  <c r="G1069" i="1"/>
  <c r="F1070" i="1"/>
  <c r="G1070" i="1"/>
  <c r="F1071" i="1"/>
  <c r="G1071" i="1"/>
  <c r="F1072" i="1"/>
  <c r="G1072" i="1"/>
  <c r="F1073" i="1"/>
  <c r="G1073" i="1"/>
  <c r="F1074" i="1"/>
  <c r="G1074" i="1"/>
  <c r="F1075" i="1"/>
  <c r="G1075" i="1"/>
  <c r="F1076" i="1"/>
  <c r="G1076" i="1"/>
  <c r="F1077" i="1"/>
  <c r="G1077" i="1"/>
  <c r="F1078" i="1"/>
  <c r="G1078" i="1"/>
  <c r="F1079" i="1"/>
  <c r="G1079" i="1"/>
  <c r="F1080" i="1"/>
  <c r="G1080" i="1"/>
  <c r="F1081" i="1"/>
  <c r="G1081" i="1"/>
  <c r="F1082" i="1"/>
  <c r="G1082" i="1"/>
  <c r="F1083" i="1"/>
  <c r="G1083" i="1"/>
  <c r="F1084" i="1"/>
  <c r="G1084" i="1"/>
  <c r="F1085" i="1"/>
  <c r="G1085" i="1"/>
  <c r="F1086" i="1"/>
  <c r="G1086" i="1"/>
  <c r="F1087" i="1"/>
  <c r="G1087" i="1"/>
  <c r="F1088" i="1"/>
  <c r="G1088" i="1"/>
  <c r="F1089" i="1"/>
  <c r="G1089" i="1"/>
  <c r="F1090" i="1"/>
  <c r="G1090" i="1"/>
  <c r="F1091" i="1"/>
  <c r="G1091" i="1"/>
  <c r="F1092" i="1"/>
  <c r="G1092" i="1"/>
  <c r="F1093" i="1"/>
  <c r="G1093" i="1"/>
  <c r="F1094" i="1"/>
  <c r="G1094" i="1"/>
  <c r="F1095" i="1"/>
  <c r="G1095" i="1"/>
  <c r="F1096" i="1"/>
  <c r="G1096" i="1"/>
  <c r="F1097" i="1"/>
  <c r="G1097" i="1"/>
  <c r="F1098" i="1"/>
  <c r="G1098" i="1"/>
  <c r="F1099" i="1"/>
  <c r="G1099" i="1"/>
  <c r="F1100" i="1"/>
  <c r="G1100" i="1"/>
  <c r="F1101" i="1"/>
  <c r="G1101" i="1"/>
  <c r="F1102" i="1"/>
  <c r="G1102" i="1"/>
  <c r="F1103" i="1"/>
  <c r="G1103" i="1"/>
  <c r="F1104" i="1"/>
  <c r="G1104" i="1"/>
  <c r="F1105" i="1"/>
  <c r="G1105" i="1"/>
  <c r="F1106" i="1"/>
  <c r="G1106" i="1"/>
  <c r="F1107" i="1"/>
  <c r="G1107" i="1"/>
  <c r="F1108" i="1"/>
  <c r="G1108" i="1"/>
  <c r="F1109" i="1"/>
  <c r="G1109" i="1"/>
  <c r="F1110" i="1"/>
  <c r="G1110" i="1"/>
  <c r="F1111" i="1"/>
  <c r="G1111" i="1"/>
  <c r="F1112" i="1"/>
  <c r="G1112" i="1"/>
  <c r="F1113" i="1"/>
  <c r="G1113" i="1"/>
  <c r="F1114" i="1"/>
  <c r="G1114" i="1"/>
  <c r="F1115" i="1"/>
  <c r="G1115" i="1"/>
  <c r="F1116" i="1"/>
  <c r="G1116" i="1"/>
  <c r="F1117" i="1"/>
  <c r="G1117" i="1"/>
  <c r="F1118" i="1"/>
  <c r="G1118" i="1"/>
  <c r="F1119" i="1"/>
  <c r="G1119" i="1"/>
  <c r="F1120" i="1"/>
  <c r="G1120" i="1"/>
  <c r="F1121" i="1"/>
  <c r="G1121" i="1"/>
  <c r="F1122" i="1"/>
  <c r="G1122" i="1"/>
  <c r="F1123" i="1"/>
  <c r="G1123" i="1"/>
  <c r="F1124" i="1"/>
  <c r="G1124" i="1"/>
  <c r="F1125" i="1"/>
  <c r="G1125" i="1"/>
  <c r="F1126" i="1"/>
  <c r="G1126" i="1"/>
  <c r="F1127" i="1"/>
  <c r="G1127" i="1"/>
  <c r="F1128" i="1"/>
  <c r="F1129" i="1"/>
  <c r="G1129" i="1"/>
  <c r="F1130" i="1"/>
  <c r="G1130" i="1"/>
  <c r="F1131" i="1"/>
  <c r="G1131" i="1"/>
  <c r="F1132" i="1"/>
  <c r="G1132" i="1"/>
  <c r="F1133" i="1"/>
  <c r="G1133" i="1"/>
  <c r="F1134" i="1"/>
  <c r="G1134" i="1"/>
  <c r="F1135" i="1"/>
  <c r="G1135" i="1"/>
  <c r="F1136" i="1"/>
  <c r="G1136" i="1"/>
  <c r="F1137" i="1"/>
  <c r="G1137" i="1"/>
  <c r="F1138" i="1"/>
  <c r="G1138" i="1"/>
  <c r="F1139" i="1"/>
  <c r="G1139" i="1"/>
  <c r="F1140" i="1"/>
  <c r="G1140" i="1"/>
  <c r="F1141" i="1"/>
  <c r="G1141" i="1"/>
  <c r="F1142" i="1"/>
  <c r="F1143" i="1"/>
  <c r="G1143" i="1"/>
  <c r="F1144" i="1"/>
  <c r="G1144" i="1"/>
  <c r="F1145" i="1"/>
  <c r="G1145" i="1"/>
  <c r="F1146" i="1"/>
  <c r="G1146" i="1"/>
  <c r="F1147" i="1"/>
  <c r="G1147" i="1"/>
  <c r="F1148" i="1"/>
  <c r="G1148" i="1"/>
  <c r="F1149" i="1"/>
  <c r="G1149" i="1"/>
  <c r="F1150" i="1"/>
  <c r="G1150" i="1"/>
  <c r="F1151" i="1"/>
  <c r="G1151" i="1"/>
  <c r="F1152" i="1"/>
  <c r="G1152" i="1"/>
  <c r="F1153" i="1"/>
  <c r="G1153" i="1"/>
  <c r="F1154" i="1"/>
  <c r="G1154" i="1"/>
  <c r="F1155" i="1"/>
  <c r="G1155" i="1"/>
  <c r="F1156" i="1"/>
  <c r="G1156" i="1"/>
  <c r="F1157" i="1"/>
  <c r="G1157" i="1"/>
  <c r="F1158" i="1"/>
  <c r="G1158" i="1"/>
  <c r="F1159" i="1"/>
  <c r="G1159" i="1"/>
  <c r="F1160" i="1"/>
  <c r="G1160" i="1"/>
  <c r="F1161" i="1"/>
  <c r="G1161" i="1"/>
  <c r="F1162" i="1"/>
  <c r="G1162" i="1"/>
  <c r="F1163" i="1"/>
  <c r="G1163" i="1"/>
  <c r="F1164" i="1"/>
  <c r="G1164" i="1"/>
  <c r="F1165" i="1"/>
  <c r="G1165" i="1"/>
  <c r="F1166" i="1"/>
  <c r="G1166" i="1"/>
  <c r="F1167" i="1"/>
  <c r="G1167" i="1"/>
  <c r="F1168" i="1"/>
  <c r="G1168" i="1"/>
  <c r="F1169" i="1"/>
  <c r="G1169" i="1"/>
  <c r="F1170" i="1"/>
  <c r="G1170" i="1"/>
  <c r="F1171" i="1"/>
  <c r="G1171" i="1"/>
  <c r="F1172" i="1"/>
  <c r="G1172" i="1"/>
  <c r="F1173" i="1"/>
  <c r="G1173" i="1"/>
  <c r="F1174" i="1"/>
  <c r="G1174" i="1"/>
  <c r="F1175" i="1"/>
  <c r="G1175" i="1"/>
  <c r="F1176" i="1"/>
  <c r="G1176" i="1"/>
  <c r="F1177" i="1"/>
  <c r="G1177" i="1"/>
  <c r="F1178" i="1"/>
  <c r="G1178" i="1"/>
  <c r="F1179" i="1"/>
  <c r="G1179" i="1"/>
  <c r="F1180" i="1"/>
  <c r="G1180" i="1"/>
  <c r="F1181" i="1"/>
  <c r="G1181" i="1"/>
  <c r="F1182" i="1"/>
  <c r="G1182" i="1"/>
  <c r="F1183" i="1"/>
  <c r="G1183" i="1"/>
  <c r="F1184" i="1"/>
  <c r="G1184" i="1"/>
  <c r="F1185" i="1"/>
  <c r="G1185" i="1"/>
  <c r="F1186" i="1"/>
  <c r="G1186" i="1"/>
  <c r="F1187" i="1"/>
  <c r="G1187" i="1"/>
  <c r="F1188" i="1"/>
  <c r="G1188" i="1"/>
  <c r="F1189" i="1"/>
  <c r="G1189" i="1"/>
  <c r="F1190" i="1"/>
  <c r="G1190" i="1"/>
  <c r="F1191" i="1"/>
  <c r="G1191" i="1"/>
  <c r="F1192" i="1"/>
  <c r="G1192" i="1"/>
  <c r="F1193" i="1"/>
  <c r="G1193" i="1"/>
  <c r="F1194" i="1"/>
  <c r="G1194" i="1"/>
  <c r="F1195" i="1"/>
  <c r="G1195" i="1"/>
  <c r="F1196" i="1"/>
  <c r="G1196" i="1"/>
  <c r="F1197" i="1"/>
  <c r="G1197" i="1"/>
  <c r="F1198" i="1"/>
  <c r="G1198" i="1"/>
  <c r="F1199" i="1"/>
  <c r="G1199" i="1"/>
  <c r="F1200" i="1"/>
  <c r="G1200" i="1"/>
  <c r="F1201" i="1"/>
  <c r="G1201" i="1"/>
  <c r="F1202" i="1"/>
  <c r="G1202" i="1"/>
  <c r="F1203" i="1"/>
  <c r="G1203" i="1"/>
  <c r="F1204" i="1"/>
  <c r="G1204" i="1"/>
  <c r="F1205" i="1"/>
  <c r="G1205" i="1"/>
  <c r="F1206" i="1"/>
  <c r="G1206" i="1"/>
  <c r="F1207" i="1"/>
  <c r="G1207" i="1"/>
  <c r="F1208" i="1"/>
  <c r="G1208" i="1"/>
  <c r="F1209" i="1"/>
  <c r="G1209" i="1"/>
  <c r="F1210" i="1"/>
  <c r="G1210" i="1"/>
  <c r="F1211" i="1"/>
  <c r="G1211" i="1"/>
  <c r="F1212" i="1"/>
  <c r="G1212" i="1"/>
  <c r="F1213" i="1"/>
  <c r="G1213" i="1"/>
  <c r="F1214" i="1"/>
  <c r="G1214" i="1"/>
  <c r="F1215" i="1"/>
  <c r="G1215" i="1"/>
  <c r="F1216" i="1"/>
  <c r="G1216" i="1"/>
  <c r="F1217" i="1"/>
  <c r="G1217" i="1"/>
  <c r="F1218" i="1"/>
  <c r="G1218" i="1"/>
  <c r="F1219" i="1"/>
  <c r="G1219" i="1"/>
  <c r="F1220" i="1"/>
  <c r="G1220" i="1"/>
  <c r="F1221" i="1"/>
  <c r="G1221" i="1"/>
  <c r="F1222" i="1"/>
  <c r="G1222" i="1"/>
  <c r="F1223" i="1"/>
  <c r="G1223" i="1"/>
  <c r="F1224" i="1"/>
  <c r="G1224" i="1"/>
  <c r="F1225" i="1"/>
  <c r="G1225" i="1"/>
  <c r="F1226" i="1"/>
  <c r="G1226" i="1"/>
  <c r="F1227" i="1"/>
  <c r="G1227" i="1"/>
  <c r="F1228" i="1"/>
  <c r="G1228" i="1"/>
  <c r="F1229" i="1"/>
  <c r="G1229" i="1"/>
  <c r="F1230" i="1"/>
  <c r="G1230" i="1"/>
  <c r="F1231" i="1"/>
  <c r="G1231" i="1"/>
  <c r="F1232" i="1"/>
  <c r="G1232" i="1"/>
  <c r="F1233" i="1"/>
  <c r="G1233" i="1"/>
  <c r="F1234" i="1"/>
  <c r="G1234" i="1"/>
  <c r="F1235" i="1"/>
  <c r="G1235" i="1"/>
  <c r="F1236" i="1"/>
  <c r="G1236" i="1"/>
  <c r="F1237" i="1"/>
  <c r="G1237" i="1"/>
  <c r="F1238" i="1"/>
  <c r="G1238" i="1"/>
  <c r="F1239" i="1"/>
  <c r="G1239" i="1"/>
  <c r="F1240" i="1"/>
  <c r="G1240" i="1"/>
  <c r="F1241" i="1"/>
  <c r="G1241" i="1"/>
  <c r="F1242" i="1"/>
  <c r="G1242" i="1"/>
  <c r="F1243" i="1"/>
  <c r="G1243" i="1"/>
  <c r="F1244" i="1"/>
  <c r="G1244" i="1"/>
  <c r="F1245" i="1"/>
  <c r="G1245" i="1"/>
  <c r="F1246" i="1"/>
  <c r="G1246" i="1"/>
  <c r="F1247" i="1"/>
  <c r="G1247" i="1"/>
  <c r="F1248" i="1"/>
  <c r="G1248" i="1"/>
  <c r="F1249" i="1"/>
  <c r="G1249" i="1"/>
  <c r="F1250" i="1"/>
  <c r="G1250" i="1"/>
  <c r="F1251" i="1"/>
  <c r="G1251" i="1"/>
  <c r="F1252" i="1"/>
  <c r="G1252" i="1"/>
  <c r="F1253" i="1"/>
  <c r="G1253" i="1"/>
  <c r="F1254" i="1"/>
  <c r="G1254" i="1"/>
  <c r="F1255" i="1"/>
  <c r="G1255" i="1"/>
  <c r="F1256" i="1"/>
  <c r="G1256" i="1"/>
  <c r="F1257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F1264" i="1"/>
  <c r="G1264" i="1"/>
  <c r="F1265" i="1"/>
  <c r="G1265" i="1"/>
  <c r="F1266" i="1"/>
  <c r="G1266" i="1"/>
  <c r="F1267" i="1"/>
  <c r="G1267" i="1"/>
  <c r="F1268" i="1"/>
  <c r="G1268" i="1"/>
  <c r="F1269" i="1"/>
  <c r="G1269" i="1"/>
  <c r="F1270" i="1"/>
  <c r="G1270" i="1"/>
  <c r="F1271" i="1"/>
  <c r="G1271" i="1"/>
  <c r="F1272" i="1"/>
  <c r="G1272" i="1"/>
  <c r="F1273" i="1"/>
  <c r="G1273" i="1"/>
  <c r="F1274" i="1"/>
  <c r="G1274" i="1"/>
  <c r="F1275" i="1"/>
  <c r="G1275" i="1"/>
  <c r="F1276" i="1"/>
  <c r="G1276" i="1"/>
  <c r="F1277" i="1"/>
  <c r="G1277" i="1"/>
  <c r="F1278" i="1"/>
  <c r="G1278" i="1"/>
  <c r="F1279" i="1"/>
  <c r="G1279" i="1"/>
  <c r="F1280" i="1"/>
  <c r="G1280" i="1"/>
  <c r="F1281" i="1"/>
  <c r="G1281" i="1"/>
  <c r="F1282" i="1"/>
  <c r="G1282" i="1"/>
  <c r="F1283" i="1"/>
  <c r="G1283" i="1"/>
  <c r="F1284" i="1"/>
  <c r="G1284" i="1"/>
  <c r="F1285" i="1"/>
  <c r="G1285" i="1"/>
  <c r="F1286" i="1"/>
  <c r="G1286" i="1"/>
  <c r="F1287" i="1"/>
  <c r="G1287" i="1"/>
  <c r="F1288" i="1"/>
  <c r="G1288" i="1"/>
  <c r="F1289" i="1"/>
  <c r="G1289" i="1"/>
</calcChain>
</file>

<file path=xl/sharedStrings.xml><?xml version="1.0" encoding="utf-8"?>
<sst xmlns="http://schemas.openxmlformats.org/spreadsheetml/2006/main" count="8624" uniqueCount="2774">
  <si>
    <t>Book Id</t>
  </si>
  <si>
    <t>Title</t>
  </si>
  <si>
    <t>Author</t>
  </si>
  <si>
    <t>Author l-f</t>
  </si>
  <si>
    <t>Additional Authors</t>
  </si>
  <si>
    <t>ISBN</t>
  </si>
  <si>
    <t>ISBN13</t>
  </si>
  <si>
    <t>My Rating</t>
  </si>
  <si>
    <t>Average Rating</t>
  </si>
  <si>
    <t>Publisher</t>
  </si>
  <si>
    <t>Binding</t>
  </si>
  <si>
    <t>Number of Pages</t>
  </si>
  <si>
    <t>Year Published</t>
  </si>
  <si>
    <t>Original Publication Year</t>
  </si>
  <si>
    <t>Date Read</t>
  </si>
  <si>
    <t>Date Added</t>
  </si>
  <si>
    <t>Bookshelves</t>
  </si>
  <si>
    <t>Bookshelves with positions</t>
  </si>
  <si>
    <t>Exclusive Shelf</t>
  </si>
  <si>
    <t>My Review</t>
  </si>
  <si>
    <t>Spoiler</t>
  </si>
  <si>
    <t>Private Notes</t>
  </si>
  <si>
    <t>Read Count</t>
  </si>
  <si>
    <t>Owned Copies</t>
  </si>
  <si>
    <t>One Piece, Volume 49: Nightmare Luffy</t>
  </si>
  <si>
    <t>Eiichiro Oda</t>
  </si>
  <si>
    <t>Oda, Eiichiro</t>
  </si>
  <si>
    <t>VIZ Media LLC</t>
  </si>
  <si>
    <t>Paperback</t>
  </si>
  <si>
    <t>read</t>
  </si>
  <si>
    <t>Story: Substance, Structure, Style, and the Principles of Screenwriting</t>
  </si>
  <si>
    <t>Robert McKee</t>
  </si>
  <si>
    <t>McKee, Robert</t>
  </si>
  <si>
    <t>It Books</t>
  </si>
  <si>
    <t>Hardcover</t>
  </si>
  <si>
    <t>to-read</t>
  </si>
  <si>
    <t>to-read (#307)</t>
  </si>
  <si>
    <t>One Piece, Volume 51: The Eleven Supernovas</t>
  </si>
  <si>
    <t>to-read (#306)</t>
  </si>
  <si>
    <t>One Piece, Volume 50: Arriving Again</t>
  </si>
  <si>
    <t>to-read (#305)</t>
  </si>
  <si>
    <t>One Piece, Volume 48: Adventures of Oars</t>
  </si>
  <si>
    <t>One Piece, Volume 47: Cloudy, Partly Bony</t>
  </si>
  <si>
    <t>Atlas of the Heart: Mapping Meaningful Connection and the Language of Human Experience (Random House Large Print)</t>
  </si>
  <si>
    <t>BrenÃ© Brown</t>
  </si>
  <si>
    <t>Brown, BrenÃ©</t>
  </si>
  <si>
    <t>Random House Large Print Publishing</t>
  </si>
  <si>
    <t>currently-reading</t>
  </si>
  <si>
    <t>currently-reading (#2)</t>
  </si>
  <si>
    <t>One Piece, Volume 46: Adventure on Ghost Island</t>
  </si>
  <si>
    <t>ã‚¸ãƒ§ã‚¸ãƒ§ã®å¥‡å¦™ãªå†’é™º 2 è¡€ã®æ¸‡ã [JoJo no KimyÅ na BÅken] (Phantom Blood, #2)</t>
  </si>
  <si>
    <t>Hirohiko Araki</t>
  </si>
  <si>
    <t>Araki, Hirohiko</t>
  </si>
  <si>
    <t>é›†è‹±ç¤¾</t>
  </si>
  <si>
    <t>ã‚¸ãƒ§ã‚¸ãƒ§ã®å¥‡å¦™ãªå†’é™º 1 ä¾µç•¥è€…ãƒ‡ã‚£ã‚ª [JoJo no Kimyou na Bouken 1: Shinryakusha Dio] (Phantom Blood, #1)</t>
  </si>
  <si>
    <t>Shueisha</t>
  </si>
  <si>
    <t>ã‚¸ãƒ§ã‚¸ãƒ§ã®å¥‡å¦™ãªå†’é™º 3 æš—é»’ã®é¨Žå£«é” [JoJo no KimyÅ na BÅken] (Phantom Blood, #3)</t>
  </si>
  <si>
    <t>to-read (#279)</t>
  </si>
  <si>
    <t>One Piece, Volume 45: You Have My Sympathies</t>
  </si>
  <si>
    <t>One Piece, Volume 44: Let's Go Back</t>
  </si>
  <si>
    <t>One Piece, Volume 43: Legend of a Hero</t>
  </si>
  <si>
    <t>One Piece, Volume 42: Pirates vs. CP9</t>
  </si>
  <si>
    <t>One Piece, Volume 41: Declaration of War</t>
  </si>
  <si>
    <t>One Piece, Volume 40: Gear</t>
  </si>
  <si>
    <t>One Piece, Volume 39: Scramble</t>
  </si>
  <si>
    <t>One Piece, Volume 38: Rocketman!!</t>
  </si>
  <si>
    <t>One Piece, Volume 37: Tom</t>
  </si>
  <si>
    <t>One Piece, Volume 36: The Ninth Justice</t>
  </si>
  <si>
    <t>One Piece, Volume 35: Captain</t>
  </si>
  <si>
    <t>Principles of Electronic Materials and Devices</t>
  </si>
  <si>
    <t>Safa O. Kasap</t>
  </si>
  <si>
    <t>Kasap, Safa O.</t>
  </si>
  <si>
    <t>McGraw-Hill Education</t>
  </si>
  <si>
    <t>to-read (#304)</t>
  </si>
  <si>
    <t>Business Model Generation: A Handbook for Visionaries, Game Changers, and Challengers</t>
  </si>
  <si>
    <t>Alexander Osterwalder</t>
  </si>
  <si>
    <t>Osterwalder, Alexander</t>
  </si>
  <si>
    <t>Yves Pigneur, Alan Smith</t>
  </si>
  <si>
    <t>Wiley</t>
  </si>
  <si>
    <t>to-read (#303)</t>
  </si>
  <si>
    <t>Confident Data Skills: Master the Fundamentals of Working with Data and Supercharge Your Career</t>
  </si>
  <si>
    <t>Kirill Eremenko</t>
  </si>
  <si>
    <t>Eremenko, Kirill</t>
  </si>
  <si>
    <t>Kogan Page</t>
  </si>
  <si>
    <t>to-read (#302)</t>
  </si>
  <si>
    <t>The Business Book: Big Ideas Simply Explained</t>
  </si>
  <si>
    <t>Sam Atkinson</t>
  </si>
  <si>
    <t>Atkinson, Sam</t>
  </si>
  <si>
    <t>DK</t>
  </si>
  <si>
    <t>to-read (#301)</t>
  </si>
  <si>
    <t>How Business Works: A Graphic Guide to Business Success</t>
  </si>
  <si>
    <t>Georgina Palffy</t>
  </si>
  <si>
    <t>Palffy, Georgina</t>
  </si>
  <si>
    <t>to-read (#300)</t>
  </si>
  <si>
    <t>Show Your Work!: 10 Ways to Share Your Creativity and Get Discovered</t>
  </si>
  <si>
    <t>Austin Kleon</t>
  </si>
  <si>
    <t>Kleon, Austin</t>
  </si>
  <si>
    <t>Workman Publishing Company</t>
  </si>
  <si>
    <t>to-read (#299)</t>
  </si>
  <si>
    <t>One Piece, Volume 34: The City of Water, Water Seven</t>
  </si>
  <si>
    <t>One Piece, Volume 33: Davy Back Fight</t>
  </si>
  <si>
    <t>A Mind That Found Itself</t>
  </si>
  <si>
    <t>Clifford Whittingham Beers</t>
  </si>
  <si>
    <t>Beers, Clifford Whittingham</t>
  </si>
  <si>
    <t>Waking Lion Press</t>
  </si>
  <si>
    <t>One Piece, Volume 32: Love Song</t>
  </si>
  <si>
    <t>One Piece, Volume 31: We'll Be Here</t>
  </si>
  <si>
    <t>One Piece, Volume 30: Capriccio</t>
  </si>
  <si>
    <t>One Piece, Volume 29: Oratorio</t>
  </si>
  <si>
    <t>One Piece, Volume 28: Wyper the Berserker</t>
  </si>
  <si>
    <t>One Piece, Volume 27: Overture</t>
  </si>
  <si>
    <t>One Piece, Volume 26: Adventure on Kami's Island</t>
  </si>
  <si>
    <t>Ù†Ù‡Ø§ÙŠØ© Ø§Ù„Ø¹Ø§Ù„Ù…: Ø£Ø´Ø±Ø§Ø· Ø§Ù„Ø³Ø§Ø¹Ø© Ø§Ù„ØµØºØ±Ù‰ ÙˆØ§Ù„ÙƒØ¨Ø±Ù‰</t>
  </si>
  <si>
    <t>Ù…Ø­Ù…Ø¯ Ø¹Ø¨Ø¯ Ø§Ù„Ø±Ø­Ù…Ù† Ø§Ù„Ø¹Ø±ÙŠÙÙŠ</t>
  </si>
  <si>
    <t>Ø§Ù„Ø¹Ø±ÙŠÙÙŠ, Ù…Ø­Ù…Ø¯ Ø¹Ø¨Ø¯ Ø§Ù„Ø±Ø­Ù…Ù†</t>
  </si>
  <si>
    <t xml:space="preserve">Ø¯Ø§Ø± Ø§Ù„ØªØ¯Ù…Ø±ÙŠØ© </t>
  </si>
  <si>
    <t>to-read (#298)</t>
  </si>
  <si>
    <t>Ø§Ù„Ø³Ø¬ÙŠÙ† ÙŠÙ‡Ø±Ø¨</t>
  </si>
  <si>
    <t>Ø®Ø§Ù„Ø¯ Ø¨Ù† Ø³Ù„ÙŠÙ…Ø§Ù† Ø§Ù„Ø¬Ø¨Ø±ÙŠÙ†</t>
  </si>
  <si>
    <t>Ø§Ù„Ø¬Ø¨Ø±ÙŠÙ†, Ø®Ø§Ù„Ø¯ Ø¨Ù† Ø³Ù„ÙŠÙ…Ø§Ù†</t>
  </si>
  <si>
    <t>Ø¯Ø§Ø± Ø§Ù„Ù‚Ø§Ø³Ù…</t>
  </si>
  <si>
    <t>to-read (#297)</t>
  </si>
  <si>
    <t>One Piece, Volume 25: The 100 Million Berry Man</t>
  </si>
  <si>
    <t>One Piece, Volume 24: People's Dreams</t>
  </si>
  <si>
    <t>One Piece, Volume 23: Vivi's Adventure</t>
  </si>
  <si>
    <t>Soul Eater, Vol. 1 (Soul Eater, #1)</t>
  </si>
  <si>
    <t>Atsushi Ohkubo</t>
  </si>
  <si>
    <t>Ohkubo, Atsushi</t>
  </si>
  <si>
    <t>Yen Press</t>
  </si>
  <si>
    <t>to-read (#296)</t>
  </si>
  <si>
    <t>One Piece, Volume 22: Hope!!</t>
  </si>
  <si>
    <t>One Piece, Volume 21: Utopia</t>
  </si>
  <si>
    <t>VIZ Media : SHONEN JUMP</t>
  </si>
  <si>
    <t>Kindle Edition</t>
  </si>
  <si>
    <t>One Piece, Volume 20: Showdown at Alubarna</t>
  </si>
  <si>
    <t>One Piece, Volume 19: Rebellion</t>
  </si>
  <si>
    <t>ã¯ã˜ã‚ã®ä¸€æ­© 68 [Hajime no Ippo 68] (The Fighting!, #68)</t>
  </si>
  <si>
    <t>Joji Morikawa</t>
  </si>
  <si>
    <t>Morikawa, Joji</t>
  </si>
  <si>
    <t>Kodansha</t>
  </si>
  <si>
    <t>to-read (#295)</t>
  </si>
  <si>
    <t>ã¯ã˜ã‚ã®ä¸€æ­© 67 [Hajime no Ippo 67] (The Fighting!, #67)</t>
  </si>
  <si>
    <t>One Piece, Volume 18: Ace Arrives</t>
  </si>
  <si>
    <t>One Piece, Volume 17: Hiriluk's Cherry Blossoms</t>
  </si>
  <si>
    <t>21st Century Boys: The Perfect Edition, Vol. 1</t>
  </si>
  <si>
    <t>Naoki Urasawa</t>
  </si>
  <si>
    <t>Urasawa, Naoki</t>
  </si>
  <si>
    <t>Takashi Nagasaki, Akemi WegmÃ¼ller</t>
  </si>
  <si>
    <t>One Piece, Volume 16: Carrying On His Will</t>
  </si>
  <si>
    <t>One Piece, Volume 15: Straight Ahead!</t>
  </si>
  <si>
    <t>One Piece, Volume 14: Instinct</t>
  </si>
  <si>
    <t>One Piece, Volume 13: It's All Right!</t>
  </si>
  <si>
    <t>20th Century Boys: The Perfect Edition, Vol. 11</t>
  </si>
  <si>
    <t>One Piece, Volume 12: The Legend Begins</t>
  </si>
  <si>
    <t>å°¾ç”°æ „ä¸€éƒŽ</t>
  </si>
  <si>
    <t>20th Century Boys: The Perfect Edition, Vol. 10</t>
  </si>
  <si>
    <t>One Piece, Volume 11: The Meanest Man in the East</t>
  </si>
  <si>
    <t>One Piece, Volume 10: OK, Let's Stand Up!</t>
  </si>
  <si>
    <t>One Piece, Volume 9: Tears</t>
  </si>
  <si>
    <t>Rhythm of War (The Stormlight Archive, #4)</t>
  </si>
  <si>
    <t>Brandon Sanderson</t>
  </si>
  <si>
    <t>Sanderson, Brandon</t>
  </si>
  <si>
    <t>Tor Books</t>
  </si>
  <si>
    <t>currently-reading (#1)</t>
  </si>
  <si>
    <t>One Piece, Volume 8: I Won't Die</t>
  </si>
  <si>
    <t>One Piece, Volume 7: The Crap-Geezer</t>
  </si>
  <si>
    <t>One Piece, Volume 6: The Oath</t>
  </si>
  <si>
    <t>One Piece, Volume 5: For Whom the Bell Tolls</t>
  </si>
  <si>
    <t>One Piece, Volume 4: The Black Cat Pirates</t>
  </si>
  <si>
    <t>20th Century Boys: The Perfect Edition, Vol. 9</t>
  </si>
  <si>
    <t>One Piece, Volume 3: Don't Get Fooled Again</t>
  </si>
  <si>
    <t>Ø§Ù„Ø´Ø®ØµÙŠØ© Ø§Ù„Ù‚ÙˆÙŠØ©</t>
  </si>
  <si>
    <t>ÙŠØ§Ø³Ø± Ø¨Ù† Ø¨Ø¯Ø± Ø§Ù„Ø­Ø²ÙŠÙ…ÙŠ</t>
  </si>
  <si>
    <t>Ø§Ù„Ø­Ø²ÙŠÙ…ÙŠ, ÙŠØ§Ø³Ø± Ø¨Ù† Ø¨Ø¯Ø±</t>
  </si>
  <si>
    <t>Ø¯Ø§Ø± Ù‚Ø±Ø·Ø¨Ø© Ù„Ù„Ù†Ø´Ø± Ùˆ Ø§Ù„ØªÙˆØ²ÙŠØ¹</t>
  </si>
  <si>
    <t>to-read (#294)</t>
  </si>
  <si>
    <t>Marriage Ain't for Punks: A No-Nonsense Guide to Building a Lasting Relationship</t>
  </si>
  <si>
    <t>Calvin Roberson</t>
  </si>
  <si>
    <t>Roberson, Calvin</t>
  </si>
  <si>
    <t>FaithWords</t>
  </si>
  <si>
    <t>to-read (#293)</t>
  </si>
  <si>
    <t>One Piece, Volume 2: Buggy the Clown</t>
  </si>
  <si>
    <t>Jason Thompson, Andy Nakatani</t>
  </si>
  <si>
    <t>One Piece, Volume 1: Romance Dawn (One Piece, #1)</t>
  </si>
  <si>
    <t>Andy Nakatani</t>
  </si>
  <si>
    <t>The Breaker New Waves, Vol 20</t>
  </si>
  <si>
    <t>Jeon Geuk-Jin</t>
  </si>
  <si>
    <t>Geuk-Jin, Jeon</t>
  </si>
  <si>
    <t>Park Jin-Hwan</t>
  </si>
  <si>
    <t>The Breaker New Waves, Vol 19</t>
  </si>
  <si>
    <t>The Breaker New Waves, Vol 18</t>
  </si>
  <si>
    <t>The Breaker New Waves, Vol 17</t>
  </si>
  <si>
    <t>The Lost Metal (Mistborn, #7)</t>
  </si>
  <si>
    <t>to-read (#292)</t>
  </si>
  <si>
    <t>Ulysses</t>
  </si>
  <si>
    <t>James Joyce</t>
  </si>
  <si>
    <t>Joyce, James</t>
  </si>
  <si>
    <t>Morris L. Ernst, John M. Woolsey</t>
  </si>
  <si>
    <t>Vintage</t>
  </si>
  <si>
    <t>to-read (#291)</t>
  </si>
  <si>
    <t>The Breaker New Waves, Vol 16</t>
  </si>
  <si>
    <t>The Breaker New Waves, Vol 15</t>
  </si>
  <si>
    <t>The Autobiography Of Malcolm X</t>
  </si>
  <si>
    <t>Malcolm X</t>
  </si>
  <si>
    <t>X, Malcolm</t>
  </si>
  <si>
    <t>Alex Haley</t>
  </si>
  <si>
    <t>Ballantine Books/Random House, Inc.</t>
  </si>
  <si>
    <t>Mass Market Paperback</t>
  </si>
  <si>
    <t>The Breaker New Waves, Vol 14</t>
  </si>
  <si>
    <t>The Breaker New Waves, Vol 13</t>
  </si>
  <si>
    <t xml:space="preserve">Daum.net </t>
  </si>
  <si>
    <t>The Breaker New Waves, Vol 12</t>
  </si>
  <si>
    <t>m&amp;c!</t>
  </si>
  <si>
    <t>The Breaker New Waves, Vol 11</t>
  </si>
  <si>
    <t>The Breaker New Waves, Vol 10</t>
  </si>
  <si>
    <t>20th Century Boys: The Perfect Edition, Vol. 8</t>
  </si>
  <si>
    <t>The Breaker New Waves, Vol 9</t>
  </si>
  <si>
    <t>The Breaker New Waves, Vol 8</t>
  </si>
  <si>
    <t>The Breaker New Waves, Vol 7</t>
  </si>
  <si>
    <t>The Breaker New Waves, Vol 6</t>
  </si>
  <si>
    <t>Dae Wonssiayi</t>
  </si>
  <si>
    <t>The Breaker New Waves, Vol 5</t>
  </si>
  <si>
    <t>The Breaker New Waves, Vol 4</t>
  </si>
  <si>
    <t>The Breaker New Waves Vol 3</t>
  </si>
  <si>
    <t>The Breaker New Waves Vol 2</t>
  </si>
  <si>
    <t>Why We Sleep: Unlocking the Power of Sleep and Dreams</t>
  </si>
  <si>
    <t>Matthew Walker</t>
  </si>
  <si>
    <t>Walker, Matthew</t>
  </si>
  <si>
    <t>Scribner</t>
  </si>
  <si>
    <t>The Breaker New Waves, Vol 1</t>
  </si>
  <si>
    <t>The Anatomy of Story: 22 Steps to Becoming a Master Storyteller</t>
  </si>
  <si>
    <t>John Truby</t>
  </si>
  <si>
    <t>Truby, John</t>
  </si>
  <si>
    <t>Faber &amp; Faber</t>
  </si>
  <si>
    <t>to-read (#290)</t>
  </si>
  <si>
    <t>The Art of Dramatic Writing: Its Basis in the Creative Interpretation of Human Motives</t>
  </si>
  <si>
    <t>Lajos Egri</t>
  </si>
  <si>
    <t>Egri, Lajos</t>
  </si>
  <si>
    <t>Gilbert Miller</t>
  </si>
  <si>
    <t>Touchstone</t>
  </si>
  <si>
    <t>to-read (#289)</t>
  </si>
  <si>
    <t>Creating Character Arcs: The Masterful Author's Guide to Uniting Story Structure, Plot, and Character Development</t>
  </si>
  <si>
    <t>K.M. Weiland</t>
  </si>
  <si>
    <t>Weiland, K.M.</t>
  </si>
  <si>
    <t>PenForASword Publishing</t>
  </si>
  <si>
    <t>to-read (#288)</t>
  </si>
  <si>
    <t>The Breaker Volume 10</t>
  </si>
  <si>
    <t>The Breaker Volume 9</t>
  </si>
  <si>
    <t>Daewon C.I.</t>
  </si>
  <si>
    <t>The Breaker Volume 8</t>
  </si>
  <si>
    <t>The Science of Running: How to find your limit and train to maximize your performance</t>
  </si>
  <si>
    <t>Steve Magness</t>
  </si>
  <si>
    <t>Magness, Steve</t>
  </si>
  <si>
    <t>Origin Press</t>
  </si>
  <si>
    <t>to-read (#287)</t>
  </si>
  <si>
    <t>Mind Platter</t>
  </si>
  <si>
    <t>Najwa Zebian</t>
  </si>
  <si>
    <t>Zebian, Najwa</t>
  </si>
  <si>
    <t>Andrews McMeel Publishing</t>
  </si>
  <si>
    <t>to-read (#286)</t>
  </si>
  <si>
    <t>Anxiety: How to Calm Your Thoughts and Quieten Your Mind</t>
  </si>
  <si>
    <t>Debbi Marco</t>
  </si>
  <si>
    <t>Marco, Debbi</t>
  </si>
  <si>
    <t>to-read (#285)</t>
  </si>
  <si>
    <t>The Breaker Volume 7</t>
  </si>
  <si>
    <t>The Breaker Volume 6</t>
  </si>
  <si>
    <t>The Breaker Volume 5</t>
  </si>
  <si>
    <t>The Breaker Volume 4</t>
  </si>
  <si>
    <t>The Breaker Volume 2</t>
  </si>
  <si>
    <t>The Breaker Volume 3</t>
  </si>
  <si>
    <t>The Breaker Volume 1</t>
  </si>
  <si>
    <t>20th Century Boys: The Perfect Edition, Vol. 7</t>
  </si>
  <si>
    <t>ãƒ¯ãƒ³ãƒ‘ãƒ³ãƒžãƒ³ 25 [Wanpanman 25] (Onepunch-Man, #25)</t>
  </si>
  <si>
    <t>ONE</t>
  </si>
  <si>
    <t>ONE, ONE</t>
  </si>
  <si>
    <t>Yusuke Murata</t>
  </si>
  <si>
    <t>to-read (#284)</t>
  </si>
  <si>
    <t>ãƒ¯ãƒ³ãƒ‘ãƒ³ãƒžãƒ³ 18 [Wanpanman 18] (Onepunch-Man, #18)</t>
  </si>
  <si>
    <t>ãƒ¯ãƒ³ãƒ‘ãƒ³ãƒžãƒ³ 15 [Wanpanman 15] (Onepunch-Man, #15)</t>
  </si>
  <si>
    <t>ãƒ¯ãƒ³ãƒ‘ãƒ³ãƒžãƒ³ 16 [Wanpanman 16] (Onepunch-Man, #16)</t>
  </si>
  <si>
    <t>ãƒ¯ãƒ³ãƒ‘ãƒ³ãƒžãƒ³ 17 [Wanpanman 17] (Onepunch-Man, #17)</t>
  </si>
  <si>
    <t>ãƒ¯ãƒ³ãƒ‘ãƒ³ãƒžãƒ³ 19 [Wanpanman 19] (Onepunch-Man, #19)</t>
  </si>
  <si>
    <t>ãƒ¯ãƒ³ãƒ‘ãƒ³ãƒžãƒ³ 20 [Wanpanman 20] (Onepunch-Man, #20)</t>
  </si>
  <si>
    <t>ãƒ¯ãƒ³ãƒ‘ãƒ³ãƒžãƒ³ 21 [Wanpanman 21] (Onepunch-Man, #21)</t>
  </si>
  <si>
    <t>ãƒ¯ãƒ³ãƒ‘ãƒ³ãƒžãƒ³ 22 [Wanpanman 22] (Onepunch-Man, #22)</t>
  </si>
  <si>
    <t>ãƒ¯ãƒ³ãƒ‘ãƒ³ãƒžãƒ³ 23 [Wanpanman 23] (Onepunch-Man, #23)</t>
  </si>
  <si>
    <t>ãƒ¯ãƒ³ãƒ‘ãƒ³ãƒžãƒ³ 24 [Wanpanman 24] (ãƒ¯ãƒ³ãƒ‘ãƒ³ãƒžãƒ³ [Wanpanman], #24)</t>
  </si>
  <si>
    <t>Yusuke Murata, æ‘ç”°é›„ä»‹</t>
  </si>
  <si>
    <t>é›†è‹±ç¤¾ [ShÅ«eisha]</t>
  </si>
  <si>
    <t>ãƒ¯ãƒ³ãƒ‘ãƒ³ãƒžãƒ³ 14 [Wanpanman 14] (Onepunch-Man, #14)</t>
  </si>
  <si>
    <t>ãƒ¯ãƒ³ãƒ‘ãƒ³ãƒžãƒ³ 13 [Wanpanman 13] (Onepunch-Man, #13)</t>
  </si>
  <si>
    <t>ãƒ¯ãƒ³ãƒ‘ãƒ³ãƒžãƒ³ 12 [Wanpanman 12] (Onepunch-Man, #12)</t>
  </si>
  <si>
    <t>ãƒ¯ãƒ³ãƒ‘ãƒ³ãƒžãƒ³ 11 [Wanpanman 11] (Onepunch-Man, #11)</t>
  </si>
  <si>
    <t>ãƒ¯ãƒ³ãƒ‘ãƒ³ãƒžãƒ³ 10 [Wanpanman 10] (Onepunch-Man, #10)</t>
  </si>
  <si>
    <t>é›†è‹±ç¤¾ (Shueisha)</t>
  </si>
  <si>
    <t>Far from the Tree: Parents, Children, and the Search for Identity</t>
  </si>
  <si>
    <t>Andrew Solomon</t>
  </si>
  <si>
    <t>Solomon, Andrew</t>
  </si>
  <si>
    <t>to-read (#283)</t>
  </si>
  <si>
    <t>The Whole-Brain Child: 12 Revolutionary Strategies to Nurture Your Child's Developing Mind, Survive Everyday Parenting Struggles, and Help Your Family Thrive</t>
  </si>
  <si>
    <t>Daniel J. Siegel</t>
  </si>
  <si>
    <t>Siegel, Daniel J.</t>
  </si>
  <si>
    <t>Tina Payne Bryson</t>
  </si>
  <si>
    <t>Delacorte Press</t>
  </si>
  <si>
    <t>to-read (#282)</t>
  </si>
  <si>
    <t>Adult Children of Emotionally Immature Parents: How to Heal from Distant, Rejecting, or Self-Involved Parents</t>
  </si>
  <si>
    <t>Lindsay C. Gibson</t>
  </si>
  <si>
    <t>Gibson, Lindsay C.</t>
  </si>
  <si>
    <t>New Harbinger Publications</t>
  </si>
  <si>
    <t>to-read (#281)</t>
  </si>
  <si>
    <t>ãƒ¯ãƒ³ãƒ‘ãƒ³ãƒžãƒ³ 9 [Wanpanman 9] (Onepunch-Man, #9)</t>
  </si>
  <si>
    <t>20th Century Boys: The Perfect Edition, Vol. 6</t>
  </si>
  <si>
    <t>ãƒ¯ãƒ³ãƒ‘ãƒ³ãƒžãƒ³ 8 [Wanpanman 8] (Onepunch-Man, #8)</t>
  </si>
  <si>
    <t>Sex and Lies: True Stories of Women's Intimate Lives in the Arab World</t>
  </si>
  <si>
    <t>LeÃ¯la Slimani</t>
  </si>
  <si>
    <t>Slimani, LeÃ¯la</t>
  </si>
  <si>
    <t>Penguin</t>
  </si>
  <si>
    <t>to-read (#280)</t>
  </si>
  <si>
    <t>ãƒ¯ãƒ³ãƒ‘ãƒ³ãƒžãƒ³ 7 [Wanpanman 7] (Onepunch-Man, #7)</t>
  </si>
  <si>
    <t>ãƒ¯ãƒ³ãƒ‘ãƒ³ãƒžãƒ³ 6 [Wanpanman 6] (ãƒ¯ãƒ³ãƒ‘ãƒ³ãƒžãƒ³ [Wanpanman], #6)</t>
  </si>
  <si>
    <t>ãƒ¯ãƒ³ãƒ‘ãƒ³ãƒžãƒ³ 5 [Wanpanman 5] (ãƒ¯ãƒ³ãƒ‘ãƒ³ãƒžãƒ³ [Wanpanman], #5)</t>
  </si>
  <si>
    <t>ãƒ¯ãƒ³ãƒ‘ãƒ³ãƒžãƒ³ 4 [Wanpanman 4] (ãƒ¯ãƒ³ãƒ‘ãƒ³ãƒžãƒ³ [Wanpanman], #4)</t>
  </si>
  <si>
    <t>ãƒ¯ãƒ³ãƒ‘ãƒ³ãƒžãƒ³ 3 [Wanpanman 3] (ãƒ¯ãƒ³ãƒ‘ãƒ³ãƒžãƒ³ [Wanpanman], #3)</t>
  </si>
  <si>
    <t>ãƒ¯ãƒ³ãƒ‘ãƒ³ãƒžãƒ³ 2 [Wanpanman 2] (ãƒ¯ãƒ³ãƒ‘ãƒ³ãƒžãƒ³ [Wanpanman], #2)</t>
  </si>
  <si>
    <t>One-Punch Man, Vol. 1</t>
  </si>
  <si>
    <t>Yusuke Murata, John Werry</t>
  </si>
  <si>
    <t>SaikyÅ Densetsu Kurosawa 1</t>
  </si>
  <si>
    <t>Nobuyuki Fukumoto</t>
  </si>
  <si>
    <t>Fukumoto, Nobuyuki</t>
  </si>
  <si>
    <t>20th Century Boys: The Perfect Edition, Vol. 5</t>
  </si>
  <si>
    <t>20th Century Boys: The Perfect Edition, Vol. 4</t>
  </si>
  <si>
    <t>Dragon Ball Z, Vol. 26: Goodbye Dragon World! (Dragon Ball Z, #26)</t>
  </si>
  <si>
    <t>Akira Toriyama</t>
  </si>
  <si>
    <t>Toriyama, Akira</t>
  </si>
  <si>
    <t>VIZ Media, LLC</t>
  </si>
  <si>
    <t>Dragon Ball Z, Vol. 25: Last Hero Standing! (Dragon Ball Z, #25)</t>
  </si>
  <si>
    <t>Dragon Ball Z, Vol. 24: Hercule to the Rescue (Dragon Ball Z, #24)</t>
  </si>
  <si>
    <t>Dragon Ball Z, Vol. 23: Boo Unleashed! (Dragon Ball Z, #23)</t>
  </si>
  <si>
    <t>Dragon Ball Z, Vol. 22: Mark of the Warlock (Dragon Ball Z, #22)</t>
  </si>
  <si>
    <t>Dragon Ball Z, Vol. 21: Tournament of the Heavens (Dragon Ball Z, #21)</t>
  </si>
  <si>
    <t>Dragon Ball Z, Vol. 20: The New Generation (Dragon Ball Z, #20)</t>
  </si>
  <si>
    <t>Dragon Ball Z, Vol. 19: Death of a Warrior (Dragon Ball Z, #19)</t>
  </si>
  <si>
    <t>Dragon Ball Z, Vol. 18: Gohan vs. Cell (Dragon Ball Z, #18)</t>
  </si>
  <si>
    <t>Dragon Ball Z, Vol. 17: The Cell Game (Dragon Ball Z, #17)</t>
  </si>
  <si>
    <t>Dragon Ball Z, Vol. 16: The Room of Spirit and Time (Dragon Ball Z, #16)</t>
  </si>
  <si>
    <t>Dragon Ball Z, Vol. 15: The Terror of Cell (Dragon Ball Z, #15)</t>
  </si>
  <si>
    <t>Romances of Old Japan</t>
  </si>
  <si>
    <t>Yei Theodora Ozaki</t>
  </si>
  <si>
    <t>Ozaki, Yei Theodora</t>
  </si>
  <si>
    <t>General Books</t>
  </si>
  <si>
    <t>Ø¨Ø±Ù…Ø¬Ø© Ø²ÙˆØ¬ÙŠØ©</t>
  </si>
  <si>
    <t>Ø¹Ø´ØªØ§Ø±</t>
  </si>
  <si>
    <t>Ø¹Ø´ØªØ§Ø±, Ø¹Ø´ØªØ§Ø±</t>
  </si>
  <si>
    <t>ØªØ­Ø±Ø± : Ø£Ø­Ø¨Ø¨ Ø¹Ù…Ù„Ùƒ Ø£Ø­Ø¨Ø¨ Ø­ÙŠØ§ØªÙƒâ€Ž</t>
  </si>
  <si>
    <t>Chris Barez-Brown</t>
  </si>
  <si>
    <t>Barez-Brown, Chris</t>
  </si>
  <si>
    <t>Ø¯Ø§Ø± Ø§Ù„Ø³Ø§Ù‚ÙŠ Ù„Ù„Ù†Ø´Ø± ÙˆØ§Ù„ØªÙˆØ²ÙŠØ¹</t>
  </si>
  <si>
    <t>Ø³ÙÙŠÙ†Ø© Ù†ÙˆØ­</t>
  </si>
  <si>
    <t>Khaled Al Khamissi</t>
  </si>
  <si>
    <t>Khamissi, Khaled Al</t>
  </si>
  <si>
    <t>Ø®Ø§Ù„Ø¯ Ø§Ù„Ø®Ù…ÙŠØ³ÙŠ</t>
  </si>
  <si>
    <t>Ø¯Ø§Ø± Ø§Ù„Ø´Ø±ÙˆÙ‚</t>
  </si>
  <si>
    <t>Dragon Ball Z, Vol. 14: Rise of the Machines (Dragon Ball Z, #14)</t>
  </si>
  <si>
    <t>Dragon Ball Z, Vol. 13: The Red Ribbon Androids (Dragon Ball Z, #13)</t>
  </si>
  <si>
    <t>Dragon Ball Z, Vol. 12: Enter Trunks (Dragon Ball Z, #12)</t>
  </si>
  <si>
    <t>20th Century Boys: The Perfect Edition, Vol. 3</t>
  </si>
  <si>
    <t>20th Century Boys: The Perfect Edition, Vol. 2</t>
  </si>
  <si>
    <t>The Godfather (The Godfather, #1)</t>
  </si>
  <si>
    <t>Mario Puzo</t>
  </si>
  <si>
    <t>Puzo, Mario</t>
  </si>
  <si>
    <t>Robert Thompson, Peter Bart</t>
  </si>
  <si>
    <t>NAL</t>
  </si>
  <si>
    <t>to-read (#278)</t>
  </si>
  <si>
    <t>Friends, Lovers, and the Big Terrible Thing</t>
  </si>
  <si>
    <t>Matthew   Perry</t>
  </si>
  <si>
    <t>Perry, Matthew</t>
  </si>
  <si>
    <t>Flatiron Books</t>
  </si>
  <si>
    <t>The Trump Tapes: Bob Woodward's Twenty Interviews with President Donald Trump</t>
  </si>
  <si>
    <t>Bob Woodward</t>
  </si>
  <si>
    <t>Woodward, Bob</t>
  </si>
  <si>
    <t>Donald J. Trump</t>
  </si>
  <si>
    <t>Simon  Schuster Audio Originals</t>
  </si>
  <si>
    <t>Audiobook</t>
  </si>
  <si>
    <t>20th Century Boys. The Perfect Edition, Vol. 1</t>
  </si>
  <si>
    <t>The Forty Rules of Love</t>
  </si>
  <si>
    <t>Elif Shafak</t>
  </si>
  <si>
    <t>Shafak, Elif</t>
  </si>
  <si>
    <t>Viking</t>
  </si>
  <si>
    <t>The Ship of the Dead (Magnus Chase and the Gods of Asgard, #3)</t>
  </si>
  <si>
    <t>Rick Riordan</t>
  </si>
  <si>
    <t>Riordan, Rick</t>
  </si>
  <si>
    <t>Disney Press</t>
  </si>
  <si>
    <t>to-read (#277)</t>
  </si>
  <si>
    <t>é‹¼ã®éŒ¬é‡‘è¡“å¸« 27</t>
  </si>
  <si>
    <t>Hiromu Arakawa</t>
  </si>
  <si>
    <t>Arakawa, Hiromu</t>
  </si>
  <si>
    <t>ã‚¬ãƒ³ã‚¬ãƒ³ã‚³ãƒŸãƒƒã‚¯ã‚¹</t>
  </si>
  <si>
    <t>Fullmetal Alchemist, Vol. 26 (Fullmetal Alchemist, #26)</t>
  </si>
  <si>
    <t>Akira Watanabe</t>
  </si>
  <si>
    <t>Viz Media</t>
  </si>
  <si>
    <t>Fullmetal Alchemist, Vol. 25 (Fullmetal Alchemist, #25)</t>
  </si>
  <si>
    <t>Ù‚Ù„Ù‚ Ø§Ù„Ø£Ø³Ø¦Ù„Ø©</t>
  </si>
  <si>
    <t>Ø¹Ø¨Ø¯ Ø§Ù„Ù„Ù‡ Ø¨Ù† ØµÙ„Ø§Ø­ Ø§Ù„Ø´Ù‡Ø±ÙŠ</t>
  </si>
  <si>
    <t>Ø§Ù„Ø´Ù‡Ø±ÙŠ, Ø¹Ø¨Ø¯ Ø§Ù„Ù„Ù‡ Ø¨Ù† ØµÙ„Ø§Ø­</t>
  </si>
  <si>
    <t>Ù…Ø±ÙƒØ² ØªÙƒÙˆÙŠÙ†</t>
  </si>
  <si>
    <t>to-read (#276)</t>
  </si>
  <si>
    <t>Ø²Ù‚Ø§Ù‚ Ø§Ù„Ù…Ø¯Ù‚</t>
  </si>
  <si>
    <t>Naguib Mahfouz</t>
  </si>
  <si>
    <t>Mahfouz, Naguib</t>
  </si>
  <si>
    <t>Ù†Ø¬ÙŠØ¨ Ù…Ø­ÙÙˆØ¸</t>
  </si>
  <si>
    <t xml:space="preserve">Ù…ÙƒØªØ¨Ø© Ù…ØµØ± </t>
  </si>
  <si>
    <t>to-read (#275)</t>
  </si>
  <si>
    <t>Fullmetal Alchemist, Vol. 24 (Fullmetal Alchemist, #24)</t>
  </si>
  <si>
    <t>Fullmetal Alchemist, Vol. 23 (Fullmetal Alchemist, #23)</t>
  </si>
  <si>
    <t>Fullmetal Alchemist, Vol. 22 (Fullmetal Alchemist, #22)</t>
  </si>
  <si>
    <t>The Art of War and Other Classics of Eastern Philosophy</t>
  </si>
  <si>
    <t>Sun Tzu</t>
  </si>
  <si>
    <t>Tzu, Sun</t>
  </si>
  <si>
    <t>Lao Tzu, Confucius, Mencius</t>
  </si>
  <si>
    <t>Canterbury Classics</t>
  </si>
  <si>
    <t>Leather Bound</t>
  </si>
  <si>
    <t>to-read (#274)</t>
  </si>
  <si>
    <t>Fullmetal Alchemist, Vol. 21 (Fullmetal Alchemist, #21)</t>
  </si>
  <si>
    <t>Fullmetal Alchemist, Vol. 20 (Fullmetal Alchemist, #20)</t>
  </si>
  <si>
    <t>Fullmetal Alchemist, Vol. 19 (Fullmetal Alchemist, #19)</t>
  </si>
  <si>
    <t>Fullmetal Alchemist, Vol. 18 (Fullmetal Alchemist, #18)</t>
  </si>
  <si>
    <t>Fullmetal Alchemist, Vol. 17 (Fullmetal Alchemist, #17)</t>
  </si>
  <si>
    <t>Fullmetal Alchemist, Vol. 16 (Fullmetal Alchemist, #16)</t>
  </si>
  <si>
    <t>Fullmetal Alchemist, Vol. 15 (Fullmetal Alchemist, #15)</t>
  </si>
  <si>
    <t>Fullmetal Alchemist, Vol. 14 (Fullmetal Alchemist, #14)</t>
  </si>
  <si>
    <t>Fullmetal Alchemist, Vol. 13 (Fullmetal Alchemist, #13)</t>
  </si>
  <si>
    <t>Fullmetal Alchemist, Vol. 12 (Fullmetal Alchemist, #12)</t>
  </si>
  <si>
    <t>Fullmetal Alchemist, Vol. 11 (Fullmetal Alchemist, #11)</t>
  </si>
  <si>
    <t>Fullmetal Alchemist, Vol. 10 (Fullmetal Alchemist, #10)</t>
  </si>
  <si>
    <t>Fullmetal Alchemist, Vol. 9 (Fullmetal Alchemist, #9)</t>
  </si>
  <si>
    <t>Dragon Ball Z, Vol. 11: The Super Saiyan (Dragon Ball Z, #11)</t>
  </si>
  <si>
    <t>Dragon Ball Z, Vol. 10: Goku vs. Freeza  (Dragon Ball Z, #10)</t>
  </si>
  <si>
    <t>Dragon Ball Z, Vol. 9: The Wrath of Freeza (Dragon Ball Z, #9)</t>
  </si>
  <si>
    <t>Dragon Ball Z, Vol. 8: Goku vs. Ginyu (Dragon Ball Z, #8)</t>
  </si>
  <si>
    <t>Fullmetal Alchemist, Vol. 8 (Fullmetal Alchemist, #8)</t>
  </si>
  <si>
    <t>Fullmetal Alchemist, Vol. 7 (Fullmetal Alchemist, #7)</t>
  </si>
  <si>
    <t>Fullmetal Alchemist, Vol. 6 (Fullmetal Alchemist, #6)</t>
  </si>
  <si>
    <t>Can't Hurt Me: Master Your Mind and Defy the Odds</t>
  </si>
  <si>
    <t>David Goggins</t>
  </si>
  <si>
    <t>Goggins, David</t>
  </si>
  <si>
    <t>Lioncrest Publishing</t>
  </si>
  <si>
    <t>Fullmetal Alchemist, Vol. 5 (Fullmetal Alchemist, #5)</t>
  </si>
  <si>
    <t>Fullmetal Alchemist, Vol. 4 (Fullmetal Alchemist, #4)</t>
  </si>
  <si>
    <t>Dragon Ball Z, Vol. 7: The Ginyu Force (Dragon Ball Z, #7)</t>
  </si>
  <si>
    <t>Dragon Ball Z, Vol. 6: Battlefield Namek (Dragon Ball Z, #6)</t>
  </si>
  <si>
    <t>Save the Cat! Writes a Novel</t>
  </si>
  <si>
    <t>Jessica Brody</t>
  </si>
  <si>
    <t>Brody, Jessica</t>
  </si>
  <si>
    <t>Ten Speed Press</t>
  </si>
  <si>
    <t>to-read (#273)</t>
  </si>
  <si>
    <t>Save the Cat: The Last Book on Screenwriting You'll Ever Need</t>
  </si>
  <si>
    <t>Blake Snyder</t>
  </si>
  <si>
    <t>Snyder, Blake</t>
  </si>
  <si>
    <t>Michael Wiese Productions</t>
  </si>
  <si>
    <t>to-read (#272)</t>
  </si>
  <si>
    <t>Straight On Till Morning (Twisted Tales)</t>
  </si>
  <si>
    <t>Liz Braswell</t>
  </si>
  <si>
    <t>Braswell, Liz</t>
  </si>
  <si>
    <t>to-read (#271)</t>
  </si>
  <si>
    <t>Bird by Bird: Some Instructions on Writing and Life</t>
  </si>
  <si>
    <t>Anne Lamott</t>
  </si>
  <si>
    <t>Lamott, Anne</t>
  </si>
  <si>
    <t>Anchor</t>
  </si>
  <si>
    <t>to-read (#270)</t>
  </si>
  <si>
    <t>War Doctor: Surgery on the Front Line</t>
  </si>
  <si>
    <t>David Nott</t>
  </si>
  <si>
    <t>Nott, David</t>
  </si>
  <si>
    <t>Picador USA</t>
  </si>
  <si>
    <t>to-read (#269)</t>
  </si>
  <si>
    <t>The Chancellor: The Remarkable Odyssey of Angela Merkel</t>
  </si>
  <si>
    <t>Kati Marton</t>
  </si>
  <si>
    <t>Marton, Kati</t>
  </si>
  <si>
    <t>Simon  Schuster</t>
  </si>
  <si>
    <t>to-read (#268)</t>
  </si>
  <si>
    <t>Broken Homes (Peter Grant, #4)</t>
  </si>
  <si>
    <t>Ben Aaronovitch</t>
  </si>
  <si>
    <t>Aaronovitch, Ben</t>
  </si>
  <si>
    <t>Gollancz</t>
  </si>
  <si>
    <t>to-read (#267)</t>
  </si>
  <si>
    <t>Ready Player One</t>
  </si>
  <si>
    <t>Ernest Cline</t>
  </si>
  <si>
    <t>Cline, Ernest</t>
  </si>
  <si>
    <t>Broadway Books</t>
  </si>
  <si>
    <t>to-read (#266)</t>
  </si>
  <si>
    <t>The Nickel Boys</t>
  </si>
  <si>
    <t>Colson Whitehead</t>
  </si>
  <si>
    <t>Whitehead, Colson</t>
  </si>
  <si>
    <t>Fleet</t>
  </si>
  <si>
    <t>to-read (#265)</t>
  </si>
  <si>
    <t>The Evening and the Morning (Kingsbridge, #0)</t>
  </si>
  <si>
    <t>Ken Follett</t>
  </si>
  <si>
    <t>Follett, Ken</t>
  </si>
  <si>
    <t>Macmillan</t>
  </si>
  <si>
    <t>to-read (#264)</t>
  </si>
  <si>
    <t>The Lantern Men (Ruth Galloway, #12)</t>
  </si>
  <si>
    <t>Elly Griffiths</t>
  </si>
  <si>
    <t>Griffiths, Elly</t>
  </si>
  <si>
    <t>Quercus</t>
  </si>
  <si>
    <t>to-read (#263)</t>
  </si>
  <si>
    <t>Daughter of the Pirate King (Daughter of the Pirate King, #1)</t>
  </si>
  <si>
    <t>Tricia Levenseller</t>
  </si>
  <si>
    <t>Levenseller, Tricia</t>
  </si>
  <si>
    <t>Square Fish</t>
  </si>
  <si>
    <t>to-read (#262)</t>
  </si>
  <si>
    <t>Dance of Thieves (Dance of Thieves, #1)</t>
  </si>
  <si>
    <t>Mary E. Pearson</t>
  </si>
  <si>
    <t>Pearson, Mary E.</t>
  </si>
  <si>
    <t>to-read (#261)</t>
  </si>
  <si>
    <t>Dragon Ball Z, Vol. 5: Dragon Ball in Space (Dragon Ball Z, #5)</t>
  </si>
  <si>
    <t>Dragon Ball Z, Vol. 4: Goku vs. Vegeta (Dragon Ball Z, #4)</t>
  </si>
  <si>
    <t>Viz Communications</t>
  </si>
  <si>
    <t>Stephen King</t>
  </si>
  <si>
    <t>King, Stephen</t>
  </si>
  <si>
    <t>ì‹ ì˜ íƒ‘ 4 (Tower of God #4)</t>
  </si>
  <si>
    <t>SIU</t>
  </si>
  <si>
    <t>SIU, SIU</t>
  </si>
  <si>
    <t>YOUNG COM (ì˜ì»´)</t>
  </si>
  <si>
    <t>Dragon Ball Z, Vol. 3: Earth vs. the Saiyans (Dragon Ball Z, #3)</t>
  </si>
  <si>
    <t>Dragon Ball Z, Vol. 2: The Lord of Worlds (Dragon Ball Z, #2)</t>
  </si>
  <si>
    <t>A Higher Loyalty: Truth, Lies, and Leadership</t>
  </si>
  <si>
    <t>James Comey</t>
  </si>
  <si>
    <t>Comey, James</t>
  </si>
  <si>
    <t>What I Know for Sure</t>
  </si>
  <si>
    <t>Oprah Winfrey</t>
  </si>
  <si>
    <t>Winfrey, Oprah</t>
  </si>
  <si>
    <t>to-read (#260)</t>
  </si>
  <si>
    <t>The Twins of Auschwitz</t>
  </si>
  <si>
    <t>Eva Mozes Kor</t>
  </si>
  <si>
    <t>Kor, Eva Mozes</t>
  </si>
  <si>
    <t>Lisa Rojany Buccieri</t>
  </si>
  <si>
    <t>Monoray</t>
  </si>
  <si>
    <t>to-read (#259)</t>
  </si>
  <si>
    <t>Fatherhood: A Memoir of Loss &amp; Love</t>
  </si>
  <si>
    <t>Matthew Logelin</t>
  </si>
  <si>
    <t>Logelin, Matthew</t>
  </si>
  <si>
    <t>Grand Central Publishing</t>
  </si>
  <si>
    <t>to-read (#258)</t>
  </si>
  <si>
    <t>Radical Candor: Revised Edition</t>
  </si>
  <si>
    <t>Kim Malone Scott</t>
  </si>
  <si>
    <t>Scott, Kim Malone</t>
  </si>
  <si>
    <t>St. Martin's Press</t>
  </si>
  <si>
    <t>to-read (#257)</t>
  </si>
  <si>
    <t>Make Your Bed: Little Things That Can Change Your Life...And Maybe the World</t>
  </si>
  <si>
    <t>William H. McRaven</t>
  </si>
  <si>
    <t>McRaven, William H.</t>
  </si>
  <si>
    <t>to-read (#256)</t>
  </si>
  <si>
    <t>After the End</t>
  </si>
  <si>
    <t>Clare Mackintosh</t>
  </si>
  <si>
    <t>Mackintosh, Clare</t>
  </si>
  <si>
    <t>Sphere</t>
  </si>
  <si>
    <t>to-read (#255)</t>
  </si>
  <si>
    <t>The Soulmate Equation</t>
  </si>
  <si>
    <t>Christina Lauren</t>
  </si>
  <si>
    <t>Lauren, Christina</t>
  </si>
  <si>
    <t>Gallery Books</t>
  </si>
  <si>
    <t>to-read (#254)</t>
  </si>
  <si>
    <t>The Night Circus</t>
  </si>
  <si>
    <t>Erin Morgenstern</t>
  </si>
  <si>
    <t>Morgenstern, Erin</t>
  </si>
  <si>
    <t>Anchor Books</t>
  </si>
  <si>
    <t>to-read (#253)</t>
  </si>
  <si>
    <t>The Whisper Man</t>
  </si>
  <si>
    <t>Alex North</t>
  </si>
  <si>
    <t>North, Alex</t>
  </si>
  <si>
    <t>Celadon Books</t>
  </si>
  <si>
    <t>to-read (#252)</t>
  </si>
  <si>
    <t>The Deserter: A Novel</t>
  </si>
  <si>
    <t>Nelson DeMille</t>
  </si>
  <si>
    <t>DeMille, Nelson</t>
  </si>
  <si>
    <t>Alex DeMille</t>
  </si>
  <si>
    <t>to-read (#251)</t>
  </si>
  <si>
    <t>Girls Like Us</t>
  </si>
  <si>
    <t>Cristina Alger</t>
  </si>
  <si>
    <t>Alger, Cristina</t>
  </si>
  <si>
    <t>G.P. Putnam's Sons</t>
  </si>
  <si>
    <t>to-read (#250)</t>
  </si>
  <si>
    <t>The Silent Patient</t>
  </si>
  <si>
    <t>Alex Michaelides</t>
  </si>
  <si>
    <t>Michaelides, Alex</t>
  </si>
  <si>
    <t>Orion</t>
  </si>
  <si>
    <t>to-read (#249)</t>
  </si>
  <si>
    <t>Before the Coffee Gets Cold (Before the Coffee Gets Cold, #1)</t>
  </si>
  <si>
    <t>Toshikazu Kawaguchi</t>
  </si>
  <si>
    <t>Kawaguchi, Toshikazu</t>
  </si>
  <si>
    <t>Geoffrey Trousselot</t>
  </si>
  <si>
    <t>Picador</t>
  </si>
  <si>
    <t>to-read (#248)</t>
  </si>
  <si>
    <t>Finding Ashley</t>
  </si>
  <si>
    <t>Danielle Steel</t>
  </si>
  <si>
    <t>Steel, Danielle</t>
  </si>
  <si>
    <t>to-read (#247)</t>
  </si>
  <si>
    <t>The Lincoln Highway</t>
  </si>
  <si>
    <t>Amor Towles</t>
  </si>
  <si>
    <t>Towles, Amor</t>
  </si>
  <si>
    <t>to-read (#246)</t>
  </si>
  <si>
    <t>The Chestnut Man</t>
  </si>
  <si>
    <t>SÃ¸ren Sveistrup</t>
  </si>
  <si>
    <t>Sveistrup, SÃ¸ren</t>
  </si>
  <si>
    <t>Caroline Waight</t>
  </si>
  <si>
    <t>Harper Paperbacks</t>
  </si>
  <si>
    <t>to-read (#245)</t>
  </si>
  <si>
    <t>A Boy Made of Blocks</t>
  </si>
  <si>
    <t>Keith Stuart</t>
  </si>
  <si>
    <t>Stuart, Keith</t>
  </si>
  <si>
    <t>ebook</t>
  </si>
  <si>
    <t>to-read (#244)</t>
  </si>
  <si>
    <t>Away with the Penguins</t>
  </si>
  <si>
    <t>Hazel Prior</t>
  </si>
  <si>
    <t>Prior, Hazel</t>
  </si>
  <si>
    <t>Black Swan</t>
  </si>
  <si>
    <t>to-read (#243)</t>
  </si>
  <si>
    <t>The Architect's Apprentice</t>
  </si>
  <si>
    <t>Penguin Books</t>
  </si>
  <si>
    <t>to-read (#242)</t>
  </si>
  <si>
    <t>Honour</t>
  </si>
  <si>
    <t>to-read (#241)</t>
  </si>
  <si>
    <t>Olive, Again</t>
  </si>
  <si>
    <t>Elizabeth Strout</t>
  </si>
  <si>
    <t>Strout, Elizabeth</t>
  </si>
  <si>
    <t>to-read (#240)</t>
  </si>
  <si>
    <t>Dragon Ball Z, Vol. 1: The World's Greatest Team (Dragon Ball Z, #1)</t>
  </si>
  <si>
    <t>The Princess &amp; the Penis</t>
  </si>
  <si>
    <t>R.J. Silver</t>
  </si>
  <si>
    <t>Silver, R.J.</t>
  </si>
  <si>
    <t>Avatar The Last Airbender: The Art of the Animated Series</t>
  </si>
  <si>
    <t>Michael Dante DiMartino</t>
  </si>
  <si>
    <t>DiMartino, Michael Dante</t>
  </si>
  <si>
    <t>Bryan Konietzko</t>
  </si>
  <si>
    <t>Dark Horse Books</t>
  </si>
  <si>
    <t>to-read (#239)</t>
  </si>
  <si>
    <t>Dragon Ball, Vol. 16: Goku vs. Piccolo (Dragon Ball, #16)</t>
  </si>
  <si>
    <t>Dragon Ball, Vol. 15: The Titanic Tournament (Dragon Ball, #15)</t>
  </si>
  <si>
    <t>Dragon Ball, Vol. 14: Heaven and Earth (Dragon Ball, #14)</t>
  </si>
  <si>
    <t>Dragon Ball, Vol. 13: Piccolo Conquers the World (Dragon Ball, #13)</t>
  </si>
  <si>
    <t>Fullmetal Alchemist, Vol. 3 (Fullmetal Alchemist, #3)</t>
  </si>
  <si>
    <t>ãƒ¡ã‚¤ãƒ‰ã‚¤ãƒ³ã‚¢ãƒ“ã‚¹ 2 [Meido in Abisu 2] (Made in Abyss, #2)</t>
  </si>
  <si>
    <t>Akihito Tsukushi</t>
  </si>
  <si>
    <t>Tsukushi, Akihito</t>
  </si>
  <si>
    <t>ã¤ãã—ã‚ãã²ã¨</t>
  </si>
  <si>
    <t>ç«¹æ›¸æˆ¿</t>
  </si>
  <si>
    <t>to-read (#238)</t>
  </si>
  <si>
    <t>ãƒ¡ã‚¤ãƒ‰ã‚¤ãƒ³ã‚¢ãƒ“ã‚¹ 1 [Meido In Abisu 1] (Made in Abyss, #1)</t>
  </si>
  <si>
    <t>Dragon Ball, Vol. 12: The Demon King Piccolo (Dragon Ball, #12)</t>
  </si>
  <si>
    <t>Dragon Ball, Vol. 11: The Eyes of Tenshinhan (Dragon Ball, #11)</t>
  </si>
  <si>
    <t>Dragon Ball, Vol. 10: Return to the Tournament (Dragon Ball, #10)</t>
  </si>
  <si>
    <t>Dragon Ball, Vol. 9: Test of the All-Seeing Crone (Dragon Ball: Shonen Jump Graphic Novel)</t>
  </si>
  <si>
    <t>VIZ Media: SHONEN JUMP</t>
  </si>
  <si>
    <t>Dragon Ball, Vol. 8: Taopaipai and Master Karin (Dragon Ball, #8)</t>
  </si>
  <si>
    <t>Dragon Ball, Vol. 7: General Blue and the Pirate Treasure (Dragon Ball, #7)</t>
  </si>
  <si>
    <t>Dragon Ball, Vol. 6: Bulma Returns! (Dragon Ball, #6)</t>
  </si>
  <si>
    <t>Dragon Ball, Vol. 5: The Red Ribbon Army (Dragon Ball, #5)</t>
  </si>
  <si>
    <t>Permanent Record</t>
  </si>
  <si>
    <t>Edward Snowden</t>
  </si>
  <si>
    <t>Snowden, Edward</t>
  </si>
  <si>
    <t>Metropolitan Books</t>
  </si>
  <si>
    <t>Dragon Ball, Vol. 4: Strongest Under the Heavens (Dragon Ball, #4)</t>
  </si>
  <si>
    <t>Dragon Ball, Vol. 3: The Training of Kame-Sen'nin (Dragon Ball, #3)</t>
  </si>
  <si>
    <t>Arki 4 (Nichijou, #4)</t>
  </si>
  <si>
    <t>Keiichi Arawi</t>
  </si>
  <si>
    <t>Arawi, Keiichi</t>
  </si>
  <si>
    <t>Antti Kokkonen</t>
  </si>
  <si>
    <t>Punainen jÃ¤ttilÃ¤inen</t>
  </si>
  <si>
    <t>to-read (#237)</t>
  </si>
  <si>
    <t>Nichijou, Vol. 3</t>
  </si>
  <si>
    <t>Vertical Comics</t>
  </si>
  <si>
    <t>Fullmetal Alchemist, Vol. 2 (Fullmetal Alchemist, #2)</t>
  </si>
  <si>
    <t>Jade City (The Green Bone Saga, #1)</t>
  </si>
  <si>
    <t>Fonda Lee</t>
  </si>
  <si>
    <t>Lee, Fonda</t>
  </si>
  <si>
    <t>Orbit</t>
  </si>
  <si>
    <t>to-read (#236)</t>
  </si>
  <si>
    <t>Kings of Paradise (Ash and Sand, #1)</t>
  </si>
  <si>
    <t>Richard Nell</t>
  </si>
  <si>
    <t>Nell, Richard</t>
  </si>
  <si>
    <t>to-read (#235)</t>
  </si>
  <si>
    <t>Yotsuba&amp;!, Vol. 1 (Yotsuba&amp;!, #1)</t>
  </si>
  <si>
    <t>Kiyohiko Azuma</t>
  </si>
  <si>
    <t>Azuma, Kiyohiko</t>
  </si>
  <si>
    <t>ã‚ãšã¾ ãã‚ˆã²ã“, Amy Forsyth</t>
  </si>
  <si>
    <t>ADV Manga</t>
  </si>
  <si>
    <t>to-read (#234)</t>
  </si>
  <si>
    <t>Fullmetal Alchemist, Vol. 1 (Fullmetal Alchemist, #1)</t>
  </si>
  <si>
    <t>Nichijou, Vol. 2</t>
  </si>
  <si>
    <t>The Restaurant at the End of the Universe (Hitchhiker's Guide to the Galaxy, #2)</t>
  </si>
  <si>
    <t>Douglas Adams</t>
  </si>
  <si>
    <t>Adams, Douglas</t>
  </si>
  <si>
    <t>Del Rey</t>
  </si>
  <si>
    <t>Dragon Ball, Vol. 2: Wish Upon a Dragon (Dragon Ball, #2)</t>
  </si>
  <si>
    <t>Arki 1 (Nichijou, #1)</t>
  </si>
  <si>
    <t>ã¯ã˜ã‚ã®ä¸€æ­© 66 [Hajime no Ippo 66] (The Fighting!, #66)</t>
  </si>
  <si>
    <t>It Ends with Us (It Ends with Us, #1)</t>
  </si>
  <si>
    <t>Colleen Hoover</t>
  </si>
  <si>
    <t>Hoover, Colleen</t>
  </si>
  <si>
    <t>Atria Books</t>
  </si>
  <si>
    <t>to-read (#233)</t>
  </si>
  <si>
    <t>Consider This: Moments in My Writing Life After Which Everything Was Different</t>
  </si>
  <si>
    <t>Chuck Palahniuk</t>
  </si>
  <si>
    <t>Palahniuk, Chuck</t>
  </si>
  <si>
    <t>to-read (#232)</t>
  </si>
  <si>
    <t>í›„ë ˆìžì‹ [Bastard] - Vol. 5</t>
  </si>
  <si>
    <t>Youngchan Hwang</t>
  </si>
  <si>
    <t>Hwang, Youngchan</t>
  </si>
  <si>
    <t>Carnby Kim</t>
  </si>
  <si>
    <t>í›„ë ˆìžì‹ [Bastard] - Vol. 4</t>
  </si>
  <si>
    <t>í›„ë ˆìžì‹ [Bastard] - Vol. 3</t>
  </si>
  <si>
    <t>í›„ë ˆìžì‹ [Bastard] - Vol. 2</t>
  </si>
  <si>
    <t>Cloud Atlas</t>
  </si>
  <si>
    <t>David Mitchell</t>
  </si>
  <si>
    <t>Mitchell, David</t>
  </si>
  <si>
    <t>Random House</t>
  </si>
  <si>
    <t>to-read (#231)</t>
  </si>
  <si>
    <t>í›„ë ˆìžì‹ [Bastard] - Vol. 1</t>
  </si>
  <si>
    <t>Jurassic Park (Jurassic Park, #1)</t>
  </si>
  <si>
    <t>Michael Crichton</t>
  </si>
  <si>
    <t>Crichton, Michael</t>
  </si>
  <si>
    <t>Ballantine Books</t>
  </si>
  <si>
    <t>to-read (#230)</t>
  </si>
  <si>
    <t>Children of Memory (Children of Time, #3)</t>
  </si>
  <si>
    <t>Adrian Tchaikovsky</t>
  </si>
  <si>
    <t>Tchaikovsky, Adrian</t>
  </si>
  <si>
    <t>Pan Macmillan Tor</t>
  </si>
  <si>
    <t>to-read (#229)</t>
  </si>
  <si>
    <t>Children of Ruin (Children of Time, #2)</t>
  </si>
  <si>
    <t>Mel Hudson</t>
  </si>
  <si>
    <t>Macmillan Digital Audio</t>
  </si>
  <si>
    <t>Audible Audio</t>
  </si>
  <si>
    <t>to-read (#228)</t>
  </si>
  <si>
    <t>Children of Time (Children of Time, #1)</t>
  </si>
  <si>
    <t>PanMacmillan</t>
  </si>
  <si>
    <t>to-read (#227)</t>
  </si>
  <si>
    <t>I Am Legend</t>
  </si>
  <si>
    <t>Richard Matheson</t>
  </si>
  <si>
    <t>Matheson, Richard</t>
  </si>
  <si>
    <t xml:space="preserve"> RosettaBooks </t>
  </si>
  <si>
    <t>to-read (#226)</t>
  </si>
  <si>
    <t>Tower of God, Volume 33</t>
  </si>
  <si>
    <t>Tower of God, Volume 32</t>
  </si>
  <si>
    <t>Tower of God, Volume 31</t>
  </si>
  <si>
    <t>Tower of God, Volume 30</t>
  </si>
  <si>
    <t>Tower of God, Volume 29</t>
  </si>
  <si>
    <t>Tower of God, Volume 28</t>
  </si>
  <si>
    <t>Tower of God, Volume 27</t>
  </si>
  <si>
    <t>Tower of God, Volume 26</t>
  </si>
  <si>
    <t>Tower of God, Volume 25</t>
  </si>
  <si>
    <t>Tower of God, Volume 24</t>
  </si>
  <si>
    <t>Tower of God, Volume 23</t>
  </si>
  <si>
    <t>Tower of God, Volume 22</t>
  </si>
  <si>
    <t>Tower of God, Volume 21</t>
  </si>
  <si>
    <t>Tower of God, Volume 20</t>
  </si>
  <si>
    <t>Tower of God, Volume 19</t>
  </si>
  <si>
    <t>Tower of God, Volume 18</t>
  </si>
  <si>
    <t>Tower of God, Volume 17</t>
  </si>
  <si>
    <t>Tower of God, Volume 16</t>
  </si>
  <si>
    <t>Tower of God, Volume 15</t>
  </si>
  <si>
    <t>Tower of God, Volume 14</t>
  </si>
  <si>
    <t>Tower of God, Volume 13</t>
  </si>
  <si>
    <t>Tower of God, Volume 12</t>
  </si>
  <si>
    <t>Tower of God, Volume 11</t>
  </si>
  <si>
    <t>Tower of God, Volume 10</t>
  </si>
  <si>
    <t>Dragon Ball, Vol. 1: The Monkey King (Dragon Ball, #1)</t>
  </si>
  <si>
    <t>ì‹ ì˜ íƒ‘ (Tower of God) #9</t>
  </si>
  <si>
    <t>YOUNGCOM(ì˜ì»´)</t>
  </si>
  <si>
    <t>ì‹ ì˜ íƒ‘ 2 (Tower of God, #2)</t>
  </si>
  <si>
    <t>Tower of God, Volume 5</t>
  </si>
  <si>
    <t>YOUNG COM</t>
  </si>
  <si>
    <t>Tower of God, Volume 6</t>
  </si>
  <si>
    <t>ì‹ ì˜ íƒ‘ (Tower of God) #8</t>
  </si>
  <si>
    <t>ì‹ ì˜ íƒ‘ (Tower of God) #7</t>
  </si>
  <si>
    <t>ì‹ ì˜ íƒ‘ 3 (Tower of God, #3)</t>
  </si>
  <si>
    <t>Tower of God Volume One</t>
  </si>
  <si>
    <t>WEBTOON Unscrolled</t>
  </si>
  <si>
    <t>Ø£Ø¹ÙˆØ§Ù… Ø§Ù„Ø¸Ù„Ø§Ù…</t>
  </si>
  <si>
    <t>Ø¨Ø¯Ø± Ø§Ù„Ù…Ø·ÙŠØ±ÙŠ</t>
  </si>
  <si>
    <t>Ø§Ù„Ù…Ø·ÙŠØ±ÙŠ, Ø¨Ø¯Ø±</t>
  </si>
  <si>
    <t>Ø°Ø§Øª Ø§Ù„Ø³Ù„Ø§Ø³Ù„</t>
  </si>
  <si>
    <t>ã¯ã˜ã‚ã®ä¸€æ­© 65 [Hajime no Ippo 65] (The Fighting!, #65)</t>
  </si>
  <si>
    <t>ã¯ã˜ã‚ã®ä¸€æ­© 64 [Hajime no Ippo 64] (The Fighting!, #64)</t>
  </si>
  <si>
    <t>ã¯ã˜ã‚ã®ä¸€æ­© 63 [Hajime no Ippo 63] (The Fighting!, #63)</t>
  </si>
  <si>
    <t>ã‚¢ã‚¤ã‚¢ãƒ ã‚¢ãƒ’ãƒ¼ãƒ­ãƒ¼, Vol. 22 (I Am a Hero, #22)</t>
  </si>
  <si>
    <t>Kengo Hanazawa</t>
  </si>
  <si>
    <t>Hanazawa, Kengo</t>
  </si>
  <si>
    <t>ã‚¢ã‚¤ã‚¢ãƒ ã‚¢ãƒ’ãƒ¼ãƒ­ãƒ¼, Vol. 21 (I Am a Hero, #21)</t>
  </si>
  <si>
    <t>ã‚¢ã‚¤ã‚¢ãƒ ã‚¢ãƒ’ãƒ¼ãƒ­ãƒ¼, Vol. 20 (I Am a Hero, #20)</t>
  </si>
  <si>
    <t>å°å­¦é¤¨</t>
  </si>
  <si>
    <t>ã‚¢ã‚¤ã‚¢ãƒ ã‚¢ãƒ’ãƒ¼ãƒ­ãƒ¼, Vol. 19 (I Am a Hero, #19)</t>
  </si>
  <si>
    <t>èŠ±æ²¢å¥å¾</t>
  </si>
  <si>
    <t>ã¯ã˜ã‚ã®ä¸€æ­© 62 [Hajime no Ippo 62] (The Fighting!, #62)</t>
  </si>
  <si>
    <t>ã‚¢ã‚¤ã‚¢ãƒ ã‚¢ãƒ’ãƒ¼ãƒ­ãƒ¼, Vol. 18 (I Am a Hero, #18)</t>
  </si>
  <si>
    <t>Shogakukan</t>
  </si>
  <si>
    <t>ã‚¢ã‚¤ã‚¢ãƒ ã‚¢ãƒ’ãƒ¼ãƒ­ãƒ¼, Vol. 17 (I Am a Hero, #17)</t>
  </si>
  <si>
    <t>ã‚¢ã‚¤ã‚¢ãƒ ã‚¢ãƒ’ãƒ¼ãƒ­ãƒ¼, Vol. 16 (I Am a Hero, #16)</t>
  </si>
  <si>
    <t>ã‚¢ã‚¤ã‚¢ãƒ ã‚¢ãƒ’ãƒ¼ãƒ­ãƒ¼, Vol. 15 (I Am a Hero, #15)</t>
  </si>
  <si>
    <t>ShÅgakukan</t>
  </si>
  <si>
    <t>ã‚¢ã‚¤ã‚¢ãƒ ã‚¢ãƒ’ãƒ¼ãƒ­ãƒ¼, Vol. 14 (I Am a Hero, #14)</t>
  </si>
  <si>
    <t>ã‚¢ã‚¤ã‚¢ãƒ ã‚¢ãƒ’ãƒ¼ãƒ­ãƒ¼, Vol. 13 (I Am a Hero, #13)</t>
  </si>
  <si>
    <t>ã‚¢ã‚¤ã‚¢ãƒ ã‚¢ãƒ’ãƒ¼ãƒ­ãƒ¼, Vol. 12 (I Am a Hero, #12)</t>
  </si>
  <si>
    <t>ã‚³ãƒŸãƒƒã‚¯</t>
  </si>
  <si>
    <t>I am a Hero Vol. 11</t>
  </si>
  <si>
    <t xml:space="preserve"> Shogakukan: BIG Comics</t>
  </si>
  <si>
    <t>ã‚¢ã‚¤ã‚¢ãƒ ã‚¢ãƒ’ãƒ¼ãƒ­ãƒ¼, Vol. 10 (I Am a Hero, #10)</t>
  </si>
  <si>
    <t>ã‚¢ã‚¤ã‚¢ãƒ ã‚¢ãƒ’ãƒ¼ãƒ­ãƒ¼, Vol. 9 (I Am a Hero, #9)</t>
  </si>
  <si>
    <t>ã¯ã˜ã‚ã®ä¸€æ­© 61 [Hajime no Ippo 61] (The Fighting!, #61)</t>
  </si>
  <si>
    <t>ã¯ã˜ã‚ã®ä¸€æ­© 60 [Hajime no Ippo 60] (The Fighting!, #60)</t>
  </si>
  <si>
    <t>ã‚¢ã‚¤ã‚¢ãƒ ã‚¢ãƒ’ãƒ¼ãƒ­ãƒ¼, Vol. 8 (I Am a Hero, #8)</t>
  </si>
  <si>
    <t>å°å­¦é¤¨, Shogakukan</t>
  </si>
  <si>
    <t>ã‚¢ã‚¤ã‚¢ãƒ ã‚¢ãƒ’ãƒ¼ãƒ­ãƒ¼, Vol. 7 (I Am a Hero, #7)</t>
  </si>
  <si>
    <t>ã‚¢ã‚¤ã‚¢ãƒ ã‚¢ãƒ’ãƒ¼ãƒ­ãƒ¼, Vol. 6 (I Am a Hero, #6)</t>
  </si>
  <si>
    <t>ã‚¢ã‚¤ã‚¢ãƒ ã‚¢ãƒ’ãƒ¼ãƒ­ãƒ¼, Vol. 5 (I Am a Hero, #5)</t>
  </si>
  <si>
    <t>ã¯ã˜ã‚ã®ä¸€æ­© 59 [Hajime no Ippo 59] (The Fighting!, #59)</t>
  </si>
  <si>
    <t>ã¯ã˜ã‚ã®ä¸€æ­© 58 [Hajime no Ippo 58] (The Fighting!, #58)</t>
  </si>
  <si>
    <t>Red Dragon (Hannibal Lecter, #1)</t>
  </si>
  <si>
    <t>Thomas  Harris</t>
  </si>
  <si>
    <t>Harris, Thomas</t>
  </si>
  <si>
    <t>Dutton</t>
  </si>
  <si>
    <t>to-read (#225)</t>
  </si>
  <si>
    <t>ã‚¢ã‚¤ã‚¢ãƒ ã‚¢ãƒ’ãƒ¼ãƒ­ãƒ¼, Vol. 4 (I Am a Hero, #4)</t>
  </si>
  <si>
    <t>On Writing: A Memoir of the Craft</t>
  </si>
  <si>
    <t>Pocket Books</t>
  </si>
  <si>
    <t>ã‚¢ã‚¤ã‚¢ãƒ ã‚¢ãƒ’ãƒ¼ãƒ­ãƒ¼ 3</t>
  </si>
  <si>
    <t>å°å­¦é¤¨ / ShÅgakukan</t>
  </si>
  <si>
    <t>ã‚¢ã‚¤ã‚¢ãƒ ã‚¢ãƒ’ãƒ¼ãƒ­ãƒ¼, Vol. 2 (I Am a Hero, #2)</t>
  </si>
  <si>
    <t>ã¯ã˜ã‚ã®ä¸€æ­© 57 [Hajime no Ippo 57] (The Fighting!, #57)</t>
  </si>
  <si>
    <t>KÅdansha</t>
  </si>
  <si>
    <t>ã‚¢ã‚¤ã‚¢ãƒ ã‚¢ãƒ’ãƒ¼ãƒ­ãƒ¼, Vol. 1 (I Am a Hero, #1)</t>
  </si>
  <si>
    <t>ã¯ã˜ã‚ã®ä¸€æ­© 56 [Hajime no Ippo 56] (The Fighting!, #56)</t>
  </si>
  <si>
    <t>Death Note Special One-Shot (2020)</t>
  </si>
  <si>
    <t>Tsugumi Ohba</t>
  </si>
  <si>
    <t>Ohba, Tsugumi</t>
  </si>
  <si>
    <t>Takeshi Obata, Stephen Paul</t>
  </si>
  <si>
    <t>The Elements of Style</t>
  </si>
  <si>
    <t>William Strunk Jr.</t>
  </si>
  <si>
    <t>Jr., William Strunk</t>
  </si>
  <si>
    <t>E.B. White</t>
  </si>
  <si>
    <t>Allyn &amp; Bacon</t>
  </si>
  <si>
    <t>to-read (#224)</t>
  </si>
  <si>
    <t>ã¯ã˜ã‚ã®ä¸€æ­© 55 [Hajime no Ippo 55] (The Fighting!, #55)</t>
  </si>
  <si>
    <t>ã¯ã˜ã‚ã®ä¸€æ­© 54 [Hajime no Ippo 54] (The Fighting!, #54)</t>
  </si>
  <si>
    <t>ã¯ã˜ã‚ã®ä¸€æ­© 53 [Hajime no Ippo 53] (The Fighting!, #53)</t>
  </si>
  <si>
    <t>ã¯ã˜ã‚ã®ä¸€æ­© 52 [Hajime no Ippo 52] (The Fighting!, #52)</t>
  </si>
  <si>
    <t>Inuyashiki 10</t>
  </si>
  <si>
    <t>Hiroya Oku</t>
  </si>
  <si>
    <t>Oku, Hiroya</t>
  </si>
  <si>
    <t>Kodansha Comics</t>
  </si>
  <si>
    <t>Inuyashiki 9</t>
  </si>
  <si>
    <t>Inuyashiki 8</t>
  </si>
  <si>
    <t>Inuyashiki 7</t>
  </si>
  <si>
    <t>ã„ã¬ã‚„ã—ã 6 [Inuyashiki 6] (Inuyashiki, #6)</t>
  </si>
  <si>
    <t>è¬›è«‡ç¤¾</t>
  </si>
  <si>
    <t>Inuyashiki, Vol. 5</t>
  </si>
  <si>
    <t>Stephen Paul, Scott Brown</t>
  </si>
  <si>
    <t>Inuyashiki, Vol. 4</t>
  </si>
  <si>
    <t>Inuyashiki, Vol. 3</t>
  </si>
  <si>
    <t>Inuyashiki, Vol. 2</t>
  </si>
  <si>
    <t>Inuyashiki, Vol. 1</t>
  </si>
  <si>
    <t>ã¯ã˜ã‚ã®ä¸€æ­© 51 [Hajime no Ippo 51] (The Fighting!, #51)</t>
  </si>
  <si>
    <t>ã¯ã˜ã‚ã®ä¸€æ­© 50 [Hajime no Ippo 50] (The Fighting!, #50)</t>
  </si>
  <si>
    <t>I Hear You: The Surprisingly Simple Skill Behind Extraordinary Relationships</t>
  </si>
  <si>
    <t>Michael S. Sorensen</t>
  </si>
  <si>
    <t>Sorensen, Michael S.</t>
  </si>
  <si>
    <t>Autumn Creek Press</t>
  </si>
  <si>
    <t>to-read (#223)</t>
  </si>
  <si>
    <t>ã¯ã˜ã‚ã®ä¸€æ­© 49 [Hajime no Ippo 49] (The Fighting!, #49)</t>
  </si>
  <si>
    <t>ã¯ã˜ã‚ã®ä¸€æ­© 48 [Hajime no Ippo 48] (The Fighting!, #48)</t>
  </si>
  <si>
    <t>ã¯ã˜ã‚ã®ä¸€æ­© 47 [Hajime no Ippo 47] (The Fighting!, #47)</t>
  </si>
  <si>
    <t>ã¯ã˜ã‚ã®ä¸€æ­© 46 [Hajime no Ippo 46] (The Fighting!, #46)</t>
  </si>
  <si>
    <t>Death Note, Vol. 12: Finis (Death Note, #12)</t>
  </si>
  <si>
    <t>Takeshi Obata, Tetsuichiro Miyaki</t>
  </si>
  <si>
    <t>Death Note, Vol. 11: Kindred Spirits (Death Note, #11)</t>
  </si>
  <si>
    <t>Death Note, Vol. 10: Deletion (Death Note, #10)</t>
  </si>
  <si>
    <t>Death Note, Vol. 9: Contact (Death Note, #9)</t>
  </si>
  <si>
    <t>Death Note, Vol. 8: Target (Death Note, #8)</t>
  </si>
  <si>
    <t>The Institute</t>
  </si>
  <si>
    <t>'Salem's Lot</t>
  </si>
  <si>
    <t>New English Library</t>
  </si>
  <si>
    <t>GTO: Great Teacher Onizuka, Vol. 25</t>
  </si>
  <si>
    <t>Toru Fujisawa</t>
  </si>
  <si>
    <t>Fujisawa, Toru</t>
  </si>
  <si>
    <t>Tokyopop</t>
  </si>
  <si>
    <t>GTO: Great Teacher Onizuka, Vol. 24</t>
  </si>
  <si>
    <t>Adult</t>
  </si>
  <si>
    <t>GTO: Great Teacher Onizuka, Vol. 23</t>
  </si>
  <si>
    <t>TokyoPop</t>
  </si>
  <si>
    <t>GTO: Great Teacher Onizuka, Vol. 22</t>
  </si>
  <si>
    <t>GTO: Great Teacher Onizuka, Vol. 21</t>
  </si>
  <si>
    <t>ÙƒÙŠÙ Ø¹Ø§Ù…Ù„Ù‡Ù…</t>
  </si>
  <si>
    <t>Ù…Ø­Ù…Ø¯ ØµØ§Ù„Ø­ Ø§Ù„Ù…Ù†Ø¬Ø¯</t>
  </si>
  <si>
    <t>Ø§Ù„Ù…Ù†Ø¬Ø¯, Ù…Ø­Ù…Ø¯ ØµØ§Ù„Ø­</t>
  </si>
  <si>
    <t>Ù…Ø¬Ù…ÙˆØ¹Ø© Ø²Ø§Ø¯ Ù„Ù„Ù†Ø´Ø±</t>
  </si>
  <si>
    <t>to-read (#222)</t>
  </si>
  <si>
    <t>GTO: Great Teacher Onizuka, Vol. 20</t>
  </si>
  <si>
    <t>GTO: Great Teacher Onizuka, Vol. 19</t>
  </si>
  <si>
    <t>GTO: Great Teacher Onizuka, Vol. 18</t>
  </si>
  <si>
    <t>GTO: Great Teacher Onizuka, Vol. 17</t>
  </si>
  <si>
    <t>GTO: Great Teacher Onizuka, Vol. 16</t>
  </si>
  <si>
    <t>GTO: Great Teacher Onizuka, Vol. 15</t>
  </si>
  <si>
    <t>GTO: Great Teacher Onizuka, Vol. 14</t>
  </si>
  <si>
    <t>GTO: Great Teacher Onizuka, Vol. 13</t>
  </si>
  <si>
    <t>GTO: Great Teacher Onizuka, Vol. 12</t>
  </si>
  <si>
    <t>GTO: Great Teacher Onizuka, Volume 11 (GTO, #11)</t>
  </si>
  <si>
    <t>Pika Edition</t>
  </si>
  <si>
    <t>GTO: Great Teacher Onizuka, Vol. 10</t>
  </si>
  <si>
    <t>GTO: Great Teacher Onizuka, Vol. 9</t>
  </si>
  <si>
    <t>GTO: Great Teacher Onizuka, Vol. 8</t>
  </si>
  <si>
    <t>GTO: Great Teacher Onizuka, Vol. 7</t>
  </si>
  <si>
    <t>GTO: Great Teacher Onizuka, Vol. 6</t>
  </si>
  <si>
    <t>GTO: Great Teacher Onizuka, Vol. 5</t>
  </si>
  <si>
    <t>GTO: Great Teacher Onizuka, Vol. 4</t>
  </si>
  <si>
    <t>GTO: Great Teacher Onizuka, Vol. 3</t>
  </si>
  <si>
    <t>Skeleton Crew</t>
  </si>
  <si>
    <t>Time Warner Paperbacks</t>
  </si>
  <si>
    <t>The Monkey</t>
  </si>
  <si>
    <t>David Purdham</t>
  </si>
  <si>
    <t>Random House Audio</t>
  </si>
  <si>
    <t>Audio Cassette</t>
  </si>
  <si>
    <t>The Mist</t>
  </si>
  <si>
    <t>Signet</t>
  </si>
  <si>
    <t>GTO: Great Teacher Onizuka, Vol. 2</t>
  </si>
  <si>
    <t>GTO: Great Teacher Onizuka, Vol. 1</t>
  </si>
  <si>
    <t>Later</t>
  </si>
  <si>
    <t>Hard Case Crime</t>
  </si>
  <si>
    <t>ã¯ã˜ã‚ã®ä¸€æ­© 45 [Hajime no Ippo 45] (The Fighting!, #45)</t>
  </si>
  <si>
    <t>The Gift of Therapy: An Open Letter to a New Generation of Therapists and Their Patients</t>
  </si>
  <si>
    <t>Irvin D. Yalom</t>
  </si>
  <si>
    <t>Yalom, Irvin D.</t>
  </si>
  <si>
    <t>Nicola Ferguson</t>
  </si>
  <si>
    <t>Harper Perennial</t>
  </si>
  <si>
    <t>to-read (#221)</t>
  </si>
  <si>
    <t>Love's Executioner and Other Tales of Psychotherapy</t>
  </si>
  <si>
    <t>to-read (#220)</t>
  </si>
  <si>
    <t>When Nietzsche Wept</t>
  </si>
  <si>
    <t>to-read (#219)</t>
  </si>
  <si>
    <t>ã¯ã˜ã‚ã®ä¸€æ­© 44 [Hajime no Ippo 44] (The Fighting!, #44)</t>
  </si>
  <si>
    <t>ã¯ã˜ã‚ã®ä¸€æ­© 43 [Hajime no Ippo 43] (The Fighting!, #43)</t>
  </si>
  <si>
    <t>ã¯ã˜ã‚ã®ä¸€æ­© 42 [Hajime no Ippo 42] (The Fighting!, #42)</t>
  </si>
  <si>
    <t>ã¯ã˜ã‚ã®ä¸€æ­© 41 [Hajime no Ippo 41] (The Fighting!, #41)</t>
  </si>
  <si>
    <t>ã¯ã˜ã‚ã®ä¸€æ­© 40 [Hajime no Ippo 40] (The Fighting!, #40)</t>
  </si>
  <si>
    <t>ã¯ã˜ã‚ã®ä¸€æ­© 39 [Hajime no Ippo 39] (The Fighting!, #39)</t>
  </si>
  <si>
    <t>Memoirs of a Geisha</t>
  </si>
  <si>
    <t>Arthur Golden</t>
  </si>
  <si>
    <t>Golden, Arthur</t>
  </si>
  <si>
    <t>Vintage Books USA</t>
  </si>
  <si>
    <t>to-read (#218)</t>
  </si>
  <si>
    <t>Death Note, Vol. 7: Zero (Death Note, #7)</t>
  </si>
  <si>
    <t>Takeshi Obata, Alexis Kirsch</t>
  </si>
  <si>
    <t>Death Note, Vol. 6: Give-and-Take (Death Note, #6)</t>
  </si>
  <si>
    <t>ã¯ã˜ã‚ã®ä¸€æ­© 38 [Hajime no Ippo 38] (The Fighting!, #38)</t>
  </si>
  <si>
    <t>ã¯ã˜ã‚ã®ä¸€æ­© 37 [Hajime no Ippo 37] (The Fighting!, #37)</t>
  </si>
  <si>
    <t>ã¯ã˜ã‚ã®ä¸€æ­© 36 [Hajime no Ippo 36] (The Fighting!, #36)</t>
  </si>
  <si>
    <t>ã¯ã˜ã‚ã®ä¸€æ­© 35 [Hajime no Ippo 35] (The Fighting!, #35)</t>
  </si>
  <si>
    <t>Maybe You Should Talk to Someone</t>
  </si>
  <si>
    <t>Lori Gottlieb</t>
  </si>
  <si>
    <t>Gottlieb, Lori</t>
  </si>
  <si>
    <t>Mariner Books</t>
  </si>
  <si>
    <t>Born a Crime: Stories From a South African Childhood</t>
  </si>
  <si>
    <t>Trevor Noah</t>
  </si>
  <si>
    <t>Noah, Trevor</t>
  </si>
  <si>
    <t>Doubleday Canada</t>
  </si>
  <si>
    <t>No Hard Feelings: The Secret Power of Embracing Emotions at Work</t>
  </si>
  <si>
    <t>Liz Fosslien</t>
  </si>
  <si>
    <t>Fosslien, Liz</t>
  </si>
  <si>
    <t>Mollie West Duffy</t>
  </si>
  <si>
    <t>Portfolio</t>
  </si>
  <si>
    <t>Vinland Saga Omnibus, Vol. 3</t>
  </si>
  <si>
    <t>Makoto Yukimura</t>
  </si>
  <si>
    <t>Yukimura, Makoto</t>
  </si>
  <si>
    <t>Atomic Habits: An Easy &amp; Proven Way to Build Good Habits &amp; Break Bad Ones</t>
  </si>
  <si>
    <t>James Clear</t>
  </si>
  <si>
    <t>Clear, James</t>
  </si>
  <si>
    <t>Avery</t>
  </si>
  <si>
    <t>Where the Crawdads Sing</t>
  </si>
  <si>
    <t>Delia Owens</t>
  </si>
  <si>
    <t>Owens, Delia</t>
  </si>
  <si>
    <t>The Wind Through the Keyhole</t>
  </si>
  <si>
    <t>Jae Lee</t>
  </si>
  <si>
    <t>Wolves of the Calla (The Dark Tower, #5)</t>
  </si>
  <si>
    <t>Bernie Wrightson</t>
  </si>
  <si>
    <t>The 5 Love Languages: The Secret to Love that Lasts</t>
  </si>
  <si>
    <t>Gary Chapman</t>
  </si>
  <si>
    <t>Chapman, Gary</t>
  </si>
  <si>
    <t>Northfield Publishing</t>
  </si>
  <si>
    <t>Song of Susannah (The Dark Tower, #6)</t>
  </si>
  <si>
    <t>Darrel Anderson</t>
  </si>
  <si>
    <t>Wizard and Glass (The Dark Tower, #4)</t>
  </si>
  <si>
    <t>Dave McKean</t>
  </si>
  <si>
    <t>Mindhunter: Inside the FBI's Elite Serial Crime Unit</t>
  </si>
  <si>
    <t>John E. Douglas</t>
  </si>
  <si>
    <t>Douglas, John E.</t>
  </si>
  <si>
    <t>Mark Olshaker</t>
  </si>
  <si>
    <t>Harry Potter and the Goblet of Fire (Harry Potter, #4)</t>
  </si>
  <si>
    <t>J.K. Rowling</t>
  </si>
  <si>
    <t>Rowling, J.K.</t>
  </si>
  <si>
    <t>Mary GrandPrÃ©, Jim Kay</t>
  </si>
  <si>
    <t>Scholastic</t>
  </si>
  <si>
    <t>The Gunslinger (The Dark Tower, #1)</t>
  </si>
  <si>
    <t>Plume</t>
  </si>
  <si>
    <t>The Green Mile</t>
  </si>
  <si>
    <t>Penguin Signet</t>
  </si>
  <si>
    <t>Vagabond, Vol. 2</t>
  </si>
  <si>
    <t>Takehiko Inoue</t>
  </si>
  <si>
    <t>Inoue, Takehiko</t>
  </si>
  <si>
    <t>Bleach, Volume 03</t>
  </si>
  <si>
    <t>Tite Kubo</t>
  </si>
  <si>
    <t>Kubo, Tite</t>
  </si>
  <si>
    <t>Vinland Saga Omnibus, Vol. 4</t>
  </si>
  <si>
    <t>Out of the Maze: A Story About the Power of Belief</t>
  </si>
  <si>
    <t>Spencer Johnson</t>
  </si>
  <si>
    <t>Johnson, Spencer</t>
  </si>
  <si>
    <t>Vermilion</t>
  </si>
  <si>
    <t>American Psycho</t>
  </si>
  <si>
    <t>Bret Easton Ellis</t>
  </si>
  <si>
    <t>Ellis, Bret Easton</t>
  </si>
  <si>
    <t>Vintage Contemporaries / Random House</t>
  </si>
  <si>
    <t>The Essential Manager's Handbook</t>
  </si>
  <si>
    <t>D.K. Publishing</t>
  </si>
  <si>
    <t>Publishing, D.K.</t>
  </si>
  <si>
    <t>The Waste Lands (The Dark Tower, #3)</t>
  </si>
  <si>
    <t>Ned Dameron</t>
  </si>
  <si>
    <t>Viking Adult</t>
  </si>
  <si>
    <t>The Drawing of the Three (The Dark Tower, #2)</t>
  </si>
  <si>
    <t>Man's Search for Meaning</t>
  </si>
  <si>
    <t>Viktor E. Frankl</t>
  </si>
  <si>
    <t>Frankl, Viktor E.</t>
  </si>
  <si>
    <t>Harold S. Kushner, William J. Winslade, Isle Lasch</t>
  </si>
  <si>
    <t>Beacon Press</t>
  </si>
  <si>
    <t>Dare to Lead</t>
  </si>
  <si>
    <t>Ebury Digital</t>
  </si>
  <si>
    <t>No Country for Old Men</t>
  </si>
  <si>
    <t>Cormac McCarthy</t>
  </si>
  <si>
    <t>McCarthy, Cormac</t>
  </si>
  <si>
    <t>The Goal: A Process of Ongoing Improvement</t>
  </si>
  <si>
    <t>Eliyahu M. Goldratt</t>
  </si>
  <si>
    <t>Goldratt, Eliyahu M.</t>
  </si>
  <si>
    <t>Jeff Cox</t>
  </si>
  <si>
    <t>North River Press</t>
  </si>
  <si>
    <t>ãƒã‚§ãƒ³ã‚½ãƒ¼ãƒžãƒ³ 9 (Chainsaw Man, #9)</t>
  </si>
  <si>
    <t>Tatsuki Fujimoto</t>
  </si>
  <si>
    <t>Fujimoto, Tatsuki</t>
  </si>
  <si>
    <t>è—¤æœ¬ã‚¿ãƒ„ã‚­</t>
  </si>
  <si>
    <t>é›†è‹±ç¤¾ / ShÅ«eisha</t>
  </si>
  <si>
    <t>Parasyte, Volume 7</t>
  </si>
  <si>
    <t>Hitoshi Iwaaki</t>
  </si>
  <si>
    <t>Iwaaki, Hitoshi</t>
  </si>
  <si>
    <t>Ø§Ù„Ø±Ù‚Øµ Ù…Ø¹ Ø§Ù„Ø­ÙŠØ§Ø©</t>
  </si>
  <si>
    <t>Ù…Ù‡Ø¯ÙŠ Ø§Ù„Ù…ÙˆØ³ÙˆÙŠ</t>
  </si>
  <si>
    <t>Ø§Ù„Ù…ÙˆØ³ÙˆÙŠ, Ù…Ù‡Ø¯ÙŠ</t>
  </si>
  <si>
    <t>Ù…Ø¯Ø§Ø±Ùƒ Ù„Ù„Ù†Ø´Ø± ÙˆØ§Ù„ØªÙˆØ²ÙŠØ¹</t>
  </si>
  <si>
    <t>ã¯ã˜ã‚ã®ä¸€æ­© 34 [Hajime no Ippo 34] (The Fighting!, #34)</t>
  </si>
  <si>
    <t>Death Note, Vol. 5: Whiteout (Death Note, #5)</t>
  </si>
  <si>
    <t>Death Note, Vol. 4: Love (Death Note, #4)</t>
  </si>
  <si>
    <t>Alexis Kirsch</t>
  </si>
  <si>
    <t>ã¯ã˜ã‚ã®ä¸€æ­© 33 [Hajime no Ippo 33] (The Fighting!, #33)</t>
  </si>
  <si>
    <t>ã¯ã˜ã‚ã®ä¸€æ­© 32 [Hajime no Ippo 32] (The Fighting!, #32)</t>
  </si>
  <si>
    <t>ã¯ã˜ã‚ã®ä¸€æ­© 31 [Hajime no Ippo 31] (The Fighting!, #31)</t>
  </si>
  <si>
    <t>Death Note, Vol. 3: Hard Run (Death Note, #3)</t>
  </si>
  <si>
    <t>Takeshi Obata, Pookie Rolf</t>
  </si>
  <si>
    <t>ã¯ã˜ã‚ã®ä¸€æ­© 30 [Hajime no Ippo 30] (The Fighting!, #30)</t>
  </si>
  <si>
    <t>ã¯ã˜ã‚ã®ä¸€æ­© 29 [Hajime no Ippo 29] (The Fighting!, #29)</t>
  </si>
  <si>
    <t>ã¯ã˜ã‚ã®ä¸€æ­© 28 [Hajime no Ippo 28] (The Fighting!, #28)</t>
  </si>
  <si>
    <t>ã¯ã˜ã‚ã®ä¸€æ­© 27 [Hajime no Ippo 27] (The Fighting!, #27)</t>
  </si>
  <si>
    <t>ã¯ã˜ã‚ã®ä¸€æ­© 26 [Hajime no Ippo 26] (The Fighting!, #26)</t>
  </si>
  <si>
    <t>Death Note, Vol. 2: Confluence (Death Note, #2)</t>
  </si>
  <si>
    <t>Death Note, Vol. 1: Boredom (Death Note, #1)</t>
  </si>
  <si>
    <t>ã¯ã˜ã‚ã®ä¸€æ­© 25 [Hajime no Ippo 25] (The Fighting!, #25)</t>
  </si>
  <si>
    <t>ã¯ã˜ã‚ã®ä¸€æ­© 24 [Hajime no Ippo 24] (The Fighting!, #24)</t>
  </si>
  <si>
    <t>ã¯ã˜ã‚ã®ä¸€æ­© 23 [Hajime no Ippo 23] (The Fighting!, #23)</t>
  </si>
  <si>
    <t>Ø¯Ù„ÙŠÙ„ ÙƒÙ„ Ø²ÙˆØ¬ ÙˆØ²ÙˆØ¬Ø© Ù„Ù„Ø£Ø³Ø±Ø© Ø§Ù„Ø°ÙƒÙŠØ©ØŒ Ø§Ù„Ø¬Ø²Ø¡ Ø§Ù„Ø£ÙˆÙ„: Ø§Ù„Ø¹Ù„Ø§Ù‚Ø© Ø§Ù„Ø²ÙˆØ¬ÙŠØ©</t>
  </si>
  <si>
    <t>Ø³Ù„Ù…Ø§Ø¡ Ø±Ø§Ø´Ø¯ Ø§Ù„Ù…Ø¹Ø¶Ø§Ø¯ÙŠ</t>
  </si>
  <si>
    <t>Ø§Ù„Ù…Ø¹Ø¶Ø§Ø¯ÙŠ, Ø³Ù„Ù…Ø§Ø¡ Ø±Ø§Ø´Ø¯</t>
  </si>
  <si>
    <t xml:space="preserve">Ù…ÙƒØªØ¨Ø© Ø§Ù„Ù…ØªÙ†Ø¨ÙŠ </t>
  </si>
  <si>
    <t>ã¯ã˜ã‚ã®ä¸€æ­© 22 [Hajime no Ippo 22] (The Fighting!, #22)</t>
  </si>
  <si>
    <t>ã¯ã˜ã‚ã®ä¸€æ­© 21 [Hajime no Ippo 21] (The Fighting!, #21)</t>
  </si>
  <si>
    <t>ã¯ã˜ã‚ã®ä¸€æ­© 20 [Hajime no Ippo 20] (The Fighting!, #20)</t>
  </si>
  <si>
    <t>ã¯ã˜ã‚ã®ä¸€æ­© 19 [Hajime no Ippo 19] (The Fighting!, #19)</t>
  </si>
  <si>
    <t>ã¯ã˜ã‚ã®ä¸€æ­© 18 [Hajime no Ippo 18] (The Fighting!, #18)</t>
  </si>
  <si>
    <t>ã¯ã˜ã‚ã®ä¸€æ­© 17 [Hajime no Ippo 17] (The Fighting!, #17)</t>
  </si>
  <si>
    <t>ã¯ã˜ã‚ã®ä¸€æ­© 16 [Hajime no Ippo 16] (The Fighting!, #16)</t>
  </si>
  <si>
    <t>ã¯ã˜ã‚ã®ä¸€æ­© 15 [Hajime no Ippo 15] (The Fighting!, #15)</t>
  </si>
  <si>
    <t>ã¯ã˜ã‚ã®ä¸€æ­© 14 [Hajime no Ippo 14] (The Fighting!, #14)</t>
  </si>
  <si>
    <t>ã¯ã˜ã‚ã®ä¸€æ­© 13 [Hajime no Ippo 13] (The Fighting!, #13)</t>
  </si>
  <si>
    <t>ã¯ã˜ã‚ã®ä¸€æ­© 12 [Hajime no Ippo 12] (The Fighting!, #12)</t>
  </si>
  <si>
    <t>ã¯ã˜ã‚ã®ä¸€æ­© 11 [Hajime no Ippo 11] (The Fighting!, #11)</t>
  </si>
  <si>
    <t>ã¯ã˜ã‚ã®ä¸€æ­© 10 [Hajime no Ippo 10] (The Fighting!, #10)</t>
  </si>
  <si>
    <t>ã¯ã˜ã‚ã®ä¸€æ­© 9 [Hajime no Ippo 9] (The Fighting!, #9)</t>
  </si>
  <si>
    <t>ã¯ã˜ã‚ã®ä¸€æ­© 8 [Hajime no Ippo 8] (The Fighting!, #8)</t>
  </si>
  <si>
    <t>ã¯ã˜ã‚ã®ä¸€æ­© 7 [Hajime no Ippo 7] (The Fighting!, #7)</t>
  </si>
  <si>
    <t>ã¯ã˜ã‚ã®ä¸€æ­© 6 [Hajime no Ippo 6] (The Fighting!, #6)</t>
  </si>
  <si>
    <t>ã¯ã˜ã‚ã®ä¸€æ­© 5 [Hajime no Ippo 5] (The Fighting!, #5)</t>
  </si>
  <si>
    <t>ã¯ã˜ã‚ã®ä¸€æ­© 4 [Hajime no Ippo 4] (The Fighting!, #4)</t>
  </si>
  <si>
    <t>ã¯ã˜ã‚ã®ä¸€æ­© 3 [Hajime no Ippo 3] (The Fighting!, #3)</t>
  </si>
  <si>
    <t>ã¯ã˜ã‚ã®ä¸€æ­© 2 [Hajime no Ippo 2] (The Fighting!, #2)</t>
  </si>
  <si>
    <t>Hajime no Ippo, Vol. 1 (Hajime no Ippo, #1)</t>
  </si>
  <si>
    <t xml:space="preserve"> Level Comics</t>
  </si>
  <si>
    <t>Sun-Ken Rock, Tome 25 (Sun-Ken Rock, #25)</t>
  </si>
  <si>
    <t>Boichi</t>
  </si>
  <si>
    <t>Boichi, Boichi</t>
  </si>
  <si>
    <t>Arnaud Delage</t>
  </si>
  <si>
    <t>Doki Doki</t>
  </si>
  <si>
    <t>ã‚µãƒ³ã‚±ãƒ³ãƒ­ãƒƒã‚¯ 24 [San Ken Rokku] (Sun-Ken Rock, #24)</t>
  </si>
  <si>
    <t>å°‘å¹´ç”»å ±ç¤¾</t>
  </si>
  <si>
    <t>ã‚µãƒ³ã‚±ãƒ³ãƒ­ãƒƒã‚¯ 23 [San Ken Rokku] (Sun-Ken Rock, #23)</t>
  </si>
  <si>
    <t>ã‚µãƒ³ã‚±ãƒ³ãƒ­ãƒƒã‚¯ 22 [San Ken Rokku] (Sun-Ken Rock, #22)</t>
  </si>
  <si>
    <t>ã‚µãƒ³ã‚±ãƒ³ãƒ­ãƒƒã‚¯ 21 [San Ken Rokku] (Sun-Ken Rock #21)</t>
  </si>
  <si>
    <t>ã‚µãƒ³ã‚±ãƒ³ãƒ­ãƒƒã‚¯ 20 [San Ken Rokku] (Sun-Ken Rock #20)</t>
  </si>
  <si>
    <t>ã‚µãƒ³ã‚±ãƒ³ãƒ­ãƒƒã‚¯ 19 [San Ken Rokku] (Sun-Ken Rock #19)</t>
  </si>
  <si>
    <t>ã‚µãƒ³ã‚±ãƒ³ãƒ­ãƒƒã‚¯ 18 [San Ken Rokku] (Sun-Ken Rock, #18)</t>
  </si>
  <si>
    <t>ã‚µãƒ³ã‚±ãƒ³ãƒ­ãƒƒã‚¯ 17 [San Ken Rokku] (Sun-Ken Rock, #17)</t>
  </si>
  <si>
    <t>ã‚µãƒ³ã‚±ãƒ³ãƒ­ãƒƒã‚¯ 16 [San Ken Rokku] (Sun-Ken Rock, #16)</t>
  </si>
  <si>
    <t>ã‚µãƒ³ã‚±ãƒ³ãƒ­ãƒƒã‚¯ 15 [San Ken Rokku] (Sun-Ken Rock #15)</t>
  </si>
  <si>
    <t>ã‚µãƒ³ã‚±ãƒ³ãƒ­ãƒƒã‚¯ 14 [San Ken Rokku] (Sun-Ken Rock #14)</t>
  </si>
  <si>
    <t>ã‚µãƒ³ã‚±ãƒ³ãƒ­ãƒƒã‚¯ 13 [San Ken Rokku] (Sun-Ken Rock #13)</t>
  </si>
  <si>
    <t>ã‚µãƒ³ã‚±ãƒ³ãƒ­ãƒƒã‚¯ 12 [San Ken Rokku] (Sun-Ken Rock #12)</t>
  </si>
  <si>
    <t>Sun-Ken Rock, Tome 11 (Sun-Ken Rock, #11)</t>
  </si>
  <si>
    <t>Sun-Ken Rock, Tome 10 (Sun-Ken Rock, #10)</t>
  </si>
  <si>
    <t>Sun-Ken Rock, Tome 9 (Sun-Ken Rock, #9)</t>
  </si>
  <si>
    <t>Sun-Ken Rock, Tome 8 (Sun-Ken Rock, #8)</t>
  </si>
  <si>
    <t>Sun-Ken Rock, Tome 7 (Sun-Ken Rock, #7)</t>
  </si>
  <si>
    <t>Sun-Ken Rock, Tome 6 (Sun-Ken Rock, #6)</t>
  </si>
  <si>
    <t>Sun-Ken Rock, Tome 5 (Sun-Ken Rock, #5)</t>
  </si>
  <si>
    <t>Sun-Ken Rock, Tome 4 (Sun-Ken Rock, #4)</t>
  </si>
  <si>
    <t>Sun-Ken Rock, Tome 3 (Sun-Ken Rock, #3)</t>
  </si>
  <si>
    <t>Sun-Ken Rock, Tome 2 (Sun-Ken Rock, #2)</t>
  </si>
  <si>
    <t>Sun-Ken Rock, Tome 1 (Sun-Ken Rock, #1)</t>
  </si>
  <si>
    <t>Ù…Ø­Ù‚Ù‚ Ø§Ù„Ø¹Ø¯Ø§Ù„Ø©</t>
  </si>
  <si>
    <t>Ø³Ù„Ø§Ù…Ø© Ø§Ù„Ù†Ø¹ÙŠÙ…ÙŠ</t>
  </si>
  <si>
    <t>Ø§Ù„Ù†Ø¹ÙŠÙ…ÙŠ, Ø³Ù„Ø§Ù…Ø©</t>
  </si>
  <si>
    <t>Bookland / Ø¨ÙˆÙƒ Ù„Ø§Ù†Ø¯ Ù„Ù„Ù†Ø´Ø± ÙˆØ§Ù„ØªÙˆØ²ÙŠØ¹</t>
  </si>
  <si>
    <t>Bleachâ€•ãƒ–ãƒªãƒ¼ãƒâ€• 74 [BurÄ«chi 74] (Bleach, #74)</t>
  </si>
  <si>
    <t>Bleachâ€•ãƒ–ãƒªãƒ¼ãƒâ€• 73 [BurÄ«chi 73] (Bleach, #73)</t>
  </si>
  <si>
    <t>ä¹…ä¿å¸¯äºº</t>
  </si>
  <si>
    <t xml:space="preserve">Shueisha </t>
  </si>
  <si>
    <t>Bleachâ€•ãƒ–ãƒªãƒ¼ãƒâ€• 72 [BurÄ«chi 72] (Bleach, #72)</t>
  </si>
  <si>
    <t>Bleachâ€•ãƒ–ãƒªãƒ¼ãƒâ€• 71 [BurÄ«chi 71] (Bleach, #71)</t>
  </si>
  <si>
    <t>Bleachâ€•ãƒ–ãƒªãƒ¼ãƒâ€• 70 [BurÄ«chi 70] (Bleach, #70)</t>
  </si>
  <si>
    <t>Bleachâ€•ãƒ–ãƒªãƒ¼ãƒâ€• 69 [BurÄ«chi 69] (Bleach, #69)</t>
  </si>
  <si>
    <t>Bleachâ€•ãƒ–ãƒªãƒ¼ãƒâ€• 68 [BurÄ«chi 68] (Bleach, #68)</t>
  </si>
  <si>
    <t>Bleachâ€•ãƒ–ãƒªãƒ¼ãƒâ€• 67 [BurÄ«chi 67] (Bleach, #67)</t>
  </si>
  <si>
    <t>Bleachâ€•ãƒ–ãƒªãƒ¼ãƒâ€• 66 [BurÄ«chi 66] (Bleach, #66)</t>
  </si>
  <si>
    <t>Bleachâ€•ãƒ–ãƒªãƒ¼ãƒâ€• 65 [BurÄ«chi 65] (Bleach, #65)</t>
  </si>
  <si>
    <t>Bleachâ€•ãƒ–ãƒªãƒ¼ãƒâ€• 64 [BurÄ«chi 64] (Bleach, #64)</t>
  </si>
  <si>
    <t>Bleachâ€•ãƒ–ãƒªãƒ¼ãƒâ€• 63 [BurÄ«chi 63] (Bleach, #63)</t>
  </si>
  <si>
    <t>Bleachâ€•ãƒ–ãƒªãƒ¼ãƒâ€• 62 [BurÄ«chi 62] (Bleach, #62)</t>
  </si>
  <si>
    <t>Bleachâ€•ãƒ–ãƒªãƒ¼ãƒâ€• 61 [BurÄ«chi 61] (Bleach, #61)</t>
  </si>
  <si>
    <t>Bleach, Volume 60</t>
  </si>
  <si>
    <t>Bleachâ€•ãƒ–ãƒªãƒ¼ãƒâ€• 59 [BurÄ«chi 59] (Bleach, #59)</t>
  </si>
  <si>
    <t>Bleachâ€•ãƒ–ãƒªãƒ¼ãƒâ€• 57 [BurÄ«chi 57] (Bleach, #57)</t>
  </si>
  <si>
    <t>Bleachâ€•ãƒ–ãƒªãƒ¼ãƒâ€• 58 [BurÄ«chi 58] (Bleach, #58)</t>
  </si>
  <si>
    <t>Bleachâ€•ãƒ–ãƒªãƒ¼ãƒâ€• 56 [BurÄ«chi 56] (Bleach, #56)</t>
  </si>
  <si>
    <t>Shueisha: Jump Comics</t>
  </si>
  <si>
    <t>Bleachâ€•ãƒ–ãƒªãƒ¼ãƒâ€• 55 [BurÄ«chi 55] (Bleach, #55)</t>
  </si>
  <si>
    <t>Bleachâ€•ãƒ–ãƒªãƒ¼ãƒâ€• 54 [BurÄ«chi 54] (Bleach, #54)</t>
  </si>
  <si>
    <t>Bleachâ€•ãƒ–ãƒªãƒ¼ãƒâ€• 53 [BurÄ«chi 53] (Bleach, #53)</t>
  </si>
  <si>
    <t>Bleachâ€•ãƒ–ãƒªãƒ¼ãƒâ€• 52 [BurÄ«chi 52] (Bleach, #52)</t>
  </si>
  <si>
    <t>Bleachâ€•ãƒ–ãƒªãƒ¼ãƒâ€• 51 [BurÄ«chi 51] (Bleach, #51)</t>
  </si>
  <si>
    <t>ShÅ«eisha</t>
  </si>
  <si>
    <t>Bleachâ€•ãƒ–ãƒªãƒ¼ãƒâ€• 50 [BurÄ«chi 50] (Bleach, #50)</t>
  </si>
  <si>
    <t>Bleachâ€•ãƒ–ãƒªãƒ¼ãƒâ€• 49 [BurÄ«chi 49] (Bleach, #49)</t>
  </si>
  <si>
    <t>Bleachâ€•ãƒ–ãƒªãƒ¼ãƒâ€• 48 [BurÄ«chi 48] (Bleach, #48)</t>
  </si>
  <si>
    <t>Bleachâ€•ãƒ–ãƒªãƒ¼ãƒâ€• 47 [BurÄ«chi 47] (Bleach, #47)</t>
  </si>
  <si>
    <t>Bleachâ€•ãƒ–ãƒªãƒ¼ãƒâ€• 46 [BurÄ«chi 46] (Bleach, #46)</t>
  </si>
  <si>
    <t>Bleachâ€•ãƒ–ãƒªãƒ¼ãƒâ€• 45 [BurÄ«chi 45] (Bleach, #45)</t>
  </si>
  <si>
    <t>Bleachâ€•ãƒ–ãƒªãƒ¼ãƒâ€• 44 [BurÄ«chi 44] (Bleach, #44)</t>
  </si>
  <si>
    <t>Bleachâ€•ãƒ–ãƒªãƒ¼ãƒâ€• 43 [BurÄ«chi 43] (Bleach, #43)</t>
  </si>
  <si>
    <t>Bleachâ€•ãƒ–ãƒªãƒ¼ãƒâ€• 42 [BurÄ«chi 42] (Bleach, #42)</t>
  </si>
  <si>
    <t>Bleachâ€•ãƒ–ãƒªãƒ¼ãƒâ€• 41 [BurÄ«chi 41] (Bleach, #41)</t>
  </si>
  <si>
    <t>Bleachâ€•ãƒ–ãƒªãƒ¼ãƒâ€• 40 [BurÄ«chi 40] (Bleach, #40)</t>
  </si>
  <si>
    <t>Bleachâ€•ãƒ–ãƒªãƒ¼ãƒâ€• 39 [BurÄ«chi 39] (Bleach, #39)</t>
  </si>
  <si>
    <t>Bleachâ€•ãƒ–ãƒªãƒ¼ãƒâ€• 38 [BurÄ«chi 38] (Bleach, #38)</t>
  </si>
  <si>
    <t>Bleachâ€•ãƒ–ãƒªãƒ¼ãƒâ€• 37 [BurÄ«chi 37] (Bleach, #37)</t>
  </si>
  <si>
    <t>Bleachâ€•ãƒ–ãƒªãƒ¼ãƒâ€• 36 [BurÄ«chi 36] (Bleach, #36)</t>
  </si>
  <si>
    <t>Bleachâ€•ãƒ–ãƒªãƒ¼ãƒâ€• 35 [BurÄ«chi 35] (Bleach, #35)</t>
  </si>
  <si>
    <t>Bleachâ€•ãƒ–ãƒªãƒ¼ãƒâ€• 34 [BurÄ«chi 34] (Bleach, #34)</t>
  </si>
  <si>
    <t>Bleachâ€•ãƒ–ãƒªãƒ¼ãƒâ€• 33 [BurÄ«chi 33] (Bleach, #33)</t>
  </si>
  <si>
    <t>Bleachâ€•ãƒ–ãƒªãƒ¼ãƒâ€• 32 [BurÄ«chi 32] (Bleach, #32)</t>
  </si>
  <si>
    <t>Bleach 31: Bring mich nicht um mein VergnÃ¼gen</t>
  </si>
  <si>
    <t>Daniel BÃ¼chner</t>
  </si>
  <si>
    <t>Bleach, Tome 30: There is No Heart Without You</t>
  </si>
  <si>
    <t>Anne-Sophie ThÃ©venon, PaweÅ‚ DybaÅ‚a</t>
  </si>
  <si>
    <t>GlÃ©nat</t>
  </si>
  <si>
    <t>Bleach, Volume 29</t>
  </si>
  <si>
    <t>Bleach, Volume 28</t>
  </si>
  <si>
    <t>Bleachâ€•ãƒ–ãƒªãƒ¼ãƒâ€• 27 [BurÄ«chi 27] (Bleach, #27)</t>
  </si>
  <si>
    <t>Bleach, Volume 26</t>
  </si>
  <si>
    <t>Bleach, Volume 25</t>
  </si>
  <si>
    <t>Bleach, Volume 24</t>
  </si>
  <si>
    <t>Bleach, Volume 23</t>
  </si>
  <si>
    <t>Bleach, Volume 22</t>
  </si>
  <si>
    <t>Bleach, Volume 21</t>
  </si>
  <si>
    <t>Bleach, Volume 20</t>
  </si>
  <si>
    <t>Bleach, Volume 19</t>
  </si>
  <si>
    <t>Bleach, Volume 18</t>
  </si>
  <si>
    <t>Bleach, Volume 17</t>
  </si>
  <si>
    <t>Bleach, Volume 16</t>
  </si>
  <si>
    <t>Bleach, Volume 15</t>
  </si>
  <si>
    <t>Bleach, Volume 14</t>
  </si>
  <si>
    <t>Bleach, Volume 13</t>
  </si>
  <si>
    <t>Bleach, Volume 12</t>
  </si>
  <si>
    <t>Bleach, Volume 11</t>
  </si>
  <si>
    <t>Bleach, Volume 10</t>
  </si>
  <si>
    <t>Bleach, Volume 09</t>
  </si>
  <si>
    <t>Bleach, Volume 08</t>
  </si>
  <si>
    <t>Bleach, Volume 07</t>
  </si>
  <si>
    <t>Bleach, Volume 06</t>
  </si>
  <si>
    <t>Bleach, Volume 05</t>
  </si>
  <si>
    <t>Bleach, Volume 04</t>
  </si>
  <si>
    <t>Bleach, Volume 02</t>
  </si>
  <si>
    <t>Bleach, Vol. 1 (Bleach, #1)</t>
  </si>
  <si>
    <t>è»¢ç”Ÿã—ãŸã‚‰ã‚¹ãƒ©ã‚¤ãƒ ã ã£ãŸä»¶ 19 (That Time I Got Reincarnated as a Slime Manga, #19)</t>
  </si>
  <si>
    <t>Fuse</t>
  </si>
  <si>
    <t>Fuse, Fuse</t>
  </si>
  <si>
    <t>Taiki Kawakami, Mitz Vah</t>
  </si>
  <si>
    <t>è»¢ç”Ÿã—ãŸã‚‰ã‚¹ãƒ©ã‚¤ãƒ ã ã£ãŸä»¶ 18 (That Time I Got Reincarnated as a Slime Manga, #18)</t>
  </si>
  <si>
    <t>è»¢ç”Ÿã—ãŸã‚‰ã‚¹ãƒ©ã‚¤ãƒ ã ã£ãŸä»¶ 17 (That Time I Got Reincarnated as a Slime Manga, #17)</t>
  </si>
  <si>
    <t>That Time I Got Reincarnated as a Slime, Vol. 16</t>
  </si>
  <si>
    <t>That Time I got Reincarnated as a Slime, Vol. 15</t>
  </si>
  <si>
    <t>That Time I Got Reincarnated as a Slime, Vol. 14</t>
  </si>
  <si>
    <t>That Time I Got Reincarnated as a Slime, Vol. 13 (That Time I Got Reincarnated as a Slime, #13)</t>
  </si>
  <si>
    <t>That Time I Got Reincarnated as a Slime, Vol. 12 (That Time I Got Reincarnated as a Slime, #12)</t>
  </si>
  <si>
    <t>That Time I Got Reincarnated as a Slime, Vol. 11 (That Time I Got Reincarnated as a Slime, #11)</t>
  </si>
  <si>
    <t>è»¢ç”Ÿã—ãŸã‚‰ã‚¹ãƒ©ã‚¤ãƒ ã ã£ãŸä»¶ 10 (That Time I Got Reincarnated as a Slime Manga, #10)</t>
  </si>
  <si>
    <t>ä¼ç€¬, ã¿ã£ã¤ã°ãƒ¼, å·ä¸Š æ³°æ¨¹, Taiki Kawakami, Mitz Vah</t>
  </si>
  <si>
    <t>That Time I Got Reincarnated as a Slime, Vol. 9</t>
  </si>
  <si>
    <t>Taiki Kawakami</t>
  </si>
  <si>
    <t>That Time I got Reincarnated as a Slime, Vol. 8</t>
  </si>
  <si>
    <t>That Time I Got Reincarnated as a Slime, Vol. 7</t>
  </si>
  <si>
    <t>That Time I Got Reincarnated as a Slime, Vol. 6</t>
  </si>
  <si>
    <t>That Time I Got Reincarnated as a Slime, Vol. 5</t>
  </si>
  <si>
    <t>That Time I Got Reincarnated as a Slime, Vol. 4</t>
  </si>
  <si>
    <t>That Time I Got Reincarnated as a Slime, Vol. 3</t>
  </si>
  <si>
    <t>That Time I Got Reincarnated as a Slime, Vol. 2</t>
  </si>
  <si>
    <t>That Time I Got Reincarnated as a Slime, Vol. 1</t>
  </si>
  <si>
    <t>GANGSTA. 8 (Gangsta., #8)</t>
  </si>
  <si>
    <t>Kohske</t>
  </si>
  <si>
    <t>Kohske, Kohske</t>
  </si>
  <si>
    <t>Shinchosha</t>
  </si>
  <si>
    <t>GANGSTA. 7 (Gangsta., #7)</t>
  </si>
  <si>
    <t>æ–°æ½®ç¤¾</t>
  </si>
  <si>
    <t>GANGSTA. 6ã€é™å®šç‰ˆã€‘ (Gangsta., #6 Limited Edition)</t>
  </si>
  <si>
    <t>GANGSTA. 5 (Gangsta., #5)</t>
  </si>
  <si>
    <t>GANGSTA. 4 (Gangsta., #4)</t>
  </si>
  <si>
    <t>GANGSTA. 3 (Gangsta., #3)</t>
  </si>
  <si>
    <t>The Hitchhiker's Guide to the Galaxy (The Hitchhiker's Guide to the Galaxy, #1)</t>
  </si>
  <si>
    <t>GANGSTA. 2 (Gangsta., #2)</t>
  </si>
  <si>
    <t>GANGSTA. 1 (Gangsta., #1)</t>
  </si>
  <si>
    <t>Ø§Ù„Ù‚ÙˆÙ‚Ø¹Ø©: ÙŠÙˆÙ…ÙŠØ§Øª Ù…ØªÙ„ØµØµ</t>
  </si>
  <si>
    <t>Ù…ØµØ·ÙÙ‰ Ø®Ù„ÙŠÙØ©</t>
  </si>
  <si>
    <t>Ø®Ù„ÙŠÙØ©, Ù…ØµØ·ÙÙ‰</t>
  </si>
  <si>
    <t>Ø¯Ø§Ø± Ø§Ù„Ø¢Ø¯Ø§Ø¨</t>
  </si>
  <si>
    <t>PSYREN-ã‚µã‚¤ãƒ¬ãƒ³- 16</t>
  </si>
  <si>
    <t>Toshiaki Iwashiro</t>
  </si>
  <si>
    <t>Iwashiro, Toshiaki</t>
  </si>
  <si>
    <t>PSYREN-ã‚µã‚¤ãƒ¬ãƒ³- 15</t>
  </si>
  <si>
    <t>PSYREN-ã‚µã‚¤ãƒ¬ãƒ³- 14</t>
  </si>
  <si>
    <t>PSYRENï¼ã‚µã‚¤ãƒ¬ãƒ³ï¼13</t>
  </si>
  <si>
    <t>PSYREN-ã‚µã‚¤ãƒ¬ãƒ³- 12</t>
  </si>
  <si>
    <t>PSYREN-ã‚µã‚¤ãƒ¬ãƒ³- 11</t>
  </si>
  <si>
    <t>PSYREN-ã‚µã‚¤ãƒ¬ãƒ³ 10 (ã‚¸ãƒ£ãƒ³ãƒ—ã‚³ãƒŸãƒƒã‚¯ã‚¹)</t>
  </si>
  <si>
    <t>PSYRENï¼ã‚µã‚¤ãƒ¬ãƒ³ï¼ 9</t>
  </si>
  <si>
    <t>PSYRENï¼ã‚µã‚¤ãƒ¬ãƒ³ï¼8</t>
  </si>
  <si>
    <t>PSYRENï¼ã‚µã‚¤ãƒ¬ãƒ³ï¼7</t>
  </si>
  <si>
    <t>Psyren, Vol. 6: Flame</t>
  </si>
  <si>
    <t>Simon &amp;amp; Schuster</t>
  </si>
  <si>
    <t>paperback</t>
  </si>
  <si>
    <t>The Key Man: The True Story of How the Global Elite Was Duped by a Capitalist Fairy Tale</t>
  </si>
  <si>
    <t>Simon     Clark</t>
  </si>
  <si>
    <t>Clark, Simon</t>
  </si>
  <si>
    <t>Will Louch</t>
  </si>
  <si>
    <t>Harper Business</t>
  </si>
  <si>
    <t>Ø¯Ù„ÙŠÙ„ ÙƒÙ„ Ø²ÙˆØ¬ ÙˆØ²ÙˆØ¬Ø© Ù„Ù„Ø£Ø³Ø±Ø© Ø§Ù„Ø°ÙƒÙŠØ©ØŒ Ø§Ù„Ø¬Ø²Ø¡ Ø§Ù„Ø«Ø§Ù†ÙŠ: Ø§Ù„Ø­Ø¨ ÙˆØ§Ù„Ø®ÙŠØ§Ù†Ø© ÙÙŠ Ø§Ù„Ø¹Ù„Ø§Ù‚Ø© Ø§Ù„Ø²ÙˆØ¬ÙŠØ©</t>
  </si>
  <si>
    <t>Ù…ÙƒØªØ¨Ø© Ø§Ù„Ù…ØªÙ†Ø¨ÙŠ</t>
  </si>
  <si>
    <t>to-read (#217)</t>
  </si>
  <si>
    <t>Psyren, Vol. 5: Visions</t>
  </si>
  <si>
    <t>Psyren, Vol. 4: Melzez's Door</t>
  </si>
  <si>
    <t>Dawnshard (The Stormlight Archive, #3.5)</t>
  </si>
  <si>
    <t>Dragonsteel Entertainment</t>
  </si>
  <si>
    <t>Psyren, Vol. 3: Dragon</t>
  </si>
  <si>
    <t>Psyren, Vol. 2: Baby Universe</t>
  </si>
  <si>
    <t>Psyren, Vol. 1: Urban Legend</t>
  </si>
  <si>
    <t>ã‚¯ãƒ¬ã‚¤ãƒ¢ã‚¢ 27 [Kureimoa 27] (Claymore, #27)</t>
  </si>
  <si>
    <t>Norihiro Yagi</t>
  </si>
  <si>
    <t>Yagi, Norihiro</t>
  </si>
  <si>
    <t>ã‚¯ãƒ¬ã‚¤ãƒ¢ã‚¢ 26 [Kureimoa 26] (Claymore, #26)</t>
  </si>
  <si>
    <t>ã‚¯ãƒ¬ã‚¤ãƒ¢ã‚¢ 25 [Kureimoa 25] (Claymore, #25)</t>
  </si>
  <si>
    <t>ã‚¯ãƒ¬ã‚¤ãƒ¢ã‚¢ 24 [Kureimoa 24] (Claymore, #24)</t>
  </si>
  <si>
    <t>ã‚¯ãƒ¬ã‚¤ãƒ¢ã‚¢ 23 [Kureimoa 23] (Claymore, #23)</t>
  </si>
  <si>
    <t>Claymore, Vol. 22: Claws and Fangs of the Abyss (Claymore, #22)</t>
  </si>
  <si>
    <t>Claymore, Vol. 21: Corpse of the Witch (Claymore, #21)</t>
  </si>
  <si>
    <t>Claymore, Vol. 20: Remains of the Dead Claws (Claymore, #20)</t>
  </si>
  <si>
    <t>Claymore, Vol. 19: Phantoms in the Heart (Claymore, #19)</t>
  </si>
  <si>
    <t>Claymore, Vol. 18: The Ashes of Lautrec (Claymore, #18)</t>
  </si>
  <si>
    <t>Claymore, Vol. 17: The Claws of Memory (Claymore, #17)</t>
  </si>
  <si>
    <t>Claymore, Vol. 16: The Lamentation of the Earth (Claymore, #16)</t>
  </si>
  <si>
    <t>Claymore, Vol. 15: Genesis of War (Claymore, #15)</t>
  </si>
  <si>
    <t>Claymore, Vol. 14: A Child Weapon (Claymore, #14)</t>
  </si>
  <si>
    <t>Claymore, Vol. 13: The Defiant Ones (Claymore, #13)</t>
  </si>
  <si>
    <t>Claymore, Vol. 12: The Souls of the Fallen (Claymore, #12)</t>
  </si>
  <si>
    <t>Claymore, Vol. 11: Kindred of Paradise (Claymore, #11)</t>
  </si>
  <si>
    <t>Claymore, Vol. 10: The Battle of the North (Claymore, #10)</t>
  </si>
  <si>
    <t>Claymore, Vol. 9: The Deep Abyss of Purgatory (Claymore, #9)</t>
  </si>
  <si>
    <t>Claymore, Vol. 8: The Witch's Maw (Claymore, #8)</t>
  </si>
  <si>
    <t>Claymore, Vol. 7: Fit for Battle (Claymore, #7)</t>
  </si>
  <si>
    <t>Claymore, Vol. 6: The Endless Gravestones (Claymore, #6)</t>
  </si>
  <si>
    <t>Claymore, Vol. 5: The Slashers (Claymore, #5)</t>
  </si>
  <si>
    <t>Claymore, Vol. 4: Marked for the Death (Claymore, #4)</t>
  </si>
  <si>
    <t>Claymore, Vol. 3: Teresa of the Faint Smile (Claymore, #3)</t>
  </si>
  <si>
    <t>Claymore, Vol. 2: Darkness in Paradise (Claymore, #2)</t>
  </si>
  <si>
    <t>Claymore, Vol. 1: Silver-eyed Slayer (Claymore, #1)</t>
  </si>
  <si>
    <t>å…«æœ¨æ•™åºƒ</t>
  </si>
  <si>
    <t>Unwanted: How Sexual Brokenness Reveals Our Way to Healing</t>
  </si>
  <si>
    <t>Jay  Stringer</t>
  </si>
  <si>
    <t>Stringer, Jay</t>
  </si>
  <si>
    <t>NavPress Publishing Group</t>
  </si>
  <si>
    <t>Clockwork Princess (The Infernal Devices, #3)</t>
  </si>
  <si>
    <t>Cassandra Clare</t>
  </si>
  <si>
    <t>Clare, Cassandra</t>
  </si>
  <si>
    <t>Walker Books Ltd</t>
  </si>
  <si>
    <t>to-read (#216)</t>
  </si>
  <si>
    <t>Cells at Work!, Vol. 6</t>
  </si>
  <si>
    <t>Akane Shimizu</t>
  </si>
  <si>
    <t>Shimizu, Akane</t>
  </si>
  <si>
    <t>Cells at Work!, Vol. 5</t>
  </si>
  <si>
    <t>Recovery: Freedom from Our Addictions</t>
  </si>
  <si>
    <t>Russell Brand</t>
  </si>
  <si>
    <t>Brand, Russell</t>
  </si>
  <si>
    <t>Henry Holt &amp; Company</t>
  </si>
  <si>
    <t>I'm Glad My Mom Died</t>
  </si>
  <si>
    <t>Jennette McCurdy</t>
  </si>
  <si>
    <t>McCurdy, Jennette</t>
  </si>
  <si>
    <t>Simon &amp; Schuster</t>
  </si>
  <si>
    <t>How to Change Your Mind: What the New Science of Psychedelics Teaches Us About Consciousness, Dying, Addiction, Depression, and Transcendence</t>
  </si>
  <si>
    <t>Michael Pollan</t>
  </si>
  <si>
    <t>Pollan, Michael</t>
  </si>
  <si>
    <t>Allen Lane</t>
  </si>
  <si>
    <t>to-read (#215)</t>
  </si>
  <si>
    <t>ë‚˜ í˜¼ìžë§Œ ë ˆë²¨ì—…. 2 (Solo Leveling, Season 2)</t>
  </si>
  <si>
    <t>Chugong</t>
  </si>
  <si>
    <t>Chugong, Chugong</t>
  </si>
  <si>
    <t>Gi So-Ryeong, DUBU(REDICE STUDIO)</t>
  </si>
  <si>
    <t>D&amp;C Webtoon, KakaoPage</t>
  </si>
  <si>
    <t>ë‚˜ í˜¼ìžë§Œ ë ˆë²¨ì—… 1 (Solo Leveling, Manhwa #1)</t>
  </si>
  <si>
    <t>DUBU(REDICE STUDIO)</t>
  </si>
  <si>
    <t>Kakao</t>
  </si>
  <si>
    <t>Batsford's Modern Chess Openings</t>
  </si>
  <si>
    <t>Nick de Firmian</t>
  </si>
  <si>
    <t>Firmian, Nick de</t>
  </si>
  <si>
    <t>Anova Books Company Ltd</t>
  </si>
  <si>
    <t>to-read (#214)</t>
  </si>
  <si>
    <t>Parasyte, Volume 8</t>
  </si>
  <si>
    <t>The Stand</t>
  </si>
  <si>
    <t>Doubleday Books</t>
  </si>
  <si>
    <t>Parasyte, Volume 5</t>
  </si>
  <si>
    <t>Parasyte, Volume 6</t>
  </si>
  <si>
    <t>Parasyte, Volume 4</t>
  </si>
  <si>
    <t>Parasyte, Volume 3</t>
  </si>
  <si>
    <t>Parasyte, Volume 2</t>
  </si>
  <si>
    <t>ÙƒÙ†Øª Ø¥Ø¨Ù†Ø§ Ù„Ù„Ø±Ø¦ÙŠØ³</t>
  </si>
  <si>
    <t>Latif Yahia</t>
  </si>
  <si>
    <t>Yahia, Latif</t>
  </si>
  <si>
    <t>Ù„Ø·ÙŠÙ ÙŠØ­ÙŠÙŠ</t>
  </si>
  <si>
    <t>Ù†ÙˆØ±ÙƒØ§ Ù„Ù„Ù†Ø´Ø±</t>
  </si>
  <si>
    <t>Cells at Work!, Vol. 4</t>
  </si>
  <si>
    <t>Miss Kobayashi's Dragon Maid, Vol. 4</t>
  </si>
  <si>
    <t>coolkyousinnjya</t>
  </si>
  <si>
    <t>coolkyousinnjya, coolkyousinnjya</t>
  </si>
  <si>
    <t>Seven Seas</t>
  </si>
  <si>
    <t>Miss Kobayashi's Dragon Maid, Vol. 3</t>
  </si>
  <si>
    <t>Miss Kobayashi's Dragon Maid, Vol. 2</t>
  </si>
  <si>
    <t>Goat Days</t>
  </si>
  <si>
    <t>Benyamin</t>
  </si>
  <si>
    <t>Benyamin, Benyamin</t>
  </si>
  <si>
    <t>Joseph Koyippally</t>
  </si>
  <si>
    <t>The Kite Runner</t>
  </si>
  <si>
    <t>Khaled Hosseini</t>
  </si>
  <si>
    <t>Hosseini, Khaled</t>
  </si>
  <si>
    <t>Riverhead Books</t>
  </si>
  <si>
    <t>Miss Kobayashi's Dragon Maid, Vol. 1</t>
  </si>
  <si>
    <t>Ø£Ø­ÙˆØ§Ù„ Ø§Ù„Ù…ØµØ·ÙÙ‰</t>
  </si>
  <si>
    <t>Ù…Ø¬Ù…ÙˆØ¹Ø© Ø²Ø§Ø¯</t>
  </si>
  <si>
    <t>to-read (#213)</t>
  </si>
  <si>
    <t>Cells at Work!, Vol. 3</t>
  </si>
  <si>
    <t>NARUTO -ãƒŠãƒ«ãƒˆ- 72 (Naruto, #72)</t>
  </si>
  <si>
    <t>Masashi Kishimoto</t>
  </si>
  <si>
    <t>Kishimoto, Masashi</t>
  </si>
  <si>
    <t>NARUTO -ãƒŠãƒ«ãƒˆ- 71 (Naruto, #71)</t>
  </si>
  <si>
    <t>NARUTO -ãƒŠãƒ«ãƒˆ- 70 (Naruto, #70)</t>
  </si>
  <si>
    <t>NARUTO -ãƒŠãƒ«ãƒˆ- 69 (Naruto, #69)</t>
  </si>
  <si>
    <t>NARUTO -ãƒŠãƒ«ãƒˆ- 68 (Naruto, #68)</t>
  </si>
  <si>
    <t>NARUTO -ãƒŠãƒ«ãƒˆ- 67 (Naruto, #67)</t>
  </si>
  <si>
    <t>NARUTO -ãƒŠãƒ«ãƒˆ- 66 (Naruto, #66)</t>
  </si>
  <si>
    <t>Cells at Work!, Vol. 2</t>
  </si>
  <si>
    <t>NARUTO -ãƒŠãƒ«ãƒˆ- 65 (Naruto, #65)</t>
  </si>
  <si>
    <t>Naruto, Vol. 64: Ten Tails (Naruto, #64)</t>
  </si>
  <si>
    <t>NARUTO -ãƒŠãƒ«ãƒˆ- 63 (Naruto, #63)</t>
  </si>
  <si>
    <t>NARUTO -ãƒŠãƒ«ãƒˆ- å·»ãƒŽå…­åäºŒ</t>
  </si>
  <si>
    <t>Naruto, Vol. 61: Uchiha Brothers United Front (Naruto, #61)</t>
  </si>
  <si>
    <t>Naruto, Vol. 60: Kurama (Naruto, #60)</t>
  </si>
  <si>
    <t>NARUTO -ãƒŠãƒ«ãƒˆ- å·»ãƒŽäº”åä¹</t>
  </si>
  <si>
    <t>Naruto, Vol. 58:  Naruto vs. Itachi (Naruto, #58)</t>
  </si>
  <si>
    <t>NARUTO -ãƒŠãƒ«ãƒˆ- å·»ãƒŽäº”åä¸ƒ</t>
  </si>
  <si>
    <t>NARUTO -ãƒŠãƒ«ãƒˆ 56- å·»ãƒŽäº”åå…­</t>
  </si>
  <si>
    <t>NARUTO -ãƒŠãƒ«ãƒˆ- 55 å·»ãƒŽäº”åäº”</t>
  </si>
  <si>
    <t>NARUTO -ãƒŠãƒ«ãƒˆ- 54 å·»ãƒŽäº”åå››</t>
  </si>
  <si>
    <t>NARUTO -ãƒŠãƒ«ãƒˆ- 53 å·»ãƒŽäº”åä¸‰</t>
  </si>
  <si>
    <t>Convergence (The Beginning After The End, #5)</t>
  </si>
  <si>
    <t>TurtleMe</t>
  </si>
  <si>
    <t>TurtleMe, TurtleMe</t>
  </si>
  <si>
    <t>NARUTO -ãƒŠãƒ«ãƒˆ- 52 å·»ãƒŽäº”åäºŒ</t>
  </si>
  <si>
    <t>NARUTO -ãƒŠãƒ«ãƒˆ- 51 å·»ãƒŽäº”åä¸€</t>
  </si>
  <si>
    <t>NARUTO -ãƒŠãƒ«ãƒˆ- 50 å·»ãƒŽäº”å</t>
  </si>
  <si>
    <t>Naruto, Vol. 49: The Gokage Summit Commences (Naruto, #49)</t>
  </si>
  <si>
    <t>Naruto, Vol. 48: The Cheering Village (Naruto, #48)</t>
  </si>
  <si>
    <t>Naruto, Vol. 47: The Seal Destroyed (Naruto, #47)</t>
  </si>
  <si>
    <t>Naruto, Vol. 46: Naruto Returns (Naruto, #46)</t>
  </si>
  <si>
    <t>Naruto, Vol. 45: Battlefield, Konoha (Naruto, #45)</t>
  </si>
  <si>
    <t>Cells at Work!, Vol. 1</t>
  </si>
  <si>
    <t>Naruto, Vol. 44: Senjutsu Heir (Naruto, #44)</t>
  </si>
  <si>
    <t>NARUTO -ãƒŠãƒ«ãƒˆ- å·»ãƒŽå››åä¸‰</t>
  </si>
  <si>
    <t>Naruto, Vol. 42: The Secret of the Mangekyo (Naruto, #42)</t>
  </si>
  <si>
    <t>NARUTO -ãƒŠãƒ«ãƒˆ- å·»ãƒŽå››åä¸€</t>
  </si>
  <si>
    <t>Naruto, Vol. 40: The Ultimate Art (Naruto, #40)</t>
  </si>
  <si>
    <t>Naruto 39: å‹•ãå‡ºã™è€…ãŸã¡ [Ugokidasu Mono-Tachi] ã€ˆãƒŠãƒ«ãƒˆ å·»ãƒŽ39ã€‰</t>
  </si>
  <si>
    <t>NARUTO -ãƒŠãƒ«ãƒˆ- å·»ãƒŽä¸‰åå…«</t>
  </si>
  <si>
    <t>NARUTO -ãƒŠãƒ«ãƒˆ- å·»ãƒŽä¸‰åä¸ƒ</t>
  </si>
  <si>
    <t>NARUTO -ãƒŠãƒ«ãƒˆ- å·»ãƒŽä¸‰åå…­</t>
  </si>
  <si>
    <t>Naruto, Vol. 35:  The New Two (Naruto, #35)</t>
  </si>
  <si>
    <t>Berserk Deluxe Edition Volume 11</t>
  </si>
  <si>
    <t>Kentaro Miura</t>
  </si>
  <si>
    <t>Miura, Kentaro</t>
  </si>
  <si>
    <t>Duane Johnson</t>
  </si>
  <si>
    <t>Dark Horse Manga</t>
  </si>
  <si>
    <t>Naruto, Vol. 34: The Reunion (Naruto, #34)</t>
  </si>
  <si>
    <t>Horizon's Edge (The Beginning After The End, #4)</t>
  </si>
  <si>
    <t>Naruto, Vol. 33: The Secret Mission (Naruto, #33)</t>
  </si>
  <si>
    <t>Naruto, Vol. 32:  The Search for Sasuke (Naruto, #32)</t>
  </si>
  <si>
    <t>Naruto, Vol. 31: Final Battle (Naruto, #31)</t>
  </si>
  <si>
    <t>Naruto, Vol. 30: Puppet Masters (Naruto, #30)</t>
  </si>
  <si>
    <t>Naruto, Vol. 29: Kakashi vs. Itachi (Naruto, #29)</t>
  </si>
  <si>
    <t>Naruto, Vol. 28: Homecoming (Naruto, #28)</t>
  </si>
  <si>
    <t>Beckoning Fates (The Beginning After The End, #3)</t>
  </si>
  <si>
    <t>Naruto, Vol. 27: Departure (Naruto, #27)</t>
  </si>
  <si>
    <t>Ryo Guzzonato</t>
  </si>
  <si>
    <t>Naruto, Vol. 26: Awakening (Naruto, #26)</t>
  </si>
  <si>
    <t>Naruto, Vol. 25: Brothers (Naruto, #25)</t>
  </si>
  <si>
    <t>Naruto, Vol. 24: Unorthodox (Naruto, #24)</t>
  </si>
  <si>
    <t>Naruto, Vol. 23: Predicament (Naruto, #23)</t>
  </si>
  <si>
    <t>Naruto, Vol. 22: Comrades (Naruto, #22)</t>
  </si>
  <si>
    <t>Naruto, Vol. 21: Pursuit (Naruto, #21)</t>
  </si>
  <si>
    <t>Naruto, Vol. 20: Naruto vs. Sasuke (Naruto, #20)</t>
  </si>
  <si>
    <t>Naruto, Vol. 18: Tsunade's Choice (Naruto, #18)</t>
  </si>
  <si>
    <t>Naruto, Vol. 19: Successor (Naruto, #19)</t>
  </si>
  <si>
    <t>Parasyte, Volume 1</t>
  </si>
  <si>
    <t>Andrew   Cunningham</t>
  </si>
  <si>
    <t>Naruto, Vol. 17: Itachi's Power (Naruto, #17)</t>
  </si>
  <si>
    <t>Naruto, Vol. 16: Eulogy (Naruto, #16)</t>
  </si>
  <si>
    <t>Naruto, Vol. 15: Naruto's Ninja Handbook! (Naruto, #15)</t>
  </si>
  <si>
    <t>Frances Wall</t>
  </si>
  <si>
    <t>Naruto, Vol. 14: Hokage vs. Hokage!! (Naruto #14)</t>
  </si>
  <si>
    <t>Naruto, Vol. 13: The ChÅ«nin Exam, Concluded...!! (Naruto, #13)</t>
  </si>
  <si>
    <t>Naruto, Vol. 12: The Great Flight (Naruto, #12)</t>
  </si>
  <si>
    <t>Naruto, Vol. 11: Impassioned Efforts (Naruto, #11)</t>
  </si>
  <si>
    <t>Naruto, Vol. 10: A Splendid Ninja (Naruto, #10)</t>
  </si>
  <si>
    <t>Naruto, Vol. 09: Neji vs. Hinata (Naruto, #9)</t>
  </si>
  <si>
    <t>Naruto, Vol. 08: Life-and-Death Battles (Naruto, #8)</t>
  </si>
  <si>
    <t>Naruto, Vol. 07: The Path You Should Tread (Naruto, #7)</t>
  </si>
  <si>
    <t>Naruto, Vol. 06: Predator (Naruto, #6)</t>
  </si>
  <si>
    <t>Naruto, Vol. 05: The Challengers (Naruto, #5)</t>
  </si>
  <si>
    <t>Naruto, Vol. 04: Heroâ€™s Bridge (Naruto, #4)</t>
  </si>
  <si>
    <t>New Heights (The Beginning After The End, #2)</t>
  </si>
  <si>
    <t>Early Years (The Beginning After The End, #1)</t>
  </si>
  <si>
    <t>Naruto, Vol. 03: Dreams (Naruto, #3)</t>
  </si>
  <si>
    <t>Naruto, Vol. 02: The Worst Client (Naruto, #2)</t>
  </si>
  <si>
    <t>ÙŠØ³Ù…Ø¹ÙˆÙ† Ø­Ø³ÙŠØ³Ù‡Ø§</t>
  </si>
  <si>
    <t>Ø£ÙŠÙ…Ù† Ø§Ù„Ø¹ØªÙˆÙ…</t>
  </si>
  <si>
    <t>Ø§Ù„Ø¹ØªÙˆÙ…, Ø£ÙŠÙ…Ù†</t>
  </si>
  <si>
    <t>Ø§Ù„Ù…Ø¤Ø³Ø³Ø© Ø§Ù„Ø¹Ø±Ø¨ÙŠØ© Ù„Ù„Ø¯Ø±Ø§Ø³Ø§Øª Ùˆ Ø§Ù„Ù†Ø´Ø±</t>
  </si>
  <si>
    <t>Solo Leveling Roman 06</t>
  </si>
  <si>
    <t>Melina Honnef</t>
  </si>
  <si>
    <t>altraverse</t>
  </si>
  <si>
    <t>Naruto, Vol. 1: Uzumaki Naruto (Naruto, #1)</t>
  </si>
  <si>
    <t>Katy Bridges</t>
  </si>
  <si>
    <t>VIZ Media</t>
  </si>
  <si>
    <t xml:space="preserve">Paperback </t>
  </si>
  <si>
    <t>Slam Dunk Vol. 31: Tim Basket SMU Shohoku</t>
  </si>
  <si>
    <t>PT Elex Media Komputindo</t>
  </si>
  <si>
    <t>Slam Dunk #30</t>
  </si>
  <si>
    <t>Editorial Ivrea</t>
  </si>
  <si>
    <t>Slam Dunk #29</t>
  </si>
  <si>
    <t>Editorial Ivrea EspaÃ±a</t>
  </si>
  <si>
    <t>Slam Dunk, #28</t>
  </si>
  <si>
    <t>Slam Dunk #27: El Shohoku tiene problemas</t>
  </si>
  <si>
    <t>Slam Dunk, #26</t>
  </si>
  <si>
    <t>Slam Dunk #25</t>
  </si>
  <si>
    <t>Slam Dunk, #24</t>
  </si>
  <si>
    <t>Slam Dunk Vol. 23: Level A &amp; Level B</t>
  </si>
  <si>
    <t>Slam Dunk Vol. 22: First Round</t>
  </si>
  <si>
    <t>Solo Leveling, Vol. 5 (novel)</t>
  </si>
  <si>
    <t>Yen On</t>
  </si>
  <si>
    <t>The Things You Can See Only When You Slow Down: Guidance on the Path to Mindfulness from a Spiritual Leader</t>
  </si>
  <si>
    <t>Haemin Sunim</t>
  </si>
  <si>
    <t>Sunim, Haemin</t>
  </si>
  <si>
    <t>Chi-Young Kim, Youngcheol Lee</t>
  </si>
  <si>
    <t>to-read (#212)</t>
  </si>
  <si>
    <t>ãƒ•ã‚§ã‚¢ãƒªãƒ¼ãƒ†ã‚¤ãƒ« 63 [FearÄ« Teiru 63] (Fairy Tail, #63)</t>
  </si>
  <si>
    <t>Hiro Mashima</t>
  </si>
  <si>
    <t>Mashima, Hiro</t>
  </si>
  <si>
    <t>ãƒ•ã‚§ã‚¢ãƒªãƒ¼ãƒ†ã‚¤ãƒ« 62 [FearÄ« Teiru 62] (Fairy Tail, #62)</t>
  </si>
  <si>
    <t>ãƒ•ã‚§ã‚¢ãƒªãƒ¼ãƒ†ã‚¤ãƒ« 61 [FearÄ« Teiru 61] (Fairy Tail, #61)</t>
  </si>
  <si>
    <t>ãƒ•ã‚§ã‚¢ãƒªãƒ¼ãƒ†ã‚¤ãƒ« 60 [FearÄ« Teiru 60] (Fairy Tail, #60)</t>
  </si>
  <si>
    <t>ãƒ•ã‚§ã‚¢ãƒªãƒ¼ãƒ†ã‚¤ãƒ« 59 [FearÄ« Teiru 59] (Fairy Tail, #59)</t>
  </si>
  <si>
    <t>ãƒ•ã‚§ã‚¢ãƒªãƒ¼ãƒ†ã‚¤ãƒ« 58 [FearÄ« Teiru 58] (Fairy Tail, #58)</t>
  </si>
  <si>
    <t>Fairy Tail, Vol. 57 (Fairy Tail, #57)</t>
  </si>
  <si>
    <t>Fairy Tail, Vol. 56 (Fairy Tail, #56)</t>
  </si>
  <si>
    <t>ãƒ•ã‚§ã‚¢ãƒªãƒ¼ãƒ†ã‚¤ãƒ« 54 [FearÄ« Teiru 54] (Fairy Tail, #54)</t>
  </si>
  <si>
    <t>ãƒ•ã‚§ã‚¢ãƒªãƒ¼ãƒ†ã‚¤ãƒ« 55 [FearÄ« Teiru 55] (Fairy Tail, #55)</t>
  </si>
  <si>
    <t>Solo leveling - light Novel (Solo leveling Vol 4)</t>
  </si>
  <si>
    <t>à¸Šà¸¹à¹ˆà¸à¸‡</t>
  </si>
  <si>
    <t xml:space="preserve">PHOENIX </t>
  </si>
  <si>
    <t>Slam Dunk Vol. 21: Kemenangan dan Kekalahan</t>
  </si>
  <si>
    <t>Slam Dunk, Tome 20</t>
  </si>
  <si>
    <t>Kana</t>
  </si>
  <si>
    <t>Slam Dunk, Vol. 19</t>
  </si>
  <si>
    <t>Slam Dunk, Tome 18</t>
  </si>
  <si>
    <t>Slam Dunk, Vol. 17</t>
  </si>
  <si>
    <t>Ø´Ù‚Ø© Ø§Ù„Ø­Ø±ÙŠØ©</t>
  </si>
  <si>
    <t>Ghazi A. Algosaibi</t>
  </si>
  <si>
    <t>Algosaibi, Ghazi A.</t>
  </si>
  <si>
    <t>ØºØ§Ø²ÙŠ Ø¹Ø¨Ø¯ Ø§Ù„Ø±Ø­Ù…Ù† Ø§Ù„Ù‚ØµÙŠØ¨ÙŠ</t>
  </si>
  <si>
    <t>Ø±ÙŠØ§Ø¶ Ø§Ù„Ø±ÙŠØ³ Ù„Ù„ÙƒØªØ¨ ÙˆØ§Ù„Ù†Ø´Ø±</t>
  </si>
  <si>
    <t>to-read (#211)</t>
  </si>
  <si>
    <t>Slam Dunk, Tome 16</t>
  </si>
  <si>
    <t>Slam Dunk, Tome 15</t>
  </si>
  <si>
    <t>Slam Dunk, Vol. 14</t>
  </si>
  <si>
    <t>Solo Leveling, Vol. 3 (novel)</t>
  </si>
  <si>
    <t>Slam Dunk, Tome 13</t>
  </si>
  <si>
    <t>Slam Dunk, Vol. 12</t>
  </si>
  <si>
    <t>Slam Dunk, Tome 11</t>
  </si>
  <si>
    <t>Slam Dunk, Tome 10</t>
  </si>
  <si>
    <t>Slam Dunk, Vol. 9</t>
  </si>
  <si>
    <t>Solo leveling - light Novel (Solo leveling Vol 2)</t>
  </si>
  <si>
    <t>Web Novel</t>
  </si>
  <si>
    <t>Slam Dunk, Tome 8</t>
  </si>
  <si>
    <t>Slam Dunk, Tome 7</t>
  </si>
  <si>
    <t>Slam Dunk, Vol. 6</t>
  </si>
  <si>
    <t>Slam Dunk Volume 5 (Slam Dunk, #5)</t>
  </si>
  <si>
    <t>Gutsoon!</t>
  </si>
  <si>
    <t>Slam Dunk, Vol. 4</t>
  </si>
  <si>
    <t>Slam Dunk Volume 3 (Slam Dunk, #3)</t>
  </si>
  <si>
    <t>Gutsoon Entertainment</t>
  </si>
  <si>
    <t>Slam Dunk, Vol. 2</t>
  </si>
  <si>
    <t>Solo leveling - light Novel (Solo leveling Vol 1)</t>
  </si>
  <si>
    <t>Slam Dunk, Tome 1</t>
  </si>
  <si>
    <t>Chainsaw Man, Vol. 11: Go Get 'Em, Chainsaw Man</t>
  </si>
  <si>
    <t>ãƒ•ã‚§ã‚¢ãƒªãƒ¼ãƒ†ã‚¤ãƒ« 53 [FearÄ« Teiru 53] (Fairy Tail, #53)</t>
  </si>
  <si>
    <t>ãƒ•ã‚§ã‚¢ãƒªãƒ¼ãƒ†ã‚¤ãƒ« 52 [FearÄ« Teiru 52] (Fairy Tail, #52)</t>
  </si>
  <si>
    <t>â€«Ù…Ù‚Ø¯Ù…Ø© Ø§Ø¨Ù† Ø®Ù„Ø¯ÙˆÙ† â€¬</t>
  </si>
  <si>
    <t>Ø¥Ø¨Ù† Ø®Ù„Ø¯ÙˆÙ†</t>
  </si>
  <si>
    <t>Ø®Ù„Ø¯ÙˆÙ†, Ø¥Ø¨Ù†</t>
  </si>
  <si>
    <t>Ø§Ù„Ù…Ø­Ù‚Ù‚:Ø®Ù„ÙŠÙ„ Ø´Ø­Ø§Ø¯Ø©</t>
  </si>
  <si>
    <t>to-read (#210)</t>
  </si>
  <si>
    <t>ãƒ•ã‚§ã‚¢ãƒªãƒ¼ãƒ†ã‚¤ãƒ« 51 [FearÄ« Teiru 51] (Fairy Tail, #51)</t>
  </si>
  <si>
    <t>Dearly Devoted Dexter (Dexter, #2)</t>
  </si>
  <si>
    <t>Jeff Lindsay</t>
  </si>
  <si>
    <t>Lindsay, Jeff</t>
  </si>
  <si>
    <t>Vintage Books</t>
  </si>
  <si>
    <t>Fairy Tail, Vol. 50</t>
  </si>
  <si>
    <t>Fairy Tail, Vol. 49 (Fairy Tail, #49)</t>
  </si>
  <si>
    <t>Fairy Tail Vol. 48</t>
  </si>
  <si>
    <t>Fairy Tail Vol. 47</t>
  </si>
  <si>
    <t>Fairy Tail Vol. 46</t>
  </si>
  <si>
    <t>Fairy Tail Vol. 45</t>
  </si>
  <si>
    <t>Fairy Tail 44</t>
  </si>
  <si>
    <t>Fairy Tail Vol. 43</t>
  </si>
  <si>
    <t>Fairy Tail Vol. 42</t>
  </si>
  <si>
    <t>Fairy Tail Vol. 41</t>
  </si>
  <si>
    <t>Fairy Tail Vol. 40</t>
  </si>
  <si>
    <t>Fairy Tail 39</t>
  </si>
  <si>
    <t>Fairy Tail 38</t>
  </si>
  <si>
    <t>Fairy Tail 37</t>
  </si>
  <si>
    <t>Being Young, Male and Saudi: Identity and Politics in a Globalized Kingdom</t>
  </si>
  <si>
    <t>Mark C Thompson</t>
  </si>
  <si>
    <t>Thompson, Mark C</t>
  </si>
  <si>
    <t>Cambridge University Press</t>
  </si>
  <si>
    <t>to-read (#209)</t>
  </si>
  <si>
    <t>Fairy Tail 36</t>
  </si>
  <si>
    <t>Fairy Tail 35</t>
  </si>
  <si>
    <t>Fairy Tail 34</t>
  </si>
  <si>
    <t>The Outsider</t>
  </si>
  <si>
    <t>The Beginning After the End Book 10</t>
  </si>
  <si>
    <t>to-read (#208)</t>
  </si>
  <si>
    <t>The Beginning After the End Book 9</t>
  </si>
  <si>
    <t>to-read (#207)</t>
  </si>
  <si>
    <t>Ascension (The Beginning After The End, #8)</t>
  </si>
  <si>
    <t>J. Wade Dial</t>
  </si>
  <si>
    <t>to-read (#206)</t>
  </si>
  <si>
    <t>Transcendence (The Beginning After The End, #6)</t>
  </si>
  <si>
    <t>to-read (#204)</t>
  </si>
  <si>
    <t>Divergence (The Beginning After The End #7)</t>
  </si>
  <si>
    <t>to-read (#205)</t>
  </si>
  <si>
    <t>Fairy Tail 33</t>
  </si>
  <si>
    <t>Fairy Tail 32</t>
  </si>
  <si>
    <t>Fairy Tail Vol. 31</t>
  </si>
  <si>
    <t>Fairy Tail 30</t>
  </si>
  <si>
    <t>Fairy Tail 29</t>
  </si>
  <si>
    <t>Fairy Tail 28</t>
  </si>
  <si>
    <t>Fairy Tail 27</t>
  </si>
  <si>
    <t>Fairy Tail 26</t>
  </si>
  <si>
    <t>Fairy Tail 25</t>
  </si>
  <si>
    <t>Fairy Tail 24</t>
  </si>
  <si>
    <t>Fairy Tail 23</t>
  </si>
  <si>
    <t>Fairy Tail 22</t>
  </si>
  <si>
    <t>Fairy Tail 21</t>
  </si>
  <si>
    <t>Fairy Tail Vol. 20</t>
  </si>
  <si>
    <t>Fairy Tail 19</t>
  </si>
  <si>
    <t>Fairy Tail 18</t>
  </si>
  <si>
    <t>Fairy Tail 17</t>
  </si>
  <si>
    <t>Fairy Tail 16</t>
  </si>
  <si>
    <t>Fairy Tail 15</t>
  </si>
  <si>
    <t>Fairy Tail 14</t>
  </si>
  <si>
    <t>Fairy Tail Vol. 13</t>
  </si>
  <si>
    <t>Fairy Tail Vol. 12</t>
  </si>
  <si>
    <t>Fairy Tail Vol. 11</t>
  </si>
  <si>
    <t>Fairy Tail Vol. 10</t>
  </si>
  <si>
    <t>Fairy Tail 9</t>
  </si>
  <si>
    <t>Fairy Tail, Vol. 08</t>
  </si>
  <si>
    <t>Fairy Tail Vol. 7</t>
  </si>
  <si>
    <t>The Witcher: Fox Children #5</t>
  </si>
  <si>
    <t>Paul Tobin</t>
  </si>
  <si>
    <t>Tobin, Paul</t>
  </si>
  <si>
    <t>Joe Querio</t>
  </si>
  <si>
    <t>Dark Horse</t>
  </si>
  <si>
    <t>Fairy Tail Vol. 6</t>
  </si>
  <si>
    <t>Fairy Tail 5</t>
  </si>
  <si>
    <t>The Witcher: Fox Children #4</t>
  </si>
  <si>
    <t>Fairy Tail Vol. 4</t>
  </si>
  <si>
    <t>Fairy Tail Vol. 1</t>
  </si>
  <si>
    <t>Fairy Tail Vol. 3</t>
  </si>
  <si>
    <t>Fairy Tail 2</t>
  </si>
  <si>
    <t>The Witcher: Fox Children #3</t>
  </si>
  <si>
    <t>The Witcher: Fox Children #2</t>
  </si>
  <si>
    <t>Hannibal (Hannibal Lecter, #3)</t>
  </si>
  <si>
    <t>Arrow</t>
  </si>
  <si>
    <t>to-read (#202)</t>
  </si>
  <si>
    <t>Hannibal Rising (Hannibal Lecter, #4)</t>
  </si>
  <si>
    <t>to-read (#203)</t>
  </si>
  <si>
    <t>The Silence of the Lambs  (Hannibal Lecter, #2)</t>
  </si>
  <si>
    <t>Arrow Books</t>
  </si>
  <si>
    <t>to-read (#201)</t>
  </si>
  <si>
    <t>The Witcher: Fox Children #1</t>
  </si>
  <si>
    <t>The Witcher #5</t>
  </si>
  <si>
    <t>The Witcher #4</t>
  </si>
  <si>
    <t>The Witcher #3</t>
  </si>
  <si>
    <t>The Witcher #2</t>
  </si>
  <si>
    <t>The Witcher #1</t>
  </si>
  <si>
    <t>Oathbringer (The Stormlight Archive, #3)</t>
  </si>
  <si>
    <t>é€²æ’ƒã®å·¨äºº 34 [Shingeki no Kyojin 34] (Attack on Titan, #34)</t>
  </si>
  <si>
    <t>Hajime Isayama</t>
  </si>
  <si>
    <t>Isayama, Hajime</t>
  </si>
  <si>
    <t>è««å±±å‰µ</t>
  </si>
  <si>
    <t>é€²æ’ƒã®å·¨äºº 33 [Shingeki no Kyojin 33] (Attack on Titan, #33)</t>
  </si>
  <si>
    <t>é€²æ’ƒã®å·¨äºº 32 [Shingeki no Kyojin 32] (Attack on Titan, #32)</t>
  </si>
  <si>
    <t>é€²æ’ƒã®å·¨äºº 31 [Shingeki no Kyojin 31] (Attack on Titan, #31)</t>
  </si>
  <si>
    <t>é€²æ’ƒã®å·¨äºº 30 [Shingeki no Kyojin 30] (Attack on Titan, #30)</t>
  </si>
  <si>
    <t>é€²æ’ƒã®å·¨äºº 29 [Shingeki no Kyojin 29] (Attack on Titan, #29)</t>
  </si>
  <si>
    <t>è««å±± å‰µ</t>
  </si>
  <si>
    <t>é€²æ’ƒã®å·¨äºº 28 [Shingeki no Kyojin 28] (Attack on Titan, #28)</t>
  </si>
  <si>
    <t>é€²æ’ƒã®å·¨äºº 27 [Shingeki no Kyojin 27] (Attack on Titan, #27)</t>
  </si>
  <si>
    <t>é€²æ’ƒã®å·¨äºº 26 [Shingeki no Kyojin 26] (Attack on Titan, #26)</t>
  </si>
  <si>
    <t>é€²æ’ƒã®å·¨äºº 25 [Shingeki no Kyojin 25] (Attack on Titan, #25)</t>
  </si>
  <si>
    <t>é€²æ’ƒã®å·¨äºº 24 [Shingeki no Kyojin 24] (Attack on Titan, #24)</t>
  </si>
  <si>
    <t>é€²æ’ƒã®å·¨äºº 23 [Shingeki no Kyojin 23] (Attack on Titan, #23)</t>
  </si>
  <si>
    <t>é€²æ’ƒã®å·¨äºº 22 [Shingeki no Kyojin 22] (Attack on Titan, #22)</t>
  </si>
  <si>
    <t>é€²æ’ƒã®å·¨äºº 21 [Shingeki no Kyojin 21] (Attack on Titan, #21)</t>
  </si>
  <si>
    <t>é€²æ’ƒã®å·¨äºº 20 [Shingeki no Kyojin 20] (Attack on Titan, #20)</t>
  </si>
  <si>
    <t>é€²æ’ƒã®å·¨äºº 19 [Shingeki no Kyojin 19] (Attack on Titan, #19)</t>
  </si>
  <si>
    <t>é€²æ’ƒã®å·¨äºº 18 [Shingeki no Kyojin 18] (Attack on Titan, #18)</t>
  </si>
  <si>
    <t>é€²æ’ƒã®å·¨äºº 17 [Shingeki no Kyojin 17] (Attack on Titan, #17)</t>
  </si>
  <si>
    <t>Attack on Titan, Vol. 16 (Attack on Titan, #16)</t>
  </si>
  <si>
    <t>é€²æ’ƒã®å·¨äºº 15 [Shingeki no Kyojin 15] (Attack on Titan, #15)</t>
  </si>
  <si>
    <t>Attack on Titan, Vol. 14</t>
  </si>
  <si>
    <t>Attack on Titan, Vol. 13 (Attack on Titan, #13)</t>
  </si>
  <si>
    <t>Attack on Titan, Vol. 12</t>
  </si>
  <si>
    <t>Attack on Titan, Vol. 11 (Attack on Titan, #11)</t>
  </si>
  <si>
    <t>é€²æ’ƒã®å·¨äºº 10 [Shingeki no Kyojin 10] (Attack on Titan, #10)</t>
  </si>
  <si>
    <t>é€²æ’ƒã®å·¨äºº 9 [Shingeki no Kyojin 9] (Attack on Titan, #9)</t>
  </si>
  <si>
    <t>é€²æ’ƒã®å·¨äºº 8 [Shingeki no Kyojin 8] (Attack on Titan, #8)</t>
  </si>
  <si>
    <t>é€²æ’ƒã®å·¨äºº 7 [Shingeki no Kyojin 7] (Attack on Titan, #7)</t>
  </si>
  <si>
    <t>Attack on Titan, Vol. 6 (Attack on Titan, #6)</t>
  </si>
  <si>
    <t>Attack on Titan, Vol. 5 (Attack on Titan, #5)</t>
  </si>
  <si>
    <t>Attack on Titan, Vol. 4 (Attack on Titan, #4)</t>
  </si>
  <si>
    <t>Attack on Titan, Vol. 3 (Attack on Titan, #3)</t>
  </si>
  <si>
    <t>Attack on Titan, Vol. 2 (Attack on Titan, #2)</t>
  </si>
  <si>
    <t>Attack on Titan, Vol. 1 (Attack on Titan, #1)</t>
  </si>
  <si>
    <t>Sheldon Drzka</t>
  </si>
  <si>
    <t>99 Ø¬Ø±ÙŠÙ…Ø© Ø­Ù‚ÙŠÙ‚ÙŠØ© Ù‡Ø²Øª Ø£Ø±ÙƒØ§Ù† Ø§Ù„Ù…Ø¬ØªÙ…Ø¹</t>
  </si>
  <si>
    <t>Ø£Ø¨Ùˆ Ø·Ù„Ø§Ù„ Ø§Ù„Ø­Ù…Ø±Ø§Ù†ÙŠ</t>
  </si>
  <si>
    <t>Ø§Ù„Ø­Ù…Ø±Ø§Ù†ÙŠ, Ø£Ø¨Ùˆ Ø·Ù„Ø§Ù„</t>
  </si>
  <si>
    <t>Artemis</t>
  </si>
  <si>
    <t>Andy Weir</t>
  </si>
  <si>
    <t>Weir, Andy</t>
  </si>
  <si>
    <t>Crown</t>
  </si>
  <si>
    <t>Edgedancer (The Stormlight Archive, #2.5)</t>
  </si>
  <si>
    <t>The Genetic Lottery: Why DNA Matters for Social Equality</t>
  </si>
  <si>
    <t>Kathryn Paige Harden</t>
  </si>
  <si>
    <t>Harden, Kathryn Paige</t>
  </si>
  <si>
    <t>Princeton University Press</t>
  </si>
  <si>
    <t>to-read (#200)</t>
  </si>
  <si>
    <t>Darkly Dreaming Dexter (Dexter, #1)</t>
  </si>
  <si>
    <t>Fight Club</t>
  </si>
  <si>
    <t>W.W. Norton &amp; Company (NYC)</t>
  </si>
  <si>
    <t>Choke</t>
  </si>
  <si>
    <t>Peter Pan</t>
  </si>
  <si>
    <t>J.M. Barrie</t>
  </si>
  <si>
    <t>Barrie, J.M.</t>
  </si>
  <si>
    <t>MinaLima</t>
  </si>
  <si>
    <t>Harper Design</t>
  </si>
  <si>
    <t>to-read (#199)</t>
  </si>
  <si>
    <t>Ù…Ù‚Ø¯Ù…Ø© Ø§Ø¨Ù† Ø®Ù„Ø¯ÙˆÙ†</t>
  </si>
  <si>
    <t>Ibn Khaldun</t>
  </si>
  <si>
    <t>Khaldun, Ibn</t>
  </si>
  <si>
    <t>to-read (#198)</t>
  </si>
  <si>
    <t>Ham on Rye</t>
  </si>
  <si>
    <t>Charles Bukowski</t>
  </si>
  <si>
    <t>Bukowski, Charles</t>
  </si>
  <si>
    <t>Ecco</t>
  </si>
  <si>
    <t>to-read (#197)</t>
  </si>
  <si>
    <t>For Women Only: What You Need to Know About the Inner Lives of Men</t>
  </si>
  <si>
    <t>Shaunti Feldhahn</t>
  </si>
  <si>
    <t>Feldhahn, Shaunti</t>
  </si>
  <si>
    <t>Multnomah</t>
  </si>
  <si>
    <t>Tools of Titans: The Tactics, Routines, and Habits of Billionaires, Icons, and World-Class Performers</t>
  </si>
  <si>
    <t>Timothy Ferriss</t>
  </si>
  <si>
    <t>Ferriss, Timothy</t>
  </si>
  <si>
    <t>Arnold Schwarzenegger</t>
  </si>
  <si>
    <t>Houghton Mifflin Harcourt</t>
  </si>
  <si>
    <t>to-read (#196)</t>
  </si>
  <si>
    <t>The Boy, the Mole, the Fox and the Horse</t>
  </si>
  <si>
    <t>Charlie Mackesy</t>
  </si>
  <si>
    <t>Mackesy, Charlie</t>
  </si>
  <si>
    <t>Ebury Press</t>
  </si>
  <si>
    <t>Anxious People</t>
  </si>
  <si>
    <t>Fredrik Backman</t>
  </si>
  <si>
    <t>Backman, Fredrik</t>
  </si>
  <si>
    <t>Neil   Smith</t>
  </si>
  <si>
    <t>Julia and the Shark</t>
  </si>
  <si>
    <t>Kiran Millwood Hargrave</t>
  </si>
  <si>
    <t>Hargrave, Kiran Millwood</t>
  </si>
  <si>
    <t>Tom de Freston</t>
  </si>
  <si>
    <t>Orion Children's Books</t>
  </si>
  <si>
    <t>to-read (#195)</t>
  </si>
  <si>
    <t>For Men Only: A Straightforward Guide to the Inner Lives of Women</t>
  </si>
  <si>
    <t>Jeff Feldhahn</t>
  </si>
  <si>
    <t>Multnomah Books</t>
  </si>
  <si>
    <t>A Fine Balance</t>
  </si>
  <si>
    <t>Rohinton Mistry</t>
  </si>
  <si>
    <t>Mistry, Rohinton</t>
  </si>
  <si>
    <t>to-read (#194)</t>
  </si>
  <si>
    <t>The Help</t>
  </si>
  <si>
    <t>Kathryn Stockett</t>
  </si>
  <si>
    <t>Stockett, Kathryn</t>
  </si>
  <si>
    <t>The Meaning of Marriage: Facing the Complexities of Commitment with the Wisdom of God</t>
  </si>
  <si>
    <t>Timothy J. Keller</t>
  </si>
  <si>
    <t>Keller, Timothy J.</t>
  </si>
  <si>
    <t>Kathy  Keller</t>
  </si>
  <si>
    <t xml:space="preserve">Dutton Adult </t>
  </si>
  <si>
    <t>to-read (#193)</t>
  </si>
  <si>
    <t>How to Listen So People Will Talk: Build Stronger Communication and Deeper Connections</t>
  </si>
  <si>
    <t>Becky Harling</t>
  </si>
  <si>
    <t>Harling, Becky</t>
  </si>
  <si>
    <t>Bethany House Publishers</t>
  </si>
  <si>
    <t>to-read (#192)</t>
  </si>
  <si>
    <t>The New One Minute Manager</t>
  </si>
  <si>
    <t>Kenneth H. Blanchard</t>
  </si>
  <si>
    <t>Blanchard, Kenneth H.</t>
  </si>
  <si>
    <t>William Morrow</t>
  </si>
  <si>
    <t>Don't Sweat the Small Stuff in Love: Simple Ways to Nurture and Strengthen Your Relationships While Avoiding the Habits That Break Down Your Loving Connection</t>
  </si>
  <si>
    <t>Richard Carlson</t>
  </si>
  <si>
    <t>Carlson, Richard</t>
  </si>
  <si>
    <t>Kristine Carlson</t>
  </si>
  <si>
    <t>Hyperion Books</t>
  </si>
  <si>
    <t>to-read (#191)</t>
  </si>
  <si>
    <t>Your Brain On Porn: Internet Pornography and the Emerging Science of Addiction</t>
  </si>
  <si>
    <t>Gary Wilson</t>
  </si>
  <si>
    <t>Wilson, Gary</t>
  </si>
  <si>
    <t>Anthony Jack</t>
  </si>
  <si>
    <t>Commonwealth Publishing</t>
  </si>
  <si>
    <t>The Pale-Faced Lie</t>
  </si>
  <si>
    <t>David   Crow</t>
  </si>
  <si>
    <t>Crow, David</t>
  </si>
  <si>
    <t>Sandra Jonas Publishing</t>
  </si>
  <si>
    <t>Dale Carnegie &amp; Associates' Listen!: The Art of Effective Communication</t>
  </si>
  <si>
    <t>Dale Carnegie</t>
  </si>
  <si>
    <t>Carnegie, Dale</t>
  </si>
  <si>
    <t>Gildan Press</t>
  </si>
  <si>
    <t>Neuromancer (Sprawl, #1)</t>
  </si>
  <si>
    <t>William Gibson</t>
  </si>
  <si>
    <t>Gibson, William</t>
  </si>
  <si>
    <t>Ace</t>
  </si>
  <si>
    <t>to-read (#190)</t>
  </si>
  <si>
    <t>Matilda</t>
  </si>
  <si>
    <t>Roald Dahl</t>
  </si>
  <si>
    <t>Dahl, Roald</t>
  </si>
  <si>
    <t>Quentin Blake</t>
  </si>
  <si>
    <t>Puffin Books</t>
  </si>
  <si>
    <t>Ù‡Ø§Ø±ÙˆÙ† Ø£Ø®ÙŠ</t>
  </si>
  <si>
    <t>Ø¹Ø¨Ø¯Ø§Ù„Ù„Ø·ÙŠÙ Ø®Ø§Ù„Ø¯ Ø§Ù„Ù‚Ø±ÙŠÙ†</t>
  </si>
  <si>
    <t>Ø§Ù„Ù‚Ø±ÙŠÙ†, Ø¹Ø¨Ø¯Ø§Ù„Ù„Ø·ÙŠÙ Ø®Ø§Ù„Ø¯</t>
  </si>
  <si>
    <t>Ù…Ø¯Ø§Ø¯ Ù„Ù„Ù†Ø´Ø±</t>
  </si>
  <si>
    <t>to-read (#189)</t>
  </si>
  <si>
    <t>A Clockwork Orange</t>
  </si>
  <si>
    <t>Anthony Burgess</t>
  </si>
  <si>
    <t>Burgess, Anthony</t>
  </si>
  <si>
    <t>W. W. Norton &amp; Company</t>
  </si>
  <si>
    <t>to-read (#188)</t>
  </si>
  <si>
    <t>Lord of the Flies</t>
  </si>
  <si>
    <t>William Golding</t>
  </si>
  <si>
    <t>Golding, William</t>
  </si>
  <si>
    <t>Mark Kinkead-Weekes, Ian Gregor</t>
  </si>
  <si>
    <t>Faber and Faber</t>
  </si>
  <si>
    <t>Big Panda &amp; Tiny Dragon - Special Edition</t>
  </si>
  <si>
    <t>James Norbury</t>
  </si>
  <si>
    <t>Norbury, James</t>
  </si>
  <si>
    <t>Lightning Source UK Ltd / Milton Keynes UK</t>
  </si>
  <si>
    <t>The Seven Principles for Making Marriage Work: A Practical Guide from the Country's Foremost Relationship Expert</t>
  </si>
  <si>
    <t>John M. Gottman</t>
  </si>
  <si>
    <t>Gottman, John M.</t>
  </si>
  <si>
    <t>Nan Silver</t>
  </si>
  <si>
    <t>Harmony</t>
  </si>
  <si>
    <t>Narconomics: How to Run a Drug Cartel</t>
  </si>
  <si>
    <t>Tom Wainwright</t>
  </si>
  <si>
    <t>Wainwright, Tom</t>
  </si>
  <si>
    <t>PublicAffairs</t>
  </si>
  <si>
    <t>The Psychology of Money</t>
  </si>
  <si>
    <t>Morgan Housel</t>
  </si>
  <si>
    <t>Housel, Morgan</t>
  </si>
  <si>
    <t>Harriman House</t>
  </si>
  <si>
    <t>to-read (#187)</t>
  </si>
  <si>
    <t>How to Talk to Anyone: 92 Little Tricks for Big Success in Relationships</t>
  </si>
  <si>
    <t>Leil Lowndes</t>
  </si>
  <si>
    <t>Lowndes, Leil</t>
  </si>
  <si>
    <t>Contemporary Books</t>
  </si>
  <si>
    <t>to-read (#186)</t>
  </si>
  <si>
    <t>Think Again: The Power of Knowing What You Don't Know</t>
  </si>
  <si>
    <t>Adam M. Grant</t>
  </si>
  <si>
    <t>Grant, Adam M.</t>
  </si>
  <si>
    <t>Viking Books</t>
  </si>
  <si>
    <t>to-read (#185)</t>
  </si>
  <si>
    <t>The Almanack of Naval Ravikant: A Guide to Wealth and Happiness</t>
  </si>
  <si>
    <t>Eric Jorgenson</t>
  </si>
  <si>
    <t>Jorgenson, Eric</t>
  </si>
  <si>
    <t>Magrathea Publishing</t>
  </si>
  <si>
    <t>to-read (#184)</t>
  </si>
  <si>
    <t>Words of Radiance (The Stormlight Archive, #2)</t>
  </si>
  <si>
    <t>Greenlights</t>
  </si>
  <si>
    <t>Matthew McConaughey</t>
  </si>
  <si>
    <t>McConaughey, Matthew</t>
  </si>
  <si>
    <t>Crown Publishing Group (NY)</t>
  </si>
  <si>
    <t>Self Leadership and the One Minute Manager: Increasing Effectiveness Through Situational Self Leadership</t>
  </si>
  <si>
    <t>Lawrence Hawkins, Susan     Fowler</t>
  </si>
  <si>
    <t>to-read (#183)</t>
  </si>
  <si>
    <t>Tomie</t>
  </si>
  <si>
    <t>Junji Ito</t>
  </si>
  <si>
    <t>Ito, Junji</t>
  </si>
  <si>
    <t>Naomi Kokubo</t>
  </si>
  <si>
    <t>Jump: Take the Leap of Faith to Achieve Your Life of Abundance</t>
  </si>
  <si>
    <t>Steve  Harvey</t>
  </si>
  <si>
    <t>Harvey, Steve</t>
  </si>
  <si>
    <t>Mike Hodge</t>
  </si>
  <si>
    <t>HarperCollins</t>
  </si>
  <si>
    <t>Audio CD</t>
  </si>
  <si>
    <t>Harry Potter and the Deathly Hallows (Harry Potter, #7)</t>
  </si>
  <si>
    <t>Arthur A. Levine Books</t>
  </si>
  <si>
    <t>Leaders Eat Last</t>
  </si>
  <si>
    <t>Simon Sinek</t>
  </si>
  <si>
    <t>Sinek, Simon</t>
  </si>
  <si>
    <t>to-read (#182)</t>
  </si>
  <si>
    <t>The Martian</t>
  </si>
  <si>
    <t>Never Split the Difference: Negotiating As If Your Life Depended On It</t>
  </si>
  <si>
    <t>Chris Voss</t>
  </si>
  <si>
    <t>Voss, Chris</t>
  </si>
  <si>
    <t>Tahl Raz</t>
  </si>
  <si>
    <t>to-read (#181)</t>
  </si>
  <si>
    <t>Ø³Ù„Ø³Ù„Ø© Ø±Ø¬Ù„ Ø§Ù„Ù…Ø³ØªØ­ÙŠÙ„ ÙƒØ§Ù…Ù„Ø©</t>
  </si>
  <si>
    <t>Ù†Ø¨ÙŠÙ„ ÙØ§Ø±ÙˆÙ‚</t>
  </si>
  <si>
    <t>ÙØ§Ø±ÙˆÙ‚, Ù†Ø¨ÙŠÙ„</t>
  </si>
  <si>
    <t xml:space="preserve">Ø§Ù„Ù…Ø¤Ø³Ø³Ø© Ø§Ù„Ø¹Ø±Ø¨ÙŠØ© Ø§Ù„Ø­Ø¯ÙŠØ«Ø© </t>
  </si>
  <si>
    <t>to-read (#180)</t>
  </si>
  <si>
    <t>Harry Potter and the Half-Blood Prince (Harry Potter, #6)</t>
  </si>
  <si>
    <t>Scholastic Inc.</t>
  </si>
  <si>
    <t>Gyo</t>
  </si>
  <si>
    <t>Yuji Oniki</t>
  </si>
  <si>
    <t>Berserk Deluxe Edition Volume 10</t>
  </si>
  <si>
    <t>Harry Potter and the Order of the Phoenix (Harry Potter, #5)</t>
  </si>
  <si>
    <t>Mary GrandPrÃ©</t>
  </si>
  <si>
    <t>Ø¹Ù†Ø¯Ù…Ø§ Ø§Ù„ØªÙ‚ÙŠØª Ø¹Ù…Ø± Ø¨Ù† Ø§Ù„Ø®Ø·Ø§Ø¨</t>
  </si>
  <si>
    <t>Ø£Ø¯Ù‡Ù… Ø´Ø±Ù‚Ø§ÙˆÙŠ</t>
  </si>
  <si>
    <t>Ø´Ø±Ù‚Ø§ÙˆÙŠ, Ø£Ø¯Ù‡Ù…</t>
  </si>
  <si>
    <t xml:space="preserve">Ø¯Ø§Ø± ÙƒÙ„Ù…Ø§Øª Ù„Ù„Ù†Ø´Ø± ÙˆØ§Ù„ØªÙˆØ²ÙŠØ¹ </t>
  </si>
  <si>
    <t>to-read (#179)</t>
  </si>
  <si>
    <t>Berserk Deluxe Edition Volume 9</t>
  </si>
  <si>
    <t>Ø§Ù„Ø¯Ø­ÙŠØ­: Ù…Ø§ ÙˆØ±Ø§Ø¡ Ø§Ù„ÙƒÙˆØ§Ù„ÙŠØ³</t>
  </si>
  <si>
    <t>Taher El Moataz Bellah</t>
  </si>
  <si>
    <t>Bellah, Taher El Moataz</t>
  </si>
  <si>
    <t>Berserk Deluxe Edition Volume 8</t>
  </si>
  <si>
    <t>Daddy-Long-Legs (Daddy-Long-Legs, #1)</t>
  </si>
  <si>
    <t>Jean Webster</t>
  </si>
  <si>
    <t>Webster, Jean</t>
  </si>
  <si>
    <t>Dagnija Dreika, DÅ¾Ä«na Vebstere, Aigars Truhins, Antra Vagnere</t>
  </si>
  <si>
    <t>Hodder &amp; Stoughton</t>
  </si>
  <si>
    <t>to-read (#178)</t>
  </si>
  <si>
    <t>Ù…Ø¤ØªÙ…Ø± Ø§Ù„Ù…ÙˆØª</t>
  </si>
  <si>
    <t>Ù…Ø­Ù…Ø¯ Ø³Ø¹ÙŠØ¯ Ø§Ù„Ø¯Ø¨ÙˆØ³</t>
  </si>
  <si>
    <t>Ø§Ù„Ø¯Ø¨ÙˆØ³, Ù…Ø­Ù…Ø¯ Ø³Ø¹ÙŠØ¯</t>
  </si>
  <si>
    <t>Ù†ÙˆÙØ§ Ø¨Ù„Ø³</t>
  </si>
  <si>
    <t>Berserk Deluxe Edition Volume 7</t>
  </si>
  <si>
    <t>Berserk Deluxe Edition Volume 6</t>
  </si>
  <si>
    <t>Foundation (Foundation, #1)</t>
  </si>
  <si>
    <t>Isaac Asimov</t>
  </si>
  <si>
    <t>Asimov, Isaac</t>
  </si>
  <si>
    <t>Bantam</t>
  </si>
  <si>
    <t>to-read (#177)</t>
  </si>
  <si>
    <t>Ender's Game (Ender's Saga, #1)</t>
  </si>
  <si>
    <t>Orson Scott Card</t>
  </si>
  <si>
    <t>Card, Orson Scott</t>
  </si>
  <si>
    <t>Tor</t>
  </si>
  <si>
    <t>to-read (#176)</t>
  </si>
  <si>
    <t>I Can't Make This Up: Life Lessons</t>
  </si>
  <si>
    <t>Kevin  Hart</t>
  </si>
  <si>
    <t>Hart, Kevin</t>
  </si>
  <si>
    <t>Neil Strauss</t>
  </si>
  <si>
    <t>37 Ink</t>
  </si>
  <si>
    <t>The Testaments (The Handmaid's Tale, #2)</t>
  </si>
  <si>
    <t>Margaret Atwood</t>
  </si>
  <si>
    <t>Atwood, Margaret</t>
  </si>
  <si>
    <t>Nan A. Talese</t>
  </si>
  <si>
    <t>to-read (#175)</t>
  </si>
  <si>
    <t>Rebecca</t>
  </si>
  <si>
    <t>Daphne du Maurier</t>
  </si>
  <si>
    <t>Maurier, Daphne du</t>
  </si>
  <si>
    <t>Virago</t>
  </si>
  <si>
    <t>to-read (#174)</t>
  </si>
  <si>
    <t>The Handmaid's Tale (The Handmaid's Tale, #1)</t>
  </si>
  <si>
    <t>to-read (#173)</t>
  </si>
  <si>
    <t>Project Hail Mary</t>
  </si>
  <si>
    <t>Harry Potter and the Prisoner of Azkaban (Harry Potter, #3)</t>
  </si>
  <si>
    <t>Pet Sematary</t>
  </si>
  <si>
    <t>The Diary of a Young Girl</t>
  </si>
  <si>
    <t>Anne Frank</t>
  </si>
  <si>
    <t>Frank, Anne</t>
  </si>
  <si>
    <t>Eleanor Roosevelt, Susan Massotty, Î“Î¹Î¬Î½Î½Î·Ï‚ Î˜Ï‰Î¼ÏŒÏ€Î¿Ï…Î»Î¿Ï‚, Barbara Mooyaart-Doubleday, Otto H. Frank, Mirjam Pressler</t>
  </si>
  <si>
    <t>SPYÃ—FAMILY 9 (SPYÃ—FAMILY, #9)</t>
  </si>
  <si>
    <t>Tatsuya Endo</t>
  </si>
  <si>
    <t>Endo, Tatsuya</t>
  </si>
  <si>
    <t>é è—¤é”å“‰</t>
  </si>
  <si>
    <t>SpyÃ—Family 8 (SpyxFamily, #8)</t>
  </si>
  <si>
    <t>SpyÃ—Family 7 (SpyxFamily, #7)</t>
  </si>
  <si>
    <t>SpyÃ—Family 6 (Spy Ã— Family, #6)</t>
  </si>
  <si>
    <t>SpyÃ—Family 5 (SpyxFamily, #5)</t>
  </si>
  <si>
    <t>SpyÃ—Family 4 (SpyxFamily, #4)</t>
  </si>
  <si>
    <t>SpyÃ—Family 3 (SpyxFamily, #3)</t>
  </si>
  <si>
    <t>Spy x Family, Vol. 2</t>
  </si>
  <si>
    <t>Casey Loe</t>
  </si>
  <si>
    <t>Spy Ã— Family, Vol. 1 (Spy Ã— Family, #1)</t>
  </si>
  <si>
    <t>Winning</t>
  </si>
  <si>
    <t>Jack Welch</t>
  </si>
  <si>
    <t>Welch, Jack</t>
  </si>
  <si>
    <t>Suzy Welch</t>
  </si>
  <si>
    <t>to-read (#172)</t>
  </si>
  <si>
    <t>Ø§Ù„Ø¥Ø®ÙˆØ© Ø§Ù„Ø³ÙˆØ¯</t>
  </si>
  <si>
    <t>Lisa Tetzner</t>
  </si>
  <si>
    <t>Tetzner, Lisa</t>
  </si>
  <si>
    <t>Ù„ÙŠØ²Ø§ ØªÙŠØªØ²Ù†Ø±, Ø®Ù„ÙŠÙ„ Ø§Ù„Ø´ÙŠØ®</t>
  </si>
  <si>
    <t>Ù‡ÙŠØ¦Ø© Ø£Ø¨ÙˆØ¸Ø¨ÙŠ Ù„Ù„Ø«Ù‚Ø§ÙØ© Ùˆ Ø§Ù„ØªØ±Ø§Ø«,ÙƒÙ„Ù…Ø©</t>
  </si>
  <si>
    <t>The First 90 Days: Critical Success Strategies for New Leaders at All Levels</t>
  </si>
  <si>
    <t>Michael D. Watkins</t>
  </si>
  <si>
    <t>Watkins, Michael D.</t>
  </si>
  <si>
    <t>Harvard Business Review Press</t>
  </si>
  <si>
    <t>Hustle Harder, Hustle Smarter</t>
  </si>
  <si>
    <t>50 Cent</t>
  </si>
  <si>
    <t>Cent, 50</t>
  </si>
  <si>
    <t>Curtis  Jackson</t>
  </si>
  <si>
    <t>Amistad</t>
  </si>
  <si>
    <t>The Way of Kings (The Stormlight Archive, #1)</t>
  </si>
  <si>
    <t>The Alchemist</t>
  </si>
  <si>
    <t>Paulo Coelho</t>
  </si>
  <si>
    <t>Coelho, Paulo</t>
  </si>
  <si>
    <t>Alan R. Clarke, James Noel Smith</t>
  </si>
  <si>
    <t>HarperOne</t>
  </si>
  <si>
    <t>Ø­ÙŠØ§Ø© ÙÙŠ Ø§Ù„Ø¥Ø¯Ø§Ø±Ø©</t>
  </si>
  <si>
    <t xml:space="preserve">Ø§Ù„Ù…Ø¤Ø³Ø³Ø© Ø§Ù„Ø¹Ø±Ø¨ÙŠØ© Ù„Ù„Ø¯Ø±Ø§Ø³Ø§Øª ÙˆØ§Ù„Ù†Ø´Ø± </t>
  </si>
  <si>
    <t>Ø§Ù„ÙˆØ²ÙŠØ± Ø§Ù„Ù…Ø±Ø§ÙÙ‚</t>
  </si>
  <si>
    <t>Ø§Ù„Ù…Ø¤Ø³Ø³Ø© Ø§Ù„Ø¹Ø±Ø¨ÙŠØ© Ù„Ù„Ø¯Ø±Ø§Ø³Ø§Øª ÙˆØ§Ù„Ù†Ø´Ø±</t>
  </si>
  <si>
    <t>The Emotionally Intelligent Leader</t>
  </si>
  <si>
    <t>Daniel Goleman</t>
  </si>
  <si>
    <t>Goleman, Daniel</t>
  </si>
  <si>
    <t>to-read (#171)</t>
  </si>
  <si>
    <t>Berserk Deluxe Edition Volume 5</t>
  </si>
  <si>
    <t>Berserk Deluxe Edition Volume 4</t>
  </si>
  <si>
    <t>Berserk Deluxe Edition Volume 3</t>
  </si>
  <si>
    <t>Berserk Deluxe Edition Volume 2</t>
  </si>
  <si>
    <t>Jason DeAngelis, Duane Johnson</t>
  </si>
  <si>
    <t>Berserk Deluxe Edition Volume 1</t>
  </si>
  <si>
    <t>Jason DeAngelis</t>
  </si>
  <si>
    <t>ãƒã‚§ãƒ³ã‚½ãƒ¼ãƒžãƒ³ 10 (Chainsaw Man, #10)</t>
  </si>
  <si>
    <t>Chainsaw Man, Vol. 8</t>
  </si>
  <si>
    <t>Chainsaw Man, Vol. 7</t>
  </si>
  <si>
    <t>Chainsaw Man, Vol. 6</t>
  </si>
  <si>
    <t>Chainsaw Man, Vol. 5</t>
  </si>
  <si>
    <t>Chainsaw Man, Vol. 4</t>
  </si>
  <si>
    <t>Chainsaw Man, Vol. 3</t>
  </si>
  <si>
    <t>Chainsaw Man, Vol. 2</t>
  </si>
  <si>
    <t>Perfume: The Story of a Murderer</t>
  </si>
  <si>
    <t>Patrick SÃ¼skind</t>
  </si>
  <si>
    <t>SÃ¼skind, Patrick</t>
  </si>
  <si>
    <t>John E. Woods</t>
  </si>
  <si>
    <t>George Orwell</t>
  </si>
  <si>
    <t>Orwell, George</t>
  </si>
  <si>
    <t>Harry Potter and the Chamber of Secrets (Harry Potter, #2)</t>
  </si>
  <si>
    <t>Things My Son Needs to Know About the World</t>
  </si>
  <si>
    <t>Alice Menzies</t>
  </si>
  <si>
    <t>A Man Called Ove</t>
  </si>
  <si>
    <t>Henning Koch</t>
  </si>
  <si>
    <t>Chainsaw Man, Vol. 1</t>
  </si>
  <si>
    <t>In Love &amp; Pajamas: A Collection of Comics about Being Yourself Together</t>
  </si>
  <si>
    <t>Catana Chetwynd</t>
  </si>
  <si>
    <t>Chetwynd, Catana</t>
  </si>
  <si>
    <t>Kafka on the Shore</t>
  </si>
  <si>
    <t>Haruki Murakami</t>
  </si>
  <si>
    <t>Murakami, Haruki</t>
  </si>
  <si>
    <t>Philip Gabriel</t>
  </si>
  <si>
    <t>Harry Potter and the Sorcerer's Stone (Harry Potter, #1)</t>
  </si>
  <si>
    <t>Scholastic Inc</t>
  </si>
  <si>
    <t>Animal Farm</t>
  </si>
  <si>
    <t>Russell Baker, C.M. Woodhouse</t>
  </si>
  <si>
    <t>Signet Classics</t>
  </si>
  <si>
    <t>Little Moments of Love</t>
  </si>
  <si>
    <t>to-read (#170)</t>
  </si>
  <si>
    <t>Snug: A Collection of Comics about Dating Your Best Friend</t>
  </si>
  <si>
    <t>to-read (#169)</t>
  </si>
  <si>
    <t>The Lies of Locke Lamora (Gentleman Bastard, #1)</t>
  </si>
  <si>
    <t>Scott Lynch</t>
  </si>
  <si>
    <t>Lynch, Scott</t>
  </si>
  <si>
    <t>Spectra</t>
  </si>
  <si>
    <t>to-read (#168)</t>
  </si>
  <si>
    <t>Different Seasons</t>
  </si>
  <si>
    <t>Warner Books</t>
  </si>
  <si>
    <t>To Kill a Mockingbird</t>
  </si>
  <si>
    <t>Harper Lee</t>
  </si>
  <si>
    <t>Lee, Harper</t>
  </si>
  <si>
    <t xml:space="preserve">Harper Perennial Modern Classics </t>
  </si>
  <si>
    <t>to-read (#167)</t>
  </si>
  <si>
    <t>Misery</t>
  </si>
  <si>
    <t>Fahrenheit 451</t>
  </si>
  <si>
    <t>Ray Bradbury</t>
  </si>
  <si>
    <t>Bradbury, Ray</t>
  </si>
  <si>
    <t>to-read (#166)</t>
  </si>
  <si>
    <t>The Midnight Library</t>
  </si>
  <si>
    <t>Matt Haig</t>
  </si>
  <si>
    <t>Haig, Matt</t>
  </si>
  <si>
    <t>Canongate Books Ltd.</t>
  </si>
  <si>
    <t>Educated</t>
  </si>
  <si>
    <t>Tara Westover</t>
  </si>
  <si>
    <t>Westover, Tara</t>
  </si>
  <si>
    <t>The Wonderful Wizard of Oz (Oz, #1)</t>
  </si>
  <si>
    <t>L. Frank Baum</t>
  </si>
  <si>
    <t>Baum, L. Frank</t>
  </si>
  <si>
    <t>Paper Mill Press</t>
  </si>
  <si>
    <t>Softcover</t>
  </si>
  <si>
    <t>Vagabond, Vol. 6</t>
  </si>
  <si>
    <t>Vagabond, Vol. 12</t>
  </si>
  <si>
    <t>Vagabond, Vol. 11</t>
  </si>
  <si>
    <t>Vagabond, Vol. 10</t>
  </si>
  <si>
    <t>Vagabond, Vol. 9</t>
  </si>
  <si>
    <t>Vagabond, Vol. 8</t>
  </si>
  <si>
    <t>Vagabond, Vol. 7</t>
  </si>
  <si>
    <t>Vinland Saga Omnibus, Vol. 12</t>
  </si>
  <si>
    <t>Stephen Paul</t>
  </si>
  <si>
    <t>Vinland Saga Omnibus, Vol. 11</t>
  </si>
  <si>
    <t>Vinland Saga Omnibus, Vol. 10</t>
  </si>
  <si>
    <t>Rich Dad, Poor Dad</t>
  </si>
  <si>
    <t>Robert T. Kiyosaki</t>
  </si>
  <si>
    <t>Kiyosaki, Robert T.</t>
  </si>
  <si>
    <t>Sharon L. Lechter</t>
  </si>
  <si>
    <t>Time Warner Books UK</t>
  </si>
  <si>
    <t>Vagabond, Vol. 5</t>
  </si>
  <si>
    <t>The Vanishing Half</t>
  </si>
  <si>
    <t>Brit Bennett</t>
  </si>
  <si>
    <t>Bennett, Brit</t>
  </si>
  <si>
    <t>to-read (#165)</t>
  </si>
  <si>
    <t>American Dirt</t>
  </si>
  <si>
    <t>Jeanine Cummins</t>
  </si>
  <si>
    <t>Cummins, Jeanine</t>
  </si>
  <si>
    <t>Uzumaki</t>
  </si>
  <si>
    <t>How to Win Friends and Influence People</t>
  </si>
  <si>
    <t>Vinland Saga Omnibus, Vol. 9</t>
  </si>
  <si>
    <t>Vinland Saga Omnibus, Vol. 8</t>
  </si>
  <si>
    <t>Vinland Saga Omnibus, Vol. 7</t>
  </si>
  <si>
    <t>Will</t>
  </si>
  <si>
    <t>Will Smith</t>
  </si>
  <si>
    <t>Smith, Will</t>
  </si>
  <si>
    <t>Mark Manson</t>
  </si>
  <si>
    <t>Penguin Press</t>
  </si>
  <si>
    <t>Stranger in a Strange Land</t>
  </si>
  <si>
    <t>Robert A. Heinlein</t>
  </si>
  <si>
    <t>Heinlein, Robert A.</t>
  </si>
  <si>
    <t>James Warhola</t>
  </si>
  <si>
    <t>to-read (#164)</t>
  </si>
  <si>
    <t>Brave New World</t>
  </si>
  <si>
    <t>Aldous Huxley</t>
  </si>
  <si>
    <t>Huxley, Aldous</t>
  </si>
  <si>
    <t>HarperPerennial / Perennial Classics</t>
  </si>
  <si>
    <t>to-read (#163)</t>
  </si>
  <si>
    <t>Alice's Adventures in Wonderland (Alice's Adventures in Wonderland, #1)</t>
  </si>
  <si>
    <t>Lewis Carroll</t>
  </si>
  <si>
    <t>Carroll, Lewis</t>
  </si>
  <si>
    <t>T.H. Robinson, Charles Pears</t>
  </si>
  <si>
    <t>Public Domain Books</t>
  </si>
  <si>
    <t>It</t>
  </si>
  <si>
    <t>Vagabond, Vol. 3</t>
  </si>
  <si>
    <t>Vagabond, Vol. 4</t>
  </si>
  <si>
    <t>The Arabian Nights</t>
  </si>
  <si>
    <t>Anonymous</t>
  </si>
  <si>
    <t>Anonymous, Anonymous</t>
  </si>
  <si>
    <t>A.S. Byatt, Richard Francis Burton</t>
  </si>
  <si>
    <t>Modern Library</t>
  </si>
  <si>
    <t>Vagabond, Vol. 1</t>
  </si>
  <si>
    <t>The Archer</t>
  </si>
  <si>
    <t>Margaret Jull Costa, Christoph Niemann</t>
  </si>
  <si>
    <t>Knopf Publishing Group</t>
  </si>
  <si>
    <t>Grimm's Complete Fairy Tales</t>
  </si>
  <si>
    <t>Jacob Grimm</t>
  </si>
  <si>
    <t>Grimm, Jacob</t>
  </si>
  <si>
    <t>Wilhelm Grimm, Margaret Hunt, Kenneth C. Mondschein</t>
  </si>
  <si>
    <t>to-read (#162)</t>
  </si>
  <si>
    <t>A Little Life</t>
  </si>
  <si>
    <t>Hanya Yanagihara</t>
  </si>
  <si>
    <t>Yanagihara, Hanya</t>
  </si>
  <si>
    <t>to-read (#153)</t>
  </si>
  <si>
    <t>Vinland Saga Omnibus, Vol. 6</t>
  </si>
  <si>
    <t>Vinland Saga Omnibus, Vol. 5</t>
  </si>
  <si>
    <t>The Data Detective: Ten Easy Rules to Make Sense of Statistics</t>
  </si>
  <si>
    <t>Tim Harford</t>
  </si>
  <si>
    <t>Harford, Tim</t>
  </si>
  <si>
    <t>Dopamine Nation: Finding Balance in the Age of Indulgence</t>
  </si>
  <si>
    <t>Anna Lembke</t>
  </si>
  <si>
    <t>Lembke, Anna</t>
  </si>
  <si>
    <t>Dutton Books</t>
  </si>
  <si>
    <t>Unknown Binding</t>
  </si>
  <si>
    <t>to-read (#161)</t>
  </si>
  <si>
    <t>The One Thing: The Surprisingly Simple Truth Behind Extraordinary Results</t>
  </si>
  <si>
    <t>Gary Keller</t>
  </si>
  <si>
    <t>Keller, Gary</t>
  </si>
  <si>
    <t>Jay Papasan</t>
  </si>
  <si>
    <t>Bard Press (TX)</t>
  </si>
  <si>
    <t>to-read (#160)</t>
  </si>
  <si>
    <t>The Glass Castle</t>
  </si>
  <si>
    <t>Jeannette Walls</t>
  </si>
  <si>
    <t>Walls, Jeannette</t>
  </si>
  <si>
    <t>to-read (#159)</t>
  </si>
  <si>
    <t>Hyperion (Hyperion Cantos, #1)</t>
  </si>
  <si>
    <t>Dan Simmons</t>
  </si>
  <si>
    <t>Simmons, Dan</t>
  </si>
  <si>
    <t>Gary Ruddell, Gaetano Luigi Staffilano</t>
  </si>
  <si>
    <t>Bantam Doubleday Dell Publishing Group</t>
  </si>
  <si>
    <t>to-read (#158)</t>
  </si>
  <si>
    <t>The Hunger of the Gods (The Bloodsworn Saga, #2)</t>
  </si>
  <si>
    <t>John Gwynne</t>
  </si>
  <si>
    <t>Gwynne, John</t>
  </si>
  <si>
    <t>to-read (#157)</t>
  </si>
  <si>
    <t>The Shadow of the Gods (The Bloodsworn Saga, #1)</t>
  </si>
  <si>
    <t>to-read (#156)</t>
  </si>
  <si>
    <t>Empire of the Vampire (Empire of the Vampire, #1)</t>
  </si>
  <si>
    <t>Jay Kristoff</t>
  </si>
  <si>
    <t>Kristoff, Jay</t>
  </si>
  <si>
    <t>Bon Orthwick</t>
  </si>
  <si>
    <t>to-read (#155)</t>
  </si>
  <si>
    <t>Childhood's End</t>
  </si>
  <si>
    <t>Arthur C. Clarke</t>
  </si>
  <si>
    <t>Clarke, Arthur C.</t>
  </si>
  <si>
    <t>Del Rey Books</t>
  </si>
  <si>
    <t>to-read (#154)</t>
  </si>
  <si>
    <t>Ø­ÙƒØ§ÙŠØ§Øª Ø§Ù„Ø£Ø®ÙˆÙŠÙ† ØºØ±ÙŠÙ…</t>
  </si>
  <si>
    <t>Wilhelm Grimm, Ù†Ø¨ÙŠÙ„ Ø§Ù„Ø­ÙØ§Ø±</t>
  </si>
  <si>
    <t>Ø¯Ø§Ø± Ø§Ù„Ù…Ø¯Ù‰</t>
  </si>
  <si>
    <t>to-read (#152)</t>
  </si>
  <si>
    <t>If It Bleeds: Mr. Harrigan's Phone, The Life of Chuck, Rat</t>
  </si>
  <si>
    <t>9 Ø£Ø¹Ù…Ø§Ù„ Ø¯ÙˆØ³ØªÙˆÙŠÙØ³ÙƒÙŠ Ø§Ù„Ø£Ø¯Ø¨ÙŠØ©: Ø§Ù„Ø¬Ø±ÙŠÙ…Ø© ÙˆØ§Ù„Ø¹Ù‚Ø§Ø¨ 2 Ù€ Ø§Ù„Ù…Ø¬Ù„Ø¯</t>
  </si>
  <si>
    <t>Fyodor Dostoevsky</t>
  </si>
  <si>
    <t>Dostoevsky, Fyodor</t>
  </si>
  <si>
    <t>ÙÙŠÙˆØ¯ÙˆØ± Ø¯ÙˆØ³ØªÙˆÙŠÙØ³ÙƒÙŠ, Ø³Ø§Ù…ÙŠ Ø§Ù„Ø¯Ø±ÙˆØ¨ÙŠ</t>
  </si>
  <si>
    <t>Ø§Ù„Ù‡ÙŠØ¦Ø© Ø§Ù„Ù…ØµØ±ÙŠØ© Ø§Ù„Ø¹Ø§Ù…Ø© Ù„Ù„ÙƒØªØ§Ø¨</t>
  </si>
  <si>
    <t>to-read (#151)</t>
  </si>
  <si>
    <t>8 Ø£Ø¹Ù…Ø§Ù„ Ø¯ÙˆØ³ØªÙˆÙŠÙØ³ÙƒÙŠ Ø§Ù„Ø£Ø¯Ø¨ÙŠØ©: Ø§Ù„Ø¬Ø±ÙŠÙ…Ø© ÙˆØ§Ù„Ø¹Ù‚Ø§Ø¨ 1 Ù€ Ø§Ù„Ù…Ø¬Ù„Ø¯</t>
  </si>
  <si>
    <t>ÙÙŠÙˆØ¯ÙˆØ± Ø¯ÙˆØ³ØªÙˆÙŠÙØ³ÙƒÙŠ</t>
  </si>
  <si>
    <t>Ø¯ÙˆØ³ØªÙˆÙŠÙØ³ÙƒÙŠ, ÙÙŠÙˆØ¯ÙˆØ±</t>
  </si>
  <si>
    <t>Fyodor Dostoevsky, Ø³Ø§Ù…ÙŠ Ø§Ù„Ø¯Ø±ÙˆØ¨ÙŠ</t>
  </si>
  <si>
    <t>to-read (#150)</t>
  </si>
  <si>
    <t>Crooked Kingdom (Six of Crows, #2)</t>
  </si>
  <si>
    <t>Leigh Bardugo</t>
  </si>
  <si>
    <t>Bardugo, Leigh</t>
  </si>
  <si>
    <t>to-read (#149)</t>
  </si>
  <si>
    <t>Six of Crows (Six of Crows, #1)</t>
  </si>
  <si>
    <t>to-read (#148)</t>
  </si>
  <si>
    <t>The Count of Monte Cristo</t>
  </si>
  <si>
    <t>Alexandre Dumas</t>
  </si>
  <si>
    <t>Dumas, Alexandre</t>
  </si>
  <si>
    <t>Robin Buss</t>
  </si>
  <si>
    <t>Penguin Classics</t>
  </si>
  <si>
    <t>to-read (#147)</t>
  </si>
  <si>
    <t>Doctor Zhivago</t>
  </si>
  <si>
    <t>Boris Pasternak</t>
  </si>
  <si>
    <t>Pasternak, Boris</t>
  </si>
  <si>
    <t>John Bayley, Max Hayward, Manya Harari</t>
  </si>
  <si>
    <t>Pantheon</t>
  </si>
  <si>
    <t>to-read (#146)</t>
  </si>
  <si>
    <t>Billy Summers</t>
  </si>
  <si>
    <t>The Shining</t>
  </si>
  <si>
    <t xml:space="preserve">New English Library (Hodder &amp; Stoughton) </t>
  </si>
  <si>
    <t>to-read (#145)</t>
  </si>
  <si>
    <t>Talent is Overrated: What Really Separates World-Class Performers from Everybody Else</t>
  </si>
  <si>
    <t>Geoff Colvin</t>
  </si>
  <si>
    <t>Colvin, Geoff</t>
  </si>
  <si>
    <t>to-read (#144)</t>
  </si>
  <si>
    <t>The Name of the Wind (The Kingkiller Chronicle, #1)</t>
  </si>
  <si>
    <t>Patrick Rothfuss</t>
  </si>
  <si>
    <t>Rothfuss, Patrick</t>
  </si>
  <si>
    <t>Penguin Group DAW</t>
  </si>
  <si>
    <t>to-read (#143)</t>
  </si>
  <si>
    <t>Of Mice and Men</t>
  </si>
  <si>
    <t>John Steinbeck</t>
  </si>
  <si>
    <t>Steinbeck, John</t>
  </si>
  <si>
    <t>to-read (#142)</t>
  </si>
  <si>
    <t>Ù†Ø§Ø¯ÙŠ Ø§Ù„Ø£Ø±Ù‚</t>
  </si>
  <si>
    <t>Ù…Ø­Ù…Ø¯ Ø³Ù„Ù…Ø§Ù† ÙƒØ§Ù…Ù„</t>
  </si>
  <si>
    <t>ÙƒØ§Ù…Ù„, Ù…Ø­Ù…Ø¯ Ø³Ù„Ù…Ø§Ù†</t>
  </si>
  <si>
    <t>to-read (#141)</t>
  </si>
  <si>
    <t>Ø£ÙˆÙ…ÙŠØ¯Ø§ ÙˆØ§Ù„Ø¹ÙˆØ§Ù„Ù… Ø§Ù„Ù…ØªÙˆØ§Ø²ÙŠØ©</t>
  </si>
  <si>
    <t>Ø¹Ø¨Ø¯Ø§Ù„Ù„Ù‡ Ù…Ø³Ø¹ÙˆØ¯</t>
  </si>
  <si>
    <t>Ù…Ø³Ø¹ÙˆØ¯, Ø¹Ø¨Ø¯Ø§Ù„Ù„Ù‡</t>
  </si>
  <si>
    <t>to-read (#140)</t>
  </si>
  <si>
    <t>The Dutch House</t>
  </si>
  <si>
    <t>Ann Patchett</t>
  </si>
  <si>
    <t>Patchett, Ann</t>
  </si>
  <si>
    <t>Harper</t>
  </si>
  <si>
    <t>to-read (#139)</t>
  </si>
  <si>
    <t>Ù‡Ø³ØªÙŠØ±ÙŠØ§</t>
  </si>
  <si>
    <t>ÙØ¯Ø§Ø¡ Ø§Ù„Ø¹Ø¬Ù…ÙŠ</t>
  </si>
  <si>
    <t>Ø§Ù„Ø¹Ø¬Ù…ÙŠ, ÙØ¯Ø§Ø¡</t>
  </si>
  <si>
    <t>Platinum Book</t>
  </si>
  <si>
    <t>to-read (#138)</t>
  </si>
  <si>
    <t>Ø¬Ø¹ÙØ± Ø³Ù„Ù…Ø§Ù†</t>
  </si>
  <si>
    <t>Ø³Ù„Ù…Ø§Ù†, Ø¬Ø¹ÙØ±</t>
  </si>
  <si>
    <t>Ø¨ÙˆÙƒ Ù„Ø§Ù†Ø¯</t>
  </si>
  <si>
    <t>to-read (#137)</t>
  </si>
  <si>
    <t>The Time Traveler's Wife</t>
  </si>
  <si>
    <t>Audrey Niffenegger</t>
  </si>
  <si>
    <t>Niffenegger, Audrey</t>
  </si>
  <si>
    <t>Zola Books</t>
  </si>
  <si>
    <t>to-read (#136)</t>
  </si>
  <si>
    <t>Life of Pi</t>
  </si>
  <si>
    <t>Yann Martel</t>
  </si>
  <si>
    <t>Martel, Yann</t>
  </si>
  <si>
    <t>Seal Books</t>
  </si>
  <si>
    <t>to-read (#135)</t>
  </si>
  <si>
    <t>Gone with the Wind</t>
  </si>
  <si>
    <t>Margaret Mitchell</t>
  </si>
  <si>
    <t>Mitchell, Margaret</t>
  </si>
  <si>
    <t>to-read (#134)</t>
  </si>
  <si>
    <t>Dune (Dune, #1)</t>
  </si>
  <si>
    <t>Frank Herbert</t>
  </si>
  <si>
    <t>Herbert, Frank</t>
  </si>
  <si>
    <t>Ace Books</t>
  </si>
  <si>
    <t>to-read (#133)</t>
  </si>
  <si>
    <t>Vinland Saga Omnibus, Vol. 2</t>
  </si>
  <si>
    <t>Vinland Saga Omnibus, Vol. 1</t>
  </si>
  <si>
    <t>Civilization: The West and the Rest</t>
  </si>
  <si>
    <t>Niall Ferguson</t>
  </si>
  <si>
    <t>Ferguson, Niall</t>
  </si>
  <si>
    <t>Ð’'ÑÑ‡ÐµÑÐ»Ð°Ð² Ð¦Ð¸Ð±Ð°</t>
  </si>
  <si>
    <t>to-read (#132)</t>
  </si>
  <si>
    <t>The Happiness Trap: How to Stop Struggling and Start Living: A Guide to ACT</t>
  </si>
  <si>
    <t>Russ Harris</t>
  </si>
  <si>
    <t>Harris, Russ</t>
  </si>
  <si>
    <t>Steven C. Hayes</t>
  </si>
  <si>
    <t>Trumpeter</t>
  </si>
  <si>
    <t>to-read (#131)</t>
  </si>
  <si>
    <t>The Body Keeps the Score: Brain, Mind, and Body in the Healing of Trauma</t>
  </si>
  <si>
    <t>Bessel van der Kolk</t>
  </si>
  <si>
    <t>Kolk, Bessel van der</t>
  </si>
  <si>
    <t>to-read (#130)</t>
  </si>
  <si>
    <t>Dark Matter</t>
  </si>
  <si>
    <t>Blake Crouch</t>
  </si>
  <si>
    <t>Crouch, Blake</t>
  </si>
  <si>
    <t>Hilary Clarcq, Andy Weir</t>
  </si>
  <si>
    <t>Ù…ØªØ­Ù Ø§Ù„Ø£Ø±ÙˆØ§Ø­</t>
  </si>
  <si>
    <t>Ø¹Ø¨Ø¯Ø§Ù„ÙˆÙ‡Ø§Ø¨ Ø§Ù„Ø³ÙŠØ¯ Ø§Ù„Ø±ÙØ§Ø¹ÙŠ</t>
  </si>
  <si>
    <t>Ø§Ù„Ø±ÙØ§Ø¹ÙŠ, Ø¹Ø¨Ø¯Ø§Ù„ÙˆÙ‡Ø§Ø¨ Ø§Ù„Ø³ÙŠØ¯</t>
  </si>
  <si>
    <t>Ù†ÙˆÙØ§ Ø¨Ù„Ø³ Ù„Ù„Ù†Ø´Ø± ÙˆØ§Ù„ØªÙˆØ²ÙŠØ¹</t>
  </si>
  <si>
    <t>to-read (#129)</t>
  </si>
  <si>
    <t>Night of Flame (Steel and Fire, #5)</t>
  </si>
  <si>
    <t>Jordan Rivet</t>
  </si>
  <si>
    <t>Rivet, Jordan</t>
  </si>
  <si>
    <t>to-read (#128)</t>
  </si>
  <si>
    <t>City of Wind (Steel and Fire, #4)</t>
  </si>
  <si>
    <t>to-read (#127)</t>
  </si>
  <si>
    <t>King of Mist (Steel and Fire, #2)</t>
  </si>
  <si>
    <t>to-read (#125)</t>
  </si>
  <si>
    <t>Dance of Steel (Steel and Fire, #3)</t>
  </si>
  <si>
    <t>to-read (#126)</t>
  </si>
  <si>
    <t>Duel of Fire (Steel and Fire, #1)</t>
  </si>
  <si>
    <t>to-read (#124)</t>
  </si>
  <si>
    <t>The Ocean at the End of the Lane</t>
  </si>
  <si>
    <t>Neil Gaiman</t>
  </si>
  <si>
    <t>Gaiman, Neil</t>
  </si>
  <si>
    <t>William Morrow Books</t>
  </si>
  <si>
    <t>to-read (#123)</t>
  </si>
  <si>
    <t>Good Omens: The Nice and Accurate Prophecies of Agnes Nutter, Witch</t>
  </si>
  <si>
    <t>Terry Pratchett</t>
  </si>
  <si>
    <t>Pratchett, Terry</t>
  </si>
  <si>
    <t>to-read (#122)</t>
  </si>
  <si>
    <t>The Hope of Elantris (Elantris, #1.5)</t>
  </si>
  <si>
    <t>to-read (#121)</t>
  </si>
  <si>
    <t>Elantris (Elantris, #1)</t>
  </si>
  <si>
    <t>Tor Fantasy</t>
  </si>
  <si>
    <t>to-read (#120)</t>
  </si>
  <si>
    <t>Warbreaker (Warbreaker, #1)</t>
  </si>
  <si>
    <t>Self-published</t>
  </si>
  <si>
    <t>to-read (#119)</t>
  </si>
  <si>
    <t>Secret History (Mistborn, #3.5)</t>
  </si>
  <si>
    <t>Dragonsteel Entertainment, LLC</t>
  </si>
  <si>
    <t>to-read (#118)</t>
  </si>
  <si>
    <t>The Bands of Mourning (Mistborn, #6)</t>
  </si>
  <si>
    <t>to-read (#117)</t>
  </si>
  <si>
    <t>Shadows of Self (Mistborn, #5)</t>
  </si>
  <si>
    <t>to-read (#116)</t>
  </si>
  <si>
    <t>The Alloy of Law (Mistborn, #4)</t>
  </si>
  <si>
    <t>to-read (#115)</t>
  </si>
  <si>
    <t>The Hero of Ages (Mistborn, #3)</t>
  </si>
  <si>
    <t>to-read (#114)</t>
  </si>
  <si>
    <t>The Well of Ascension (Mistborn, #2)</t>
  </si>
  <si>
    <t>to-read (#113)</t>
  </si>
  <si>
    <t>The Final Empire (Mistborn, #1)</t>
  </si>
  <si>
    <t>to-read (#112)</t>
  </si>
  <si>
    <t>The Five Dysfunctions of a Team: A Leadership Fable</t>
  </si>
  <si>
    <t>Patrick Lencioni</t>
  </si>
  <si>
    <t>Lencioni, Patrick</t>
  </si>
  <si>
    <t>Jossey-Bass</t>
  </si>
  <si>
    <t>to-read (#111)</t>
  </si>
  <si>
    <t>Hit the Ground Running: A Manual for New Leaders</t>
  </si>
  <si>
    <t>Jason Jennings</t>
  </si>
  <si>
    <t>Jennings, Jason</t>
  </si>
  <si>
    <t>to-read (#110)</t>
  </si>
  <si>
    <t>1001 Ways to Reward Employees</t>
  </si>
  <si>
    <t>Bob Nelson</t>
  </si>
  <si>
    <t>Nelson, Bob</t>
  </si>
  <si>
    <t>to-read (#109)</t>
  </si>
  <si>
    <t>Your Leadership Legacy: Why Looking Toward the Future Will Make You a Better Leader Today</t>
  </si>
  <si>
    <t>Robert M. Galford</t>
  </si>
  <si>
    <t>Galford, Robert M.</t>
  </si>
  <si>
    <t>Regina Fazio Maruca</t>
  </si>
  <si>
    <t>to-read (#108)</t>
  </si>
  <si>
    <t>Jack: Straight from the Gut</t>
  </si>
  <si>
    <t>John A. Byrne, Mike Barnicle</t>
  </si>
  <si>
    <t>to-read (#107)</t>
  </si>
  <si>
    <t>The Big Disconnect: Protecting Childhood and Family Relationships in the Digital Age</t>
  </si>
  <si>
    <t>Catherine Steiner-Adair</t>
  </si>
  <si>
    <t>Steiner-Adair, Catherine</t>
  </si>
  <si>
    <t>to-read (#106)</t>
  </si>
  <si>
    <t>The Power Of Now: A Guide To Spiritual Enlightenment</t>
  </si>
  <si>
    <t>Eckhart Tolle</t>
  </si>
  <si>
    <t>Tolle, Eckhart</t>
  </si>
  <si>
    <t>to-read (#105)</t>
  </si>
  <si>
    <t>Ø¹Ù„Ù‰ Ø®Ø· Ø§Ù„Ø¥Ù†ØªØ§Ø¬</t>
  </si>
  <si>
    <t>Ø¬Ù…ÙŠÙ„ Ø§Ù„Ø±ÙˆÙŠÙ„ÙŠ</t>
  </si>
  <si>
    <t>Ø§Ù„Ø±ÙˆÙŠÙ„ÙŠ, Ø¬Ù…ÙŠÙ„</t>
  </si>
  <si>
    <t>to-read (#104)</t>
  </si>
  <si>
    <t>The Winds of Winter (A Song of Ice and Fire, #6)</t>
  </si>
  <si>
    <t>George R.R. Martin</t>
  </si>
  <si>
    <t>Martin, George R.R.</t>
  </si>
  <si>
    <t>Harper Voyager</t>
  </si>
  <si>
    <t>to-read (#103)</t>
  </si>
  <si>
    <t>A Dance with Dragons (A Song of Ice and Fire, #5)</t>
  </si>
  <si>
    <t>to-read (#102)</t>
  </si>
  <si>
    <t>A Feast for Crows (A Song of Ice and Fire, #4)</t>
  </si>
  <si>
    <t>Bantam Books</t>
  </si>
  <si>
    <t>to-read (#101)</t>
  </si>
  <si>
    <t>A Storm of Swords (A Song of Ice and Fire, #3)</t>
  </si>
  <si>
    <t>to-read (#100)</t>
  </si>
  <si>
    <t>A Clash of Kings  (A Song of Ice and Fire, #2)</t>
  </si>
  <si>
    <t>to-read (#99)</t>
  </si>
  <si>
    <t>A Game of Thrones (A Song of Ice and Fire, #1)</t>
  </si>
  <si>
    <t>to-read (#98)</t>
  </si>
  <si>
    <t>Fire &amp; Blood (A Targaryen History, #1)</t>
  </si>
  <si>
    <t>Doug Wheatley</t>
  </si>
  <si>
    <t>to-read (#97)</t>
  </si>
  <si>
    <t>The 7 Habits of Highly Effective People</t>
  </si>
  <si>
    <t>Stephen R. Covey</t>
  </si>
  <si>
    <t>Covey, Stephen R.</t>
  </si>
  <si>
    <t>Mango</t>
  </si>
  <si>
    <t>to-read (#96)</t>
  </si>
  <si>
    <t>The Dark Tower (The Dark Tower, #7)</t>
  </si>
  <si>
    <t>Michael   Whelan</t>
  </si>
  <si>
    <t>The Trouble with Peace (The Age of Madness, #2)</t>
  </si>
  <si>
    <t>Joe Abercrombie</t>
  </si>
  <si>
    <t>Abercrombie, Joe</t>
  </si>
  <si>
    <t>to-read (#95)</t>
  </si>
  <si>
    <t>A Little Hatred (The Age of Madness, #1)</t>
  </si>
  <si>
    <t>to-read (#94)</t>
  </si>
  <si>
    <t>Sharp Ends (First Law World, #7)</t>
  </si>
  <si>
    <t>to-read (#93)</t>
  </si>
  <si>
    <t>Red Country (First Law World, #6)</t>
  </si>
  <si>
    <t>to-read (#92)</t>
  </si>
  <si>
    <t>The Heroes (First Law World, #5)</t>
  </si>
  <si>
    <t>to-read (#91)</t>
  </si>
  <si>
    <t>Best Served Cold</t>
  </si>
  <si>
    <t>to-read (#90)</t>
  </si>
  <si>
    <t>Last Argument of Kings (The First Law, #3)</t>
  </si>
  <si>
    <t>Trade Paperback</t>
  </si>
  <si>
    <t>to-read (#89)</t>
  </si>
  <si>
    <t>Before They Are Hanged (The First Law, #2)</t>
  </si>
  <si>
    <t>to-read (#88)</t>
  </si>
  <si>
    <t>The Blade Itself (The First Law, #1)</t>
  </si>
  <si>
    <t>to-read (#87)</t>
  </si>
  <si>
    <t>The Doors of Stone (The Kingkiller Chronicle, #3)</t>
  </si>
  <si>
    <t>to-read (#86)</t>
  </si>
  <si>
    <t>The Wise Man's Fear (The Kingkiller Chronicle, #2)</t>
  </si>
  <si>
    <t>DAW Books</t>
  </si>
  <si>
    <t>to-read (#85)</t>
  </si>
  <si>
    <t>The Girl with the Dragon Tattoo (Millennium, #1)</t>
  </si>
  <si>
    <t>Stieg Larsson</t>
  </si>
  <si>
    <t>Larsson, Stieg</t>
  </si>
  <si>
    <t>Reg Keeland</t>
  </si>
  <si>
    <t>Knopf</t>
  </si>
  <si>
    <t>to-read (#84)</t>
  </si>
  <si>
    <t>The Girl Who Played with Fire (Millennium, #2)</t>
  </si>
  <si>
    <t>Alfred A. Knopf</t>
  </si>
  <si>
    <t>to-read (#83)</t>
  </si>
  <si>
    <t>The Girl Who Kicked the Hornet's Nest (Millennium, #3)</t>
  </si>
  <si>
    <t>to-read (#82)</t>
  </si>
  <si>
    <t>The Girl in the Spider's Web (Millennium, #4)</t>
  </si>
  <si>
    <t>David Lagercrantz</t>
  </si>
  <si>
    <t>Lagercrantz, David</t>
  </si>
  <si>
    <t>Stieg Larsson, George Goulding</t>
  </si>
  <si>
    <t>to-read (#81)</t>
  </si>
  <si>
    <t>The Girl Who Takes an Eye for an Eye (Millennium, #5)</t>
  </si>
  <si>
    <t>George Goulding, Stieg Larsson</t>
  </si>
  <si>
    <t>MacLehose Press</t>
  </si>
  <si>
    <t>to-read (#80)</t>
  </si>
  <si>
    <t>The Girl Who Lived Twice (Millennium, #6)</t>
  </si>
  <si>
    <t>George Goulding</t>
  </si>
  <si>
    <t xml:space="preserve"> MacLehose Press</t>
  </si>
  <si>
    <t>to-read (#79)</t>
  </si>
  <si>
    <t>Cyanide and Happiness: Punching Zoo (Cyanide &amp; Happiness)</t>
  </si>
  <si>
    <t>Kris Wilson</t>
  </si>
  <si>
    <t>Wilson, Kris</t>
  </si>
  <si>
    <t>Rob DenBleyker, Matt Melvin, Dave McElfatrick</t>
  </si>
  <si>
    <t>BOOM! - BOOM! Box</t>
  </si>
  <si>
    <t>to-read (#78)</t>
  </si>
  <si>
    <t>Cyanide &amp; Happiness: Stab Factory</t>
  </si>
  <si>
    <t>to-read (#77)</t>
  </si>
  <si>
    <t>The Expectant Father: The Ultimate Guide for Dads-to-Be</t>
  </si>
  <si>
    <t>Armin A. Brott</t>
  </si>
  <si>
    <t>Brott, Armin A.</t>
  </si>
  <si>
    <t>Jennifer Ash</t>
  </si>
  <si>
    <t>Abbeville Press</t>
  </si>
  <si>
    <t>Sh*t My Dad Says</t>
  </si>
  <si>
    <t>Justin Halpern</t>
  </si>
  <si>
    <t>Halpern, Justin</t>
  </si>
  <si>
    <t>Dey Street Book</t>
  </si>
  <si>
    <t>to-read (#76)</t>
  </si>
  <si>
    <t>Treasure Island</t>
  </si>
  <si>
    <t>Robert Louis Stevenson</t>
  </si>
  <si>
    <t>Stevenson, Robert Louis</t>
  </si>
  <si>
    <t>AmazonClassics</t>
  </si>
  <si>
    <t>to-read (#75)</t>
  </si>
  <si>
    <t>Storytelling with Data: A Data Visualization Guide for Business Professionals</t>
  </si>
  <si>
    <t>Cole Nussbaumer Knaflic</t>
  </si>
  <si>
    <t>Knaflic, Cole Nussbaumer</t>
  </si>
  <si>
    <t>to-read (#74)</t>
  </si>
  <si>
    <t>The Thorn of Emberlain (Gentleman Bastard, #4)</t>
  </si>
  <si>
    <t>to-read (#73)</t>
  </si>
  <si>
    <t>The Republic of Thieves (Gentleman Bastard, #3)</t>
  </si>
  <si>
    <t>to-read (#72)</t>
  </si>
  <si>
    <t>Red Seas Under Red Skies (Gentleman Bastard, #2)</t>
  </si>
  <si>
    <t>to-read (#71)</t>
  </si>
  <si>
    <t>The Book of Overthinking: How to Stop the Cycle of Worry</t>
  </si>
  <si>
    <t>Gwendoline Smith</t>
  </si>
  <si>
    <t>Smith, Gwendoline</t>
  </si>
  <si>
    <t>Allen &amp; Unwin</t>
  </si>
  <si>
    <t>to-read (#70)</t>
  </si>
  <si>
    <t>The Happiness Project: Or, Why I Spent a Year Trying to Sing in the Morning, Clean My Closets, Fight Right, Read Aristotle, and Generally Have More Fun</t>
  </si>
  <si>
    <t>Gretchen Rubin</t>
  </si>
  <si>
    <t>Rubin, Gretchen</t>
  </si>
  <si>
    <t>to-read (#29)</t>
  </si>
  <si>
    <t>ÙØµÙ„ Ø§Ù„Ø®Ø·Ø§Ø¨ ÙÙŠ Ø³ÙŠØ±Ø© Ø£Ù…ÙŠØ± Ø§Ù„Ù…Ø¤Ù…Ù†ÙŠÙ† Ø¹Ù…Ø± Ø¨Ù† Ø§Ù„Ø®Ø·Ø§Ø¨</t>
  </si>
  <si>
    <t>Ø¹Ù„ÙŠ Ù…Ø­Ù…Ø¯ Ø§Ù„ØµÙ„Ø§Ø¨ÙŠ</t>
  </si>
  <si>
    <t>Ø§Ù„ØµÙ„Ø§Ø¨ÙŠ, Ø¹Ù„ÙŠ Ù…Ø­Ù…Ø¯</t>
  </si>
  <si>
    <t>Ø§Ù„Ù…ÙƒØªØ¨Ø© Ø§Ù„Ø¹ØµØ±ÙŠØ©</t>
  </si>
  <si>
    <t>to-read (#69)</t>
  </si>
  <si>
    <t>The Laws of Human Nature</t>
  </si>
  <si>
    <t>Robert Greene</t>
  </si>
  <si>
    <t>Greene, Robert</t>
  </si>
  <si>
    <t>to-read (#41)</t>
  </si>
  <si>
    <t>Lifescale: How to Live a More Creative, Productive, and Happy Life</t>
  </si>
  <si>
    <t>Brian Solis</t>
  </si>
  <si>
    <t>Solis, Brian</t>
  </si>
  <si>
    <t>to-read (#68)</t>
  </si>
  <si>
    <t>The Little Black Book of Decision Making: Making Complex Decisions with Confidence in a Fast-Moving World</t>
  </si>
  <si>
    <t>Michael Nicholas</t>
  </si>
  <si>
    <t>Nicholas, Michael</t>
  </si>
  <si>
    <t>Capstone</t>
  </si>
  <si>
    <t>to-read (#67)</t>
  </si>
  <si>
    <t>Homo Deus: A History of Tomorrow</t>
  </si>
  <si>
    <t>Yuval Noah Harari</t>
  </si>
  <si>
    <t>Harari, Yuval Noah</t>
  </si>
  <si>
    <t>to-read (#66)</t>
  </si>
  <si>
    <t>Sapiens: A Brief History of Humankind</t>
  </si>
  <si>
    <t>to-read (#65)</t>
  </si>
  <si>
    <t>Crossroads of Twilight (The Wheel of Time, #10)</t>
  </si>
  <si>
    <t>Robert Jordan</t>
  </si>
  <si>
    <t>Jordan, Robert</t>
  </si>
  <si>
    <t>to-read (#64)</t>
  </si>
  <si>
    <t>Winter's Heart (The Wheel of Time, #9)</t>
  </si>
  <si>
    <t>to-read (#62)</t>
  </si>
  <si>
    <t>Knife of Dreams (The Wheel of Time, #11)</t>
  </si>
  <si>
    <t>Tom Doherty Associates</t>
  </si>
  <si>
    <t>to-read (#63)</t>
  </si>
  <si>
    <t>A Memory of Light (The Wheel of Time, #14)</t>
  </si>
  <si>
    <t>to-read (#61)</t>
  </si>
  <si>
    <t>A Crown of Swords (The Wheel of Time, #7)</t>
  </si>
  <si>
    <t>to-read (#59)</t>
  </si>
  <si>
    <t>The Path of Daggers (The Wheel of Time, #8)</t>
  </si>
  <si>
    <t>to-read (#60)</t>
  </si>
  <si>
    <t>Towers of Midnight (The Wheel of Time, #13)</t>
  </si>
  <si>
    <t>Tom Doherty Associates TOR Fantasy</t>
  </si>
  <si>
    <t>to-read (#58)</t>
  </si>
  <si>
    <t>Lord of Chaos (The Wheel of Time, #6)</t>
  </si>
  <si>
    <t>to-read (#57)</t>
  </si>
  <si>
    <t>The Gathering Storm (The Wheel of Time, #12)</t>
  </si>
  <si>
    <t>to-read (#56)</t>
  </si>
  <si>
    <t>The Fires of Heaven (The Wheel of Time, #5)</t>
  </si>
  <si>
    <t>to-read (#55)</t>
  </si>
  <si>
    <t>The Shadow Rising (The Wheel of Time, #4)</t>
  </si>
  <si>
    <t>Tom Doherty Tor Fantasy</t>
  </si>
  <si>
    <t>to-read (#54)</t>
  </si>
  <si>
    <t>The Great Hunt (The Wheel of Time, #2)</t>
  </si>
  <si>
    <t>to-read (#52)</t>
  </si>
  <si>
    <t>The Dragon Reborn (The Wheel of Time, #3)</t>
  </si>
  <si>
    <t>to-read (#53)</t>
  </si>
  <si>
    <t>The Eye of the World (The Wheel of Time, #1)</t>
  </si>
  <si>
    <t>Ð Ð¾Ð±ÐµÑ€Ñ‚ Ð”Ð¶Ð¾Ñ€Ð´Ð°Ð½</t>
  </si>
  <si>
    <t>to-read (#51)</t>
  </si>
  <si>
    <t>Nudge: Improving Decisions About Health, Wealth, and Happiness</t>
  </si>
  <si>
    <t>Richard H. Thaler</t>
  </si>
  <si>
    <t>Thaler, Richard H.</t>
  </si>
  <si>
    <t>Cass R. Sunstein</t>
  </si>
  <si>
    <t>to-read (#50)</t>
  </si>
  <si>
    <t>Deep Work: Rules for Focused Success in a Distracted World</t>
  </si>
  <si>
    <t>Cal Newport</t>
  </si>
  <si>
    <t>Newport, Cal</t>
  </si>
  <si>
    <t>to-read (#49)</t>
  </si>
  <si>
    <t>The Power of Broke: How Empty Pockets, a Tight Budget, and a Hunger for Success Can Become Your Greatest Competitive Advantage</t>
  </si>
  <si>
    <t>Daymond John</t>
  </si>
  <si>
    <t>John, Daymond</t>
  </si>
  <si>
    <t>Daniel Paisner</t>
  </si>
  <si>
    <t>Crown Business</t>
  </si>
  <si>
    <t>to-read (#48)</t>
  </si>
  <si>
    <t>The 33 Strategies of War</t>
  </si>
  <si>
    <t>Joost Elffers</t>
  </si>
  <si>
    <t>to-read (#47)</t>
  </si>
  <si>
    <t>Bullshit Jobs: A Theory</t>
  </si>
  <si>
    <t>David Graeber</t>
  </si>
  <si>
    <t>Graeber, David</t>
  </si>
  <si>
    <t>to-read (#46)</t>
  </si>
  <si>
    <t>Good Strategy Bad Strategy: The Difference and Why It Matters</t>
  </si>
  <si>
    <t>Richard P. Rumelt</t>
  </si>
  <si>
    <t>Rumelt, Richard P.</t>
  </si>
  <si>
    <t>to-read (#45)</t>
  </si>
  <si>
    <t>The 48 Laws of Power</t>
  </si>
  <si>
    <t>to-read (#44)</t>
  </si>
  <si>
    <t>Kiss That Frog!: 12 Great Ways to Turn Negatives Into Positives in Your Life and Work</t>
  </si>
  <si>
    <t>Brian Tracy</t>
  </si>
  <si>
    <t>Tracy, Brian</t>
  </si>
  <si>
    <t>to-read (#43)</t>
  </si>
  <si>
    <t>The Organized Mind: Thinking Straight in the Age of Information Overload</t>
  </si>
  <si>
    <t>Daniel J. Levitin</t>
  </si>
  <si>
    <t>Levitin, Daniel J.</t>
  </si>
  <si>
    <t>to-read (#42)</t>
  </si>
  <si>
    <t>How to Stop Worrying and Start Living</t>
  </si>
  <si>
    <t>to-read (#40)</t>
  </si>
  <si>
    <t>Season of Storms (The Witcher, #6)</t>
  </si>
  <si>
    <t>Andrzej Sapkowski</t>
  </si>
  <si>
    <t>Sapkowski, Andrzej</t>
  </si>
  <si>
    <t>David French</t>
  </si>
  <si>
    <t>Influence Without Authority</t>
  </si>
  <si>
    <t>Allan R. Cohen</t>
  </si>
  <si>
    <t>Cohen, Allan R.</t>
  </si>
  <si>
    <t>David Bradford</t>
  </si>
  <si>
    <t>to-read (#39)</t>
  </si>
  <si>
    <t>Lady of the Lake (The Witcher, #7)</t>
  </si>
  <si>
    <t>The Tower of the Swallow (The Witcher, #6)</t>
  </si>
  <si>
    <t>Baptism of Fire (The Witcher, #5)</t>
  </si>
  <si>
    <t>Ù„Ù…Ø§Ø°Ø§ Ù„Ø§ØªØ°Ù‡Ø¨ Ø§Ù„Ø®Ø±Ø§Ù Ø¥Ù„Ù‰ Ø§Ù„Ø·Ø¨ÙŠØ¨ØŸ</t>
  </si>
  <si>
    <t>ÙÙ‡Ø¯ Ø¹Ø§Ù…Ø± Ø§Ù„Ø£Ø­Ù…Ø¯ÙŠ</t>
  </si>
  <si>
    <t>Ø§Ù„Ø£Ø­Ù…Ø¯ÙŠ, ÙÙ‡Ø¯ Ø¹Ø§Ù…Ø±</t>
  </si>
  <si>
    <t>Ù…Ø¤Ø³Ø³Ø© Ø§Ù„ÙŠÙ…Ø§Ù…Ø© Ø§Ù„ØµØ­ÙÙŠØ©</t>
  </si>
  <si>
    <t>to-read (#38)</t>
  </si>
  <si>
    <t>Time of Contempt (The Witcher, #4)</t>
  </si>
  <si>
    <t xml:space="preserve">Gollancz </t>
  </si>
  <si>
    <t>Adulthood Is a Myth (Sarah's Scribbles, #1)</t>
  </si>
  <si>
    <t>Sarah Andersen</t>
  </si>
  <si>
    <t>Andersen, Sarah</t>
  </si>
  <si>
    <t>to-read (#37)</t>
  </si>
  <si>
    <t>The Two Towers (The Lord of the Rings, #2)</t>
  </si>
  <si>
    <t>J.R.R. Tolkien</t>
  </si>
  <si>
    <t>Tolkien, J.R.R.</t>
  </si>
  <si>
    <t>Peter S. Beagle, Ð”Ð¶.Ð .Ð . Ð¢Ð¾Ð»ÐºÑ–Ð½, ÐÐ»Ñ–Ð½Ð° ÐÐµÐ¼Ñ–Ñ€Ð¾Ð²Ð°, ÐŸ. Ð Ð¸Ð¶ÐµÐ½ÐºÐ¾</t>
  </si>
  <si>
    <t>Houghton Mifflin</t>
  </si>
  <si>
    <t>to-read (#36)</t>
  </si>
  <si>
    <t>The Return of the King (The Lord of the Rings, #3)</t>
  </si>
  <si>
    <t>Maria Skibniewska</t>
  </si>
  <si>
    <t>to-read (#35)</t>
  </si>
  <si>
    <t>Lolita</t>
  </si>
  <si>
    <t>Vladimir Nabokov</t>
  </si>
  <si>
    <t>Nabokov, Vladimir</t>
  </si>
  <si>
    <t>Craig Raine</t>
  </si>
  <si>
    <t>to-read (#34)</t>
  </si>
  <si>
    <t>The Fellowship of the Ring (The Lord of the Rings, #1)</t>
  </si>
  <si>
    <t>Francis Ledoux, Maria Skibniewska</t>
  </si>
  <si>
    <t>to-read (#33)</t>
  </si>
  <si>
    <t>Alice's Adventures in Wonderland / Through the Looking-Glass</t>
  </si>
  <si>
    <t>Martin Gardner, John Tenniel</t>
  </si>
  <si>
    <t>Penguin Group (USA)</t>
  </si>
  <si>
    <t>to-read (#32)</t>
  </si>
  <si>
    <t>The Hobbit (The Lord of the Rings, #0)</t>
  </si>
  <si>
    <t>Douglas A. Anderson, Michael Hague, Jemima Catlin</t>
  </si>
  <si>
    <t>to-read (#31)</t>
  </si>
  <si>
    <t>The Lord of the Rings</t>
  </si>
  <si>
    <t>to-read (#30)</t>
  </si>
  <si>
    <t>Blood of Elves (The Witcher, #1)</t>
  </si>
  <si>
    <t>Danusia Stok</t>
  </si>
  <si>
    <t>Hachette Book Group</t>
  </si>
  <si>
    <t>The Subtle Art of Not Giving a F*ck: A Counterintuitive Approach to Living a Good Life</t>
  </si>
  <si>
    <t>Manson, Mark</t>
  </si>
  <si>
    <t>Sword of Destiny (The Witcher, #0.7)</t>
  </si>
  <si>
    <t>Self Leadership and the One Minute Manager: Gain the Mindset and Skillset for Getting What You Need to Succeed</t>
  </si>
  <si>
    <t>Susan     Fowler, Laurence Hawkins</t>
  </si>
  <si>
    <t>Unfu*k Yourself: Get Out of Your Head and into Your Life</t>
  </si>
  <si>
    <t>Gary John Bishop</t>
  </si>
  <si>
    <t>Bishop, Gary John</t>
  </si>
  <si>
    <t>to-read (#28)</t>
  </si>
  <si>
    <t>The Last Wish (The Witcher, #0.5)</t>
  </si>
  <si>
    <t>You Don't Need a Title to Be a Leader: How Anyone, Anywhere, Can Make a Positive Difference</t>
  </si>
  <si>
    <t>Mark Sanborn</t>
  </si>
  <si>
    <t>Sanborn, Mark</t>
  </si>
  <si>
    <t>to-read (#27)</t>
  </si>
  <si>
    <t>First Things First</t>
  </si>
  <si>
    <t>A. Roger Merrill, Rebecca R. Merrill</t>
  </si>
  <si>
    <t>Free Press</t>
  </si>
  <si>
    <t>to-read (#26)</t>
  </si>
  <si>
    <t>Eat That Frog!: 21 Great Ways to Stop Procrastinating and Get More Done in Less Time</t>
  </si>
  <si>
    <t>Berrett-Koehler Publishers</t>
  </si>
  <si>
    <t>to-read (#25)</t>
  </si>
  <si>
    <t>ÙˆØµØ§ÙŠØ§</t>
  </si>
  <si>
    <t>Ù…Ø­Ù…Ø¯ Ø§Ù„Ø±Ø·ÙŠØ§Ù†</t>
  </si>
  <si>
    <t>Ø§Ù„Ø±Ø·ÙŠØ§Ù†, Ù…Ø­Ù…Ø¯</t>
  </si>
  <si>
    <t>Ø¯Ø§Ø± Ù…Ø¯Ø§Ø±Ùƒ Ù„Ù„Ù†Ø´Ø±</t>
  </si>
  <si>
    <t>to-read (#24)</t>
  </si>
  <si>
    <t>Career Leap: How to Reinvent and Liberate Your Career</t>
  </si>
  <si>
    <t>Michelle Gibbings</t>
  </si>
  <si>
    <t>Gibbings, Michelle</t>
  </si>
  <si>
    <t>to-read (#23)</t>
  </si>
  <si>
    <t>One Hundred Years of Solitude</t>
  </si>
  <si>
    <t>Gabriel GarcÃ­a MÃ¡rquez</t>
  </si>
  <si>
    <t>MÃ¡rquez, Gabriel GarcÃ­a</t>
  </si>
  <si>
    <t>Gregory Rabassa</t>
  </si>
  <si>
    <t>to-read (#22)</t>
  </si>
  <si>
    <t>On Emotional Intelligence (HBR's 10 Must Reads)</t>
  </si>
  <si>
    <t>Harvard Business Review</t>
  </si>
  <si>
    <t>Review, Harvard Business</t>
  </si>
  <si>
    <t>to-read (#21)</t>
  </si>
  <si>
    <t>Personality at Work: The Drivers and Derailers of Leadership</t>
  </si>
  <si>
    <t>Ronald Warren</t>
  </si>
  <si>
    <t>Warren, Ronald</t>
  </si>
  <si>
    <t>to-read (#20)</t>
  </si>
  <si>
    <t>Start with Why: How Great Leaders Inspire Everyone to Take Action</t>
  </si>
  <si>
    <t>to-read (#19)</t>
  </si>
  <si>
    <t>12 Rules for Life: An Antidote to Chaos</t>
  </si>
  <si>
    <t>Jordan B. Peterson</t>
  </si>
  <si>
    <t>Peterson, Jordan B.</t>
  </si>
  <si>
    <t>Norman Doidge, Ethan Van Sciver</t>
  </si>
  <si>
    <t>Random House Canada</t>
  </si>
  <si>
    <t>to-read (#18)</t>
  </si>
  <si>
    <t>The Subtle Ruse: The Book Of Arabic Wisdom And Guile</t>
  </si>
  <si>
    <t>RenÃ© R. Khawam</t>
  </si>
  <si>
    <t>Eastwest Books (Madras)</t>
  </si>
  <si>
    <t>to-read (#17)</t>
  </si>
  <si>
    <t>Brain Rules for Baby: How to Raise a Smart and Happy Child from Zero to Five</t>
  </si>
  <si>
    <t>John Medina</t>
  </si>
  <si>
    <t>Medina, John</t>
  </si>
  <si>
    <t>Pear Press</t>
  </si>
  <si>
    <t>to-read (#16)</t>
  </si>
  <si>
    <t>A Whole New Mind: Why Right-Brainers Will Rule the Future</t>
  </si>
  <si>
    <t>Daniel H. Pink</t>
  </si>
  <si>
    <t>Pink, Daniel H.</t>
  </si>
  <si>
    <t>to-read (#15)</t>
  </si>
  <si>
    <t>International Relations</t>
  </si>
  <si>
    <t>Joshua S. Goldstein</t>
  </si>
  <si>
    <t>Goldstein, Joshua S.</t>
  </si>
  <si>
    <t>Jon C. Pevehouse</t>
  </si>
  <si>
    <t>Longman Publishing Group</t>
  </si>
  <si>
    <t>to-read (#14)</t>
  </si>
  <si>
    <t>Quiet: The Power of Introverts in a World That Can't Stop Talking</t>
  </si>
  <si>
    <t>Susan Cain</t>
  </si>
  <si>
    <t>Cain, Susan</t>
  </si>
  <si>
    <t>Crown Publishing Group/Random House, Inc.</t>
  </si>
  <si>
    <t>to-read (#13)</t>
  </si>
  <si>
    <t>Founders at Work: Stories of Startups' Early Days</t>
  </si>
  <si>
    <t>Jessica Livingston</t>
  </si>
  <si>
    <t>Livingston, Jessica</t>
  </si>
  <si>
    <t>Apress</t>
  </si>
  <si>
    <t>to-read (#12)</t>
  </si>
  <si>
    <t>The 4-Hour Workweek</t>
  </si>
  <si>
    <t>to-read (#11)</t>
  </si>
  <si>
    <t>Thinking, Fast and Slow</t>
  </si>
  <si>
    <t>Daniel Kahneman</t>
  </si>
  <si>
    <t>Kahneman, Daniel</t>
  </si>
  <si>
    <t>Farrar, Straus and Giroux</t>
  </si>
  <si>
    <t>to-read (#10)</t>
  </si>
  <si>
    <t>Good to Great: Why Some Companies Make the Leap... and Others Don't</t>
  </si>
  <si>
    <t>James C. Collins</t>
  </si>
  <si>
    <t>Collins, James C.</t>
  </si>
  <si>
    <t>to-read (#9)</t>
  </si>
  <si>
    <t>Ø§Ø³ØªÙ…ØªØ¹ Ø¨Ø­ÙŠØ§ØªÙƒ</t>
  </si>
  <si>
    <t>Ø¯Ø§Ø± Ø§Ø¨Ù† Ø§Ù„Ù‡ÙŠØ«Ù…</t>
  </si>
  <si>
    <t>to-read (#8)</t>
  </si>
  <si>
    <t>Ø³Ø§Ù‚ Ø§Ù„Ø¨Ø§Ù…Ø¨Ùˆ</t>
  </si>
  <si>
    <t>Ø³Ø¹ÙˆØ¯ Ø§Ù„Ø³Ù†Ø¹ÙˆØ³ÙŠ</t>
  </si>
  <si>
    <t>Ø§Ù„Ø³Ù†Ø¹ÙˆØ³ÙŠ, Ø³Ø¹ÙˆØ¯</t>
  </si>
  <si>
    <t>Saud Alsanousi</t>
  </si>
  <si>
    <t>Ø§Ù„Ø¯Ø§Ø± Ø§Ù„Ø¹Ø±Ø¨ÙŠØ© Ù„Ù„Ø¹Ù„ÙˆÙ… Ù†Ø§Ø´Ø±ÙˆÙ†</t>
  </si>
  <si>
    <t>to-read (#7)</t>
  </si>
  <si>
    <t>Who Moved My Cheese?</t>
  </si>
  <si>
    <t>Ù†Ø¸Ø±ÙŠØ© Ø§Ù„ÙØ³ØªÙ‚</t>
  </si>
  <si>
    <t>Ø¯Ø§Ø± Ø§Ù„Ø­Ø¶Ø§Ø±Ø© Ù„Ù„Ù†Ø´Ø± ÙˆØ§Ù„ØªÙˆØ²ÙŠØ¹</t>
  </si>
  <si>
    <t>to-read (#6)</t>
  </si>
  <si>
    <t>The Art of Thinking Clearly</t>
  </si>
  <si>
    <t>Rolf Dobelli</t>
  </si>
  <si>
    <t>Dobelli, Rolf</t>
  </si>
  <si>
    <t>à¸­à¸£à¸žà¸´à¸™ à¸œà¸¥à¸žà¸™à¸´à¸Šà¸£à¸±à¸¨à¸¡à¸µ</t>
  </si>
  <si>
    <t>to-read (#5)</t>
  </si>
  <si>
    <t>The Power of Habit: Why We Do What We Do in Life and Business</t>
  </si>
  <si>
    <t>Charles Duhigg</t>
  </si>
  <si>
    <t>Duhigg, Charles</t>
  </si>
  <si>
    <t>Mike Chamberlain</t>
  </si>
  <si>
    <t>to-read (#4)</t>
  </si>
  <si>
    <t>Zig Ziglar's Secrets of Closing the Sale</t>
  </si>
  <si>
    <t>Zig Ziglar</t>
  </si>
  <si>
    <t>Ziglar, Zig</t>
  </si>
  <si>
    <t>Berkley Books</t>
  </si>
  <si>
    <t>to-read (#3)</t>
  </si>
  <si>
    <t>The Knack: How Street-Smart Entrepreneurs Learn to Handle Whatever Comes Up</t>
  </si>
  <si>
    <t>Norm Brodsky</t>
  </si>
  <si>
    <t>Brodsky, Norm</t>
  </si>
  <si>
    <t>Bo Burlingham</t>
  </si>
  <si>
    <t>to-read (#2)</t>
  </si>
  <si>
    <t>The Lean Startup: How Today's Entrepreneurs Use Continuous Innovation to Create Radically Successful Businesses</t>
  </si>
  <si>
    <t>Eric Ries</t>
  </si>
  <si>
    <t>Ries, Eric</t>
  </si>
  <si>
    <t>Currency</t>
  </si>
  <si>
    <t>to-read (#1)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</si>
</sst>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89"/>
  <sheetViews>
    <sheetView tabSelected="1" workbookViewId="0">
      <selection activeCell="Q9" sqref="Q9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7421452</v>
      </c>
      <c r="B2" t="s">
        <v>24</v>
      </c>
      <c r="C2" t="s">
        <v>25</v>
      </c>
      <c r="D2" t="s">
        <v>26</v>
      </c>
      <c r="F2" t="str">
        <f>"1421534657"</f>
        <v>1421534657</v>
      </c>
      <c r="G2" t="str">
        <f>"9781421534657"</f>
        <v>9781421534657</v>
      </c>
      <c r="H2">
        <v>5</v>
      </c>
      <c r="I2">
        <v>4.4800000000000004</v>
      </c>
      <c r="J2" t="s">
        <v>27</v>
      </c>
      <c r="K2" t="s">
        <v>28</v>
      </c>
      <c r="L2">
        <v>232</v>
      </c>
      <c r="M2">
        <v>2010</v>
      </c>
      <c r="N2">
        <v>2008</v>
      </c>
      <c r="O2" s="1">
        <v>44899</v>
      </c>
      <c r="P2" s="1">
        <v>44899</v>
      </c>
      <c r="S2" t="s">
        <v>29</v>
      </c>
      <c r="W2">
        <v>1</v>
      </c>
      <c r="X2">
        <v>0</v>
      </c>
    </row>
    <row r="3" spans="1:24" x14ac:dyDescent="0.25">
      <c r="A3">
        <v>48654</v>
      </c>
      <c r="B3" t="s">
        <v>30</v>
      </c>
      <c r="C3" t="s">
        <v>31</v>
      </c>
      <c r="D3" t="s">
        <v>32</v>
      </c>
      <c r="F3" t="str">
        <f>"0060391685"</f>
        <v>0060391685</v>
      </c>
      <c r="G3" t="str">
        <f>"9780060391683"</f>
        <v>9780060391683</v>
      </c>
      <c r="H3">
        <v>0</v>
      </c>
      <c r="I3">
        <v>4.2699999999999996</v>
      </c>
      <c r="J3" t="s">
        <v>33</v>
      </c>
      <c r="K3" t="s">
        <v>34</v>
      </c>
      <c r="L3">
        <v>466</v>
      </c>
      <c r="M3">
        <v>1997</v>
      </c>
      <c r="N3">
        <v>1997</v>
      </c>
      <c r="P3" s="1">
        <v>44877</v>
      </c>
      <c r="Q3" t="s">
        <v>35</v>
      </c>
      <c r="R3" t="s">
        <v>36</v>
      </c>
      <c r="S3" t="s">
        <v>35</v>
      </c>
      <c r="W3">
        <v>0</v>
      </c>
      <c r="X3">
        <v>0</v>
      </c>
    </row>
    <row r="4" spans="1:24" x14ac:dyDescent="0.25">
      <c r="A4">
        <v>7421460</v>
      </c>
      <c r="B4" t="s">
        <v>37</v>
      </c>
      <c r="C4" t="s">
        <v>25</v>
      </c>
      <c r="D4" t="s">
        <v>26</v>
      </c>
      <c r="F4" t="str">
        <f>"1421534673"</f>
        <v>1421534673</v>
      </c>
      <c r="G4" t="str">
        <f>"9781421534671"</f>
        <v>9781421534671</v>
      </c>
      <c r="H4">
        <v>0</v>
      </c>
      <c r="I4">
        <v>4.58</v>
      </c>
      <c r="J4" t="s">
        <v>27</v>
      </c>
      <c r="K4" t="s">
        <v>28</v>
      </c>
      <c r="L4">
        <v>232</v>
      </c>
      <c r="M4">
        <v>2010</v>
      </c>
      <c r="N4">
        <v>2008</v>
      </c>
      <c r="P4" s="1">
        <v>44899</v>
      </c>
      <c r="Q4" t="s">
        <v>35</v>
      </c>
      <c r="R4" t="s">
        <v>38</v>
      </c>
      <c r="S4" t="s">
        <v>35</v>
      </c>
      <c r="W4">
        <v>0</v>
      </c>
      <c r="X4">
        <v>0</v>
      </c>
    </row>
    <row r="5" spans="1:24" x14ac:dyDescent="0.25">
      <c r="A5">
        <v>7421463</v>
      </c>
      <c r="B5" t="s">
        <v>39</v>
      </c>
      <c r="C5" t="s">
        <v>25</v>
      </c>
      <c r="D5" t="s">
        <v>26</v>
      </c>
      <c r="F5" t="str">
        <f>"1421534665"</f>
        <v>1421534665</v>
      </c>
      <c r="G5" t="str">
        <f>"9781421534664"</f>
        <v>9781421534664</v>
      </c>
      <c r="H5">
        <v>0</v>
      </c>
      <c r="I5">
        <v>4.53</v>
      </c>
      <c r="J5" t="s">
        <v>27</v>
      </c>
      <c r="K5" t="s">
        <v>28</v>
      </c>
      <c r="L5">
        <v>208</v>
      </c>
      <c r="M5">
        <v>2010</v>
      </c>
      <c r="N5">
        <v>2008</v>
      </c>
      <c r="P5" s="1">
        <v>44899</v>
      </c>
      <c r="Q5" t="s">
        <v>35</v>
      </c>
      <c r="R5" t="s">
        <v>40</v>
      </c>
      <c r="S5" t="s">
        <v>35</v>
      </c>
      <c r="W5">
        <v>0</v>
      </c>
      <c r="X5">
        <v>0</v>
      </c>
    </row>
    <row r="6" spans="1:24" x14ac:dyDescent="0.25">
      <c r="A6">
        <v>6797464</v>
      </c>
      <c r="B6" t="s">
        <v>41</v>
      </c>
      <c r="C6" t="s">
        <v>25</v>
      </c>
      <c r="D6" t="s">
        <v>26</v>
      </c>
      <c r="F6" t="str">
        <f>"1421534649"</f>
        <v>1421534649</v>
      </c>
      <c r="G6" t="str">
        <f>"9781421534640"</f>
        <v>9781421534640</v>
      </c>
      <c r="H6">
        <v>3</v>
      </c>
      <c r="I6">
        <v>4.41</v>
      </c>
      <c r="J6" t="s">
        <v>27</v>
      </c>
      <c r="K6" t="s">
        <v>28</v>
      </c>
      <c r="L6">
        <v>232</v>
      </c>
      <c r="M6">
        <v>2010</v>
      </c>
      <c r="N6">
        <v>2007</v>
      </c>
      <c r="O6" s="1">
        <v>44898</v>
      </c>
      <c r="P6" s="1">
        <v>44899</v>
      </c>
      <c r="S6" t="s">
        <v>29</v>
      </c>
      <c r="W6">
        <v>1</v>
      </c>
      <c r="X6">
        <v>0</v>
      </c>
    </row>
    <row r="7" spans="1:24" x14ac:dyDescent="0.25">
      <c r="A7">
        <v>6797463</v>
      </c>
      <c r="B7" t="s">
        <v>42</v>
      </c>
      <c r="C7" t="s">
        <v>25</v>
      </c>
      <c r="D7" t="s">
        <v>26</v>
      </c>
      <c r="F7" t="str">
        <f>"1421534630"</f>
        <v>1421534630</v>
      </c>
      <c r="G7" t="str">
        <f>"9781421534633"</f>
        <v>9781421534633</v>
      </c>
      <c r="H7">
        <v>4</v>
      </c>
      <c r="I7">
        <v>4.4000000000000004</v>
      </c>
      <c r="J7" t="s">
        <v>27</v>
      </c>
      <c r="K7" t="s">
        <v>28</v>
      </c>
      <c r="L7">
        <v>216</v>
      </c>
      <c r="M7">
        <v>2010</v>
      </c>
      <c r="N7">
        <v>2007</v>
      </c>
      <c r="O7" s="1">
        <v>44899</v>
      </c>
      <c r="P7" s="1">
        <v>44898</v>
      </c>
      <c r="S7" t="s">
        <v>29</v>
      </c>
      <c r="W7">
        <v>1</v>
      </c>
      <c r="X7">
        <v>0</v>
      </c>
    </row>
    <row r="8" spans="1:24" x14ac:dyDescent="0.25">
      <c r="A8">
        <v>58330764</v>
      </c>
      <c r="B8" t="s">
        <v>43</v>
      </c>
      <c r="C8" t="s">
        <v>44</v>
      </c>
      <c r="D8" t="s">
        <v>45</v>
      </c>
      <c r="F8" t="str">
        <f>"0593207246"</f>
        <v>0593207246</v>
      </c>
      <c r="G8" t="str">
        <f>"9780593207246"</f>
        <v>9780593207246</v>
      </c>
      <c r="H8">
        <v>0</v>
      </c>
      <c r="I8">
        <v>4.37</v>
      </c>
      <c r="J8" t="s">
        <v>46</v>
      </c>
      <c r="K8" t="s">
        <v>28</v>
      </c>
      <c r="L8">
        <v>464</v>
      </c>
      <c r="M8">
        <v>2022</v>
      </c>
      <c r="N8">
        <v>2021</v>
      </c>
      <c r="P8" s="1">
        <v>44859</v>
      </c>
      <c r="Q8" t="s">
        <v>47</v>
      </c>
      <c r="R8" t="s">
        <v>48</v>
      </c>
      <c r="S8" t="s">
        <v>47</v>
      </c>
      <c r="W8">
        <v>1</v>
      </c>
      <c r="X8">
        <v>0</v>
      </c>
    </row>
    <row r="9" spans="1:24" x14ac:dyDescent="0.25">
      <c r="A9">
        <v>6797462</v>
      </c>
      <c r="B9" t="s">
        <v>49</v>
      </c>
      <c r="C9" t="s">
        <v>25</v>
      </c>
      <c r="D9" t="s">
        <v>26</v>
      </c>
      <c r="F9" t="str">
        <f>"1421534622"</f>
        <v>1421534622</v>
      </c>
      <c r="G9" t="str">
        <f>"9781421534626"</f>
        <v>9781421534626</v>
      </c>
      <c r="H9">
        <v>5</v>
      </c>
      <c r="I9">
        <v>4.43</v>
      </c>
      <c r="J9" t="s">
        <v>27</v>
      </c>
      <c r="K9" t="s">
        <v>28</v>
      </c>
      <c r="L9">
        <v>200</v>
      </c>
      <c r="M9">
        <v>2010</v>
      </c>
      <c r="N9">
        <v>2007</v>
      </c>
      <c r="O9" s="1">
        <v>44898</v>
      </c>
      <c r="P9" s="1">
        <v>44897</v>
      </c>
      <c r="S9" t="s">
        <v>29</v>
      </c>
      <c r="W9">
        <v>1</v>
      </c>
      <c r="X9">
        <v>0</v>
      </c>
    </row>
    <row r="10" spans="1:24" x14ac:dyDescent="0.25">
      <c r="A10">
        <v>8798390</v>
      </c>
      <c r="B10" t="s">
        <v>50</v>
      </c>
      <c r="C10" t="s">
        <v>51</v>
      </c>
      <c r="D10" t="s">
        <v>52</v>
      </c>
      <c r="F10" t="str">
        <f>"4088511271"</f>
        <v>4088511271</v>
      </c>
      <c r="G10" t="str">
        <f>"9784088511276"</f>
        <v>9784088511276</v>
      </c>
      <c r="H10">
        <v>3</v>
      </c>
      <c r="I10">
        <v>4.12</v>
      </c>
      <c r="J10" t="s">
        <v>53</v>
      </c>
      <c r="K10" t="s">
        <v>28</v>
      </c>
      <c r="L10">
        <v>192</v>
      </c>
      <c r="M10">
        <v>1988</v>
      </c>
      <c r="N10">
        <v>1988</v>
      </c>
      <c r="O10" s="1">
        <v>44845</v>
      </c>
      <c r="P10" s="1">
        <v>44845</v>
      </c>
      <c r="S10" t="s">
        <v>29</v>
      </c>
      <c r="W10">
        <v>1</v>
      </c>
      <c r="X10">
        <v>0</v>
      </c>
    </row>
    <row r="11" spans="1:24" x14ac:dyDescent="0.25">
      <c r="A11">
        <v>6988202</v>
      </c>
      <c r="B11" t="s">
        <v>54</v>
      </c>
      <c r="C11" t="s">
        <v>51</v>
      </c>
      <c r="D11" t="s">
        <v>52</v>
      </c>
      <c r="F11" t="str">
        <f>"4088511263"</f>
        <v>4088511263</v>
      </c>
      <c r="G11" t="str">
        <f>"9784088511269"</f>
        <v>9784088511269</v>
      </c>
      <c r="H11">
        <v>3</v>
      </c>
      <c r="I11">
        <v>4.08</v>
      </c>
      <c r="J11" t="s">
        <v>55</v>
      </c>
      <c r="K11" t="s">
        <v>28</v>
      </c>
      <c r="L11">
        <v>186</v>
      </c>
      <c r="M11">
        <v>1987</v>
      </c>
      <c r="N11">
        <v>1987</v>
      </c>
      <c r="O11" s="1">
        <v>44845</v>
      </c>
      <c r="P11" s="1">
        <v>44845</v>
      </c>
      <c r="S11" t="s">
        <v>29</v>
      </c>
      <c r="W11">
        <v>1</v>
      </c>
      <c r="X11">
        <v>0</v>
      </c>
    </row>
    <row r="12" spans="1:24" x14ac:dyDescent="0.25">
      <c r="A12">
        <v>8798394</v>
      </c>
      <c r="B12" t="s">
        <v>56</v>
      </c>
      <c r="C12" t="s">
        <v>51</v>
      </c>
      <c r="D12" t="s">
        <v>52</v>
      </c>
      <c r="F12" t="str">
        <f>"408851128X"</f>
        <v>408851128X</v>
      </c>
      <c r="G12" t="str">
        <f>"9784088511283"</f>
        <v>9784088511283</v>
      </c>
      <c r="H12">
        <v>0</v>
      </c>
      <c r="I12">
        <v>4.21</v>
      </c>
      <c r="J12" t="s">
        <v>53</v>
      </c>
      <c r="K12" t="s">
        <v>28</v>
      </c>
      <c r="L12">
        <v>200</v>
      </c>
      <c r="M12">
        <v>1988</v>
      </c>
      <c r="N12">
        <v>1988</v>
      </c>
      <c r="P12" s="1">
        <v>44845</v>
      </c>
      <c r="Q12" t="s">
        <v>35</v>
      </c>
      <c r="R12" t="s">
        <v>57</v>
      </c>
      <c r="S12" t="s">
        <v>35</v>
      </c>
      <c r="W12">
        <v>0</v>
      </c>
      <c r="X12">
        <v>0</v>
      </c>
    </row>
    <row r="13" spans="1:24" x14ac:dyDescent="0.25">
      <c r="A13">
        <v>6797461</v>
      </c>
      <c r="B13" t="s">
        <v>58</v>
      </c>
      <c r="C13" t="s">
        <v>25</v>
      </c>
      <c r="D13" t="s">
        <v>26</v>
      </c>
      <c r="F13" t="str">
        <f>"1421534614"</f>
        <v>1421534614</v>
      </c>
      <c r="G13" t="str">
        <f>"9781421534619"</f>
        <v>9781421534619</v>
      </c>
      <c r="H13">
        <v>5</v>
      </c>
      <c r="I13">
        <v>4.59</v>
      </c>
      <c r="J13" t="s">
        <v>27</v>
      </c>
      <c r="K13" t="s">
        <v>28</v>
      </c>
      <c r="L13">
        <v>207</v>
      </c>
      <c r="M13">
        <v>2010</v>
      </c>
      <c r="N13">
        <v>2007</v>
      </c>
      <c r="O13" s="1">
        <v>44897</v>
      </c>
      <c r="P13" s="1">
        <v>44897</v>
      </c>
      <c r="S13" t="s">
        <v>29</v>
      </c>
      <c r="W13">
        <v>1</v>
      </c>
      <c r="X13">
        <v>0</v>
      </c>
    </row>
    <row r="14" spans="1:24" x14ac:dyDescent="0.25">
      <c r="A14">
        <v>6797460</v>
      </c>
      <c r="B14" t="s">
        <v>59</v>
      </c>
      <c r="C14" t="s">
        <v>25</v>
      </c>
      <c r="D14" t="s">
        <v>26</v>
      </c>
      <c r="F14" t="str">
        <f>"1421534606"</f>
        <v>1421534606</v>
      </c>
      <c r="G14" t="str">
        <f>"9781421534602"</f>
        <v>9781421534602</v>
      </c>
      <c r="H14">
        <v>5</v>
      </c>
      <c r="I14">
        <v>4.66</v>
      </c>
      <c r="J14" t="s">
        <v>27</v>
      </c>
      <c r="K14" t="s">
        <v>28</v>
      </c>
      <c r="L14">
        <v>232</v>
      </c>
      <c r="M14">
        <v>2010</v>
      </c>
      <c r="N14">
        <v>2006</v>
      </c>
      <c r="O14" s="1">
        <v>44897</v>
      </c>
      <c r="P14" s="1">
        <v>44897</v>
      </c>
      <c r="S14" t="s">
        <v>29</v>
      </c>
      <c r="W14">
        <v>1</v>
      </c>
      <c r="X14">
        <v>0</v>
      </c>
    </row>
    <row r="15" spans="1:24" x14ac:dyDescent="0.25">
      <c r="A15">
        <v>6801576</v>
      </c>
      <c r="B15" t="s">
        <v>60</v>
      </c>
      <c r="C15" t="s">
        <v>25</v>
      </c>
      <c r="D15" t="s">
        <v>26</v>
      </c>
      <c r="F15" t="str">
        <f>"1421534592"</f>
        <v>1421534592</v>
      </c>
      <c r="G15" t="str">
        <f>"9781421534596"</f>
        <v>9781421534596</v>
      </c>
      <c r="H15">
        <v>5</v>
      </c>
      <c r="I15">
        <v>4.57</v>
      </c>
      <c r="J15" t="s">
        <v>27</v>
      </c>
      <c r="K15" t="s">
        <v>28</v>
      </c>
      <c r="L15">
        <v>224</v>
      </c>
      <c r="M15">
        <v>2010</v>
      </c>
      <c r="N15">
        <v>2006</v>
      </c>
      <c r="O15" s="1">
        <v>44897</v>
      </c>
      <c r="P15" s="1">
        <v>44897</v>
      </c>
      <c r="S15" t="s">
        <v>29</v>
      </c>
      <c r="W15">
        <v>1</v>
      </c>
      <c r="X15">
        <v>0</v>
      </c>
    </row>
    <row r="16" spans="1:24" x14ac:dyDescent="0.25">
      <c r="A16">
        <v>6801575</v>
      </c>
      <c r="B16" t="s">
        <v>61</v>
      </c>
      <c r="C16" t="s">
        <v>25</v>
      </c>
      <c r="D16" t="s">
        <v>26</v>
      </c>
      <c r="F16" t="str">
        <f>"1421534584"</f>
        <v>1421534584</v>
      </c>
      <c r="G16" t="str">
        <f>"9781421534589"</f>
        <v>9781421534589</v>
      </c>
      <c r="H16">
        <v>5</v>
      </c>
      <c r="I16">
        <v>4.5999999999999996</v>
      </c>
      <c r="J16" t="s">
        <v>27</v>
      </c>
      <c r="K16" t="s">
        <v>28</v>
      </c>
      <c r="L16">
        <v>208</v>
      </c>
      <c r="M16">
        <v>2010</v>
      </c>
      <c r="N16">
        <v>2006</v>
      </c>
      <c r="O16" s="1">
        <v>44897</v>
      </c>
      <c r="P16" s="1">
        <v>44897</v>
      </c>
      <c r="S16" t="s">
        <v>29</v>
      </c>
      <c r="W16">
        <v>1</v>
      </c>
      <c r="X16">
        <v>0</v>
      </c>
    </row>
    <row r="17" spans="1:24" x14ac:dyDescent="0.25">
      <c r="A17">
        <v>6801574</v>
      </c>
      <c r="B17" t="s">
        <v>62</v>
      </c>
      <c r="C17" t="s">
        <v>25</v>
      </c>
      <c r="D17" t="s">
        <v>26</v>
      </c>
      <c r="F17" t="str">
        <f>"1421534576"</f>
        <v>1421534576</v>
      </c>
      <c r="G17" t="str">
        <f>"9781421534572"</f>
        <v>9781421534572</v>
      </c>
      <c r="H17">
        <v>5</v>
      </c>
      <c r="I17">
        <v>4.6500000000000004</v>
      </c>
      <c r="J17" t="s">
        <v>27</v>
      </c>
      <c r="K17" t="s">
        <v>28</v>
      </c>
      <c r="L17">
        <v>232</v>
      </c>
      <c r="M17">
        <v>2010</v>
      </c>
      <c r="N17">
        <v>2006</v>
      </c>
      <c r="O17" s="1">
        <v>44897</v>
      </c>
      <c r="P17" s="1">
        <v>44896</v>
      </c>
      <c r="S17" t="s">
        <v>29</v>
      </c>
      <c r="W17">
        <v>1</v>
      </c>
      <c r="X17">
        <v>0</v>
      </c>
    </row>
    <row r="18" spans="1:24" x14ac:dyDescent="0.25">
      <c r="A18">
        <v>6797480</v>
      </c>
      <c r="B18" t="s">
        <v>63</v>
      </c>
      <c r="C18" t="s">
        <v>25</v>
      </c>
      <c r="D18" t="s">
        <v>26</v>
      </c>
      <c r="F18" t="str">
        <f>"1421534568"</f>
        <v>1421534568</v>
      </c>
      <c r="G18" t="str">
        <f>"9781421534565"</f>
        <v>9781421534565</v>
      </c>
      <c r="H18">
        <v>5</v>
      </c>
      <c r="I18">
        <v>4.58</v>
      </c>
      <c r="J18" t="s">
        <v>27</v>
      </c>
      <c r="K18" t="s">
        <v>28</v>
      </c>
      <c r="L18">
        <v>232</v>
      </c>
      <c r="M18">
        <v>2010</v>
      </c>
      <c r="N18">
        <v>2005</v>
      </c>
      <c r="O18" s="1">
        <v>44896</v>
      </c>
      <c r="P18" s="1">
        <v>44896</v>
      </c>
      <c r="S18" t="s">
        <v>29</v>
      </c>
      <c r="W18">
        <v>1</v>
      </c>
      <c r="X18">
        <v>0</v>
      </c>
    </row>
    <row r="19" spans="1:24" x14ac:dyDescent="0.25">
      <c r="A19">
        <v>6797477</v>
      </c>
      <c r="B19" t="s">
        <v>64</v>
      </c>
      <c r="C19" t="s">
        <v>25</v>
      </c>
      <c r="D19" t="s">
        <v>26</v>
      </c>
      <c r="F19" t="str">
        <f>"142153455X"</f>
        <v>142153455X</v>
      </c>
      <c r="G19" t="str">
        <f>"9781421534558"</f>
        <v>9781421534558</v>
      </c>
      <c r="H19">
        <v>5</v>
      </c>
      <c r="I19">
        <v>4.5199999999999996</v>
      </c>
      <c r="J19" t="s">
        <v>27</v>
      </c>
      <c r="K19" t="s">
        <v>28</v>
      </c>
      <c r="L19">
        <v>208</v>
      </c>
      <c r="M19">
        <v>2010</v>
      </c>
      <c r="N19">
        <v>2005</v>
      </c>
      <c r="O19" s="1">
        <v>44896</v>
      </c>
      <c r="P19" s="1">
        <v>44896</v>
      </c>
      <c r="S19" t="s">
        <v>29</v>
      </c>
      <c r="W19">
        <v>1</v>
      </c>
      <c r="X19">
        <v>0</v>
      </c>
    </row>
    <row r="20" spans="1:24" x14ac:dyDescent="0.25">
      <c r="A20">
        <v>6801614</v>
      </c>
      <c r="B20" t="s">
        <v>65</v>
      </c>
      <c r="C20" t="s">
        <v>25</v>
      </c>
      <c r="D20" t="s">
        <v>26</v>
      </c>
      <c r="F20" t="str">
        <f>"1421534541"</f>
        <v>1421534541</v>
      </c>
      <c r="G20" t="str">
        <f>"9781421534541"</f>
        <v>9781421534541</v>
      </c>
      <c r="H20">
        <v>5</v>
      </c>
      <c r="I20">
        <v>4.6500000000000004</v>
      </c>
      <c r="J20" t="s">
        <v>27</v>
      </c>
      <c r="K20" t="s">
        <v>28</v>
      </c>
      <c r="L20">
        <v>208</v>
      </c>
      <c r="M20">
        <v>2010</v>
      </c>
      <c r="N20">
        <v>2005</v>
      </c>
      <c r="O20" s="1">
        <v>44896</v>
      </c>
      <c r="P20" s="1">
        <v>44896</v>
      </c>
      <c r="S20" t="s">
        <v>29</v>
      </c>
      <c r="W20">
        <v>1</v>
      </c>
      <c r="X20">
        <v>0</v>
      </c>
    </row>
    <row r="21" spans="1:24" x14ac:dyDescent="0.25">
      <c r="A21">
        <v>6801613</v>
      </c>
      <c r="B21" t="s">
        <v>66</v>
      </c>
      <c r="C21" t="s">
        <v>25</v>
      </c>
      <c r="D21" t="s">
        <v>26</v>
      </c>
      <c r="F21" t="str">
        <f>"1421534533"</f>
        <v>1421534533</v>
      </c>
      <c r="G21" t="str">
        <f>"9781421534534"</f>
        <v>9781421534534</v>
      </c>
      <c r="H21">
        <v>5</v>
      </c>
      <c r="I21">
        <v>4.5599999999999996</v>
      </c>
      <c r="J21" t="s">
        <v>27</v>
      </c>
      <c r="K21" t="s">
        <v>28</v>
      </c>
      <c r="L21">
        <v>232</v>
      </c>
      <c r="M21">
        <v>2010</v>
      </c>
      <c r="N21">
        <v>2005</v>
      </c>
      <c r="O21" s="1">
        <v>44896</v>
      </c>
      <c r="P21" s="1">
        <v>44895</v>
      </c>
      <c r="S21" t="s">
        <v>29</v>
      </c>
      <c r="W21">
        <v>1</v>
      </c>
      <c r="X21">
        <v>0</v>
      </c>
    </row>
    <row r="22" spans="1:24" x14ac:dyDescent="0.25">
      <c r="A22">
        <v>6801602</v>
      </c>
      <c r="B22" t="s">
        <v>67</v>
      </c>
      <c r="C22" t="s">
        <v>25</v>
      </c>
      <c r="D22" t="s">
        <v>26</v>
      </c>
      <c r="F22" t="str">
        <f>"1421534525"</f>
        <v>1421534525</v>
      </c>
      <c r="G22" t="str">
        <f>"9781421534527"</f>
        <v>9781421534527</v>
      </c>
      <c r="H22">
        <v>5</v>
      </c>
      <c r="I22">
        <v>4.55</v>
      </c>
      <c r="J22" t="s">
        <v>27</v>
      </c>
      <c r="K22" t="s">
        <v>28</v>
      </c>
      <c r="L22">
        <v>216</v>
      </c>
      <c r="M22">
        <v>2010</v>
      </c>
      <c r="N22">
        <v>2005</v>
      </c>
      <c r="O22" s="1">
        <v>44895</v>
      </c>
      <c r="P22" s="1">
        <v>44894</v>
      </c>
      <c r="S22" t="s">
        <v>29</v>
      </c>
      <c r="W22">
        <v>1</v>
      </c>
      <c r="X22">
        <v>0</v>
      </c>
    </row>
    <row r="23" spans="1:24" x14ac:dyDescent="0.25">
      <c r="A23">
        <v>6801601</v>
      </c>
      <c r="B23" t="s">
        <v>68</v>
      </c>
      <c r="C23" t="s">
        <v>25</v>
      </c>
      <c r="D23" t="s">
        <v>26</v>
      </c>
      <c r="F23" t="str">
        <f>"1421534517"</f>
        <v>1421534517</v>
      </c>
      <c r="G23" t="str">
        <f>"9781421534510"</f>
        <v>9781421534510</v>
      </c>
      <c r="H23">
        <v>5</v>
      </c>
      <c r="I23">
        <v>4.5599999999999996</v>
      </c>
      <c r="J23" t="s">
        <v>27</v>
      </c>
      <c r="K23" t="s">
        <v>28</v>
      </c>
      <c r="L23">
        <v>192</v>
      </c>
      <c r="M23">
        <v>2010</v>
      </c>
      <c r="N23">
        <v>2004</v>
      </c>
      <c r="O23" s="1">
        <v>44895</v>
      </c>
      <c r="P23" s="1">
        <v>44893</v>
      </c>
      <c r="S23" t="s">
        <v>29</v>
      </c>
      <c r="W23">
        <v>1</v>
      </c>
      <c r="X23">
        <v>0</v>
      </c>
    </row>
    <row r="24" spans="1:24" x14ac:dyDescent="0.25">
      <c r="A24">
        <v>1433403</v>
      </c>
      <c r="B24" t="s">
        <v>69</v>
      </c>
      <c r="C24" t="s">
        <v>70</v>
      </c>
      <c r="D24" t="s">
        <v>71</v>
      </c>
      <c r="F24" t="str">
        <f>"0071244581"</f>
        <v>0071244581</v>
      </c>
      <c r="G24" t="str">
        <f>"9780071244589"</f>
        <v>9780071244589</v>
      </c>
      <c r="H24">
        <v>0</v>
      </c>
      <c r="I24">
        <v>4</v>
      </c>
      <c r="J24" t="s">
        <v>72</v>
      </c>
      <c r="K24" t="s">
        <v>28</v>
      </c>
      <c r="L24">
        <v>768</v>
      </c>
      <c r="M24">
        <v>2005</v>
      </c>
      <c r="N24">
        <v>1996</v>
      </c>
      <c r="P24" s="1">
        <v>44894</v>
      </c>
      <c r="Q24" t="s">
        <v>35</v>
      </c>
      <c r="R24" t="s">
        <v>73</v>
      </c>
      <c r="S24" t="s">
        <v>35</v>
      </c>
      <c r="W24">
        <v>0</v>
      </c>
      <c r="X24">
        <v>0</v>
      </c>
    </row>
    <row r="25" spans="1:24" x14ac:dyDescent="0.25">
      <c r="A25">
        <v>7935732</v>
      </c>
      <c r="B25" t="s">
        <v>74</v>
      </c>
      <c r="C25" t="s">
        <v>75</v>
      </c>
      <c r="D25" t="s">
        <v>76</v>
      </c>
      <c r="E25" t="s">
        <v>77</v>
      </c>
      <c r="F25" t="str">
        <f>"0470876417"</f>
        <v>0470876417</v>
      </c>
      <c r="G25" t="str">
        <f>"9780470876411"</f>
        <v>9780470876411</v>
      </c>
      <c r="H25">
        <v>0</v>
      </c>
      <c r="I25">
        <v>4.2</v>
      </c>
      <c r="J25" t="s">
        <v>78</v>
      </c>
      <c r="K25" t="s">
        <v>28</v>
      </c>
      <c r="L25">
        <v>288</v>
      </c>
      <c r="M25">
        <v>2010</v>
      </c>
      <c r="N25">
        <v>2010</v>
      </c>
      <c r="P25" s="1">
        <v>44894</v>
      </c>
      <c r="Q25" t="s">
        <v>35</v>
      </c>
      <c r="R25" t="s">
        <v>79</v>
      </c>
      <c r="S25" t="s">
        <v>35</v>
      </c>
      <c r="W25">
        <v>0</v>
      </c>
      <c r="X25">
        <v>0</v>
      </c>
    </row>
    <row r="26" spans="1:24" x14ac:dyDescent="0.25">
      <c r="A26">
        <v>34951858</v>
      </c>
      <c r="B26" t="s">
        <v>80</v>
      </c>
      <c r="C26" t="s">
        <v>81</v>
      </c>
      <c r="D26" t="s">
        <v>82</v>
      </c>
      <c r="F26" t="str">
        <f>"0749481544"</f>
        <v>0749481544</v>
      </c>
      <c r="G26" t="str">
        <f>"9780749481544"</f>
        <v>9780749481544</v>
      </c>
      <c r="H26">
        <v>0</v>
      </c>
      <c r="I26">
        <v>4.18</v>
      </c>
      <c r="J26" t="s">
        <v>83</v>
      </c>
      <c r="K26" t="s">
        <v>28</v>
      </c>
      <c r="L26">
        <v>272</v>
      </c>
      <c r="M26">
        <v>2018</v>
      </c>
      <c r="P26" s="1">
        <v>44894</v>
      </c>
      <c r="Q26" t="s">
        <v>35</v>
      </c>
      <c r="R26" t="s">
        <v>84</v>
      </c>
      <c r="S26" t="s">
        <v>35</v>
      </c>
      <c r="W26">
        <v>0</v>
      </c>
      <c r="X26">
        <v>0</v>
      </c>
    </row>
    <row r="27" spans="1:24" x14ac:dyDescent="0.25">
      <c r="A27">
        <v>20880529</v>
      </c>
      <c r="B27" t="s">
        <v>85</v>
      </c>
      <c r="C27" t="s">
        <v>86</v>
      </c>
      <c r="D27" t="s">
        <v>87</v>
      </c>
      <c r="F27" t="str">
        <f>"1409341267"</f>
        <v>1409341267</v>
      </c>
      <c r="G27" t="str">
        <f>"9781409341260"</f>
        <v>9781409341260</v>
      </c>
      <c r="H27">
        <v>0</v>
      </c>
      <c r="I27">
        <v>4.16</v>
      </c>
      <c r="J27" t="s">
        <v>88</v>
      </c>
      <c r="K27" t="s">
        <v>34</v>
      </c>
      <c r="L27">
        <v>352</v>
      </c>
      <c r="M27">
        <v>2014</v>
      </c>
      <c r="N27">
        <v>2014</v>
      </c>
      <c r="P27" s="1">
        <v>44894</v>
      </c>
      <c r="Q27" t="s">
        <v>35</v>
      </c>
      <c r="R27" t="s">
        <v>89</v>
      </c>
      <c r="S27" t="s">
        <v>35</v>
      </c>
      <c r="W27">
        <v>0</v>
      </c>
      <c r="X27">
        <v>0</v>
      </c>
    </row>
    <row r="28" spans="1:24" x14ac:dyDescent="0.25">
      <c r="A28">
        <v>25921997</v>
      </c>
      <c r="B28" t="s">
        <v>90</v>
      </c>
      <c r="C28" t="s">
        <v>91</v>
      </c>
      <c r="D28" t="s">
        <v>92</v>
      </c>
      <c r="F28" t="str">
        <f>"0241006937"</f>
        <v>0241006937</v>
      </c>
      <c r="G28" t="str">
        <f>"9780241006931"</f>
        <v>9780241006931</v>
      </c>
      <c r="H28">
        <v>0</v>
      </c>
      <c r="I28">
        <v>4.38</v>
      </c>
      <c r="J28" t="s">
        <v>88</v>
      </c>
      <c r="K28" t="s">
        <v>34</v>
      </c>
      <c r="L28">
        <v>352</v>
      </c>
      <c r="M28">
        <v>2015</v>
      </c>
      <c r="N28">
        <v>2015</v>
      </c>
      <c r="P28" s="1">
        <v>44894</v>
      </c>
      <c r="Q28" t="s">
        <v>35</v>
      </c>
      <c r="R28" t="s">
        <v>93</v>
      </c>
      <c r="S28" t="s">
        <v>35</v>
      </c>
      <c r="W28">
        <v>0</v>
      </c>
      <c r="X28">
        <v>0</v>
      </c>
    </row>
    <row r="29" spans="1:24" x14ac:dyDescent="0.25">
      <c r="A29">
        <v>18290401</v>
      </c>
      <c r="B29" t="s">
        <v>94</v>
      </c>
      <c r="C29" t="s">
        <v>95</v>
      </c>
      <c r="D29" t="s">
        <v>96</v>
      </c>
      <c r="F29" t="str">
        <f>"076117897X"</f>
        <v>076117897X</v>
      </c>
      <c r="G29" t="str">
        <f>"9780761178972"</f>
        <v>9780761178972</v>
      </c>
      <c r="H29">
        <v>0</v>
      </c>
      <c r="I29">
        <v>4.1100000000000003</v>
      </c>
      <c r="J29" t="s">
        <v>97</v>
      </c>
      <c r="K29" t="s">
        <v>28</v>
      </c>
      <c r="L29">
        <v>215</v>
      </c>
      <c r="M29">
        <v>2014</v>
      </c>
      <c r="N29">
        <v>2014</v>
      </c>
      <c r="P29" s="1">
        <v>44894</v>
      </c>
      <c r="Q29" t="s">
        <v>35</v>
      </c>
      <c r="R29" t="s">
        <v>98</v>
      </c>
      <c r="S29" t="s">
        <v>35</v>
      </c>
      <c r="W29">
        <v>0</v>
      </c>
      <c r="X29">
        <v>0</v>
      </c>
    </row>
    <row r="30" spans="1:24" x14ac:dyDescent="0.25">
      <c r="A30">
        <v>6801599</v>
      </c>
      <c r="B30" t="s">
        <v>99</v>
      </c>
      <c r="C30" t="s">
        <v>25</v>
      </c>
      <c r="D30" t="s">
        <v>26</v>
      </c>
      <c r="F30" t="str">
        <f>"1421534509"</f>
        <v>1421534509</v>
      </c>
      <c r="G30" t="str">
        <f>"9781421534503"</f>
        <v>9781421534503</v>
      </c>
      <c r="H30">
        <v>5</v>
      </c>
      <c r="I30">
        <v>4.46</v>
      </c>
      <c r="J30" t="s">
        <v>27</v>
      </c>
      <c r="K30" t="s">
        <v>28</v>
      </c>
      <c r="L30">
        <v>232</v>
      </c>
      <c r="M30">
        <v>2010</v>
      </c>
      <c r="N30">
        <v>2004</v>
      </c>
      <c r="O30" s="1">
        <v>44893</v>
      </c>
      <c r="P30" s="1">
        <v>44892</v>
      </c>
      <c r="S30" t="s">
        <v>29</v>
      </c>
      <c r="W30">
        <v>1</v>
      </c>
      <c r="X30">
        <v>0</v>
      </c>
    </row>
    <row r="31" spans="1:24" x14ac:dyDescent="0.25">
      <c r="A31">
        <v>6801646</v>
      </c>
      <c r="B31" t="s">
        <v>100</v>
      </c>
      <c r="C31" t="s">
        <v>25</v>
      </c>
      <c r="D31" t="s">
        <v>26</v>
      </c>
      <c r="F31" t="str">
        <f>"1421534495"</f>
        <v>1421534495</v>
      </c>
      <c r="G31" t="str">
        <f>"9781421534497"</f>
        <v>9781421534497</v>
      </c>
      <c r="H31">
        <v>2</v>
      </c>
      <c r="I31">
        <v>4.26</v>
      </c>
      <c r="J31" t="s">
        <v>27</v>
      </c>
      <c r="K31" t="s">
        <v>28</v>
      </c>
      <c r="L31">
        <v>232</v>
      </c>
      <c r="M31">
        <v>2010</v>
      </c>
      <c r="N31">
        <v>2004</v>
      </c>
      <c r="O31" s="1">
        <v>44892</v>
      </c>
      <c r="P31" s="1">
        <v>44892</v>
      </c>
      <c r="S31" t="s">
        <v>29</v>
      </c>
      <c r="W31">
        <v>1</v>
      </c>
      <c r="X31">
        <v>0</v>
      </c>
    </row>
    <row r="32" spans="1:24" x14ac:dyDescent="0.25">
      <c r="A32">
        <v>590877</v>
      </c>
      <c r="B32" t="s">
        <v>101</v>
      </c>
      <c r="C32" t="s">
        <v>102</v>
      </c>
      <c r="D32" t="s">
        <v>103</v>
      </c>
      <c r="F32" t="str">
        <f>"1600960715"</f>
        <v>1600960715</v>
      </c>
      <c r="G32" t="str">
        <f>"9781600960710"</f>
        <v>9781600960710</v>
      </c>
      <c r="H32">
        <v>3</v>
      </c>
      <c r="I32">
        <v>3.76</v>
      </c>
      <c r="J32" t="s">
        <v>104</v>
      </c>
      <c r="K32" t="s">
        <v>28</v>
      </c>
      <c r="L32">
        <v>220</v>
      </c>
      <c r="M32">
        <v>2008</v>
      </c>
      <c r="N32">
        <v>1908</v>
      </c>
      <c r="O32" s="1">
        <v>44892</v>
      </c>
      <c r="P32" s="1">
        <v>44892</v>
      </c>
      <c r="S32" t="s">
        <v>29</v>
      </c>
      <c r="W32">
        <v>1</v>
      </c>
      <c r="X32">
        <v>0</v>
      </c>
    </row>
    <row r="33" spans="1:24" x14ac:dyDescent="0.25">
      <c r="A33">
        <v>6801645</v>
      </c>
      <c r="B33" t="s">
        <v>105</v>
      </c>
      <c r="C33" t="s">
        <v>25</v>
      </c>
      <c r="D33" t="s">
        <v>26</v>
      </c>
      <c r="F33" t="str">
        <f>"1421534487"</f>
        <v>1421534487</v>
      </c>
      <c r="G33" t="str">
        <f>"9781421534480"</f>
        <v>9781421534480</v>
      </c>
      <c r="H33">
        <v>5</v>
      </c>
      <c r="I33">
        <v>4.4800000000000004</v>
      </c>
      <c r="J33" t="s">
        <v>27</v>
      </c>
      <c r="K33" t="s">
        <v>28</v>
      </c>
      <c r="L33">
        <v>216</v>
      </c>
      <c r="M33">
        <v>2010</v>
      </c>
      <c r="N33">
        <v>2004</v>
      </c>
      <c r="O33" s="1">
        <v>44892</v>
      </c>
      <c r="P33" s="1">
        <v>44892</v>
      </c>
      <c r="S33" t="s">
        <v>29</v>
      </c>
      <c r="W33">
        <v>1</v>
      </c>
      <c r="X33">
        <v>0</v>
      </c>
    </row>
    <row r="34" spans="1:24" x14ac:dyDescent="0.25">
      <c r="A34">
        <v>6801644</v>
      </c>
      <c r="B34" t="s">
        <v>106</v>
      </c>
      <c r="C34" t="s">
        <v>25</v>
      </c>
      <c r="D34" t="s">
        <v>26</v>
      </c>
      <c r="F34" t="str">
        <f>"1421534479"</f>
        <v>1421534479</v>
      </c>
      <c r="G34" t="str">
        <f>"9781421534473"</f>
        <v>9781421534473</v>
      </c>
      <c r="H34">
        <v>5</v>
      </c>
      <c r="I34">
        <v>4.5</v>
      </c>
      <c r="J34" t="s">
        <v>27</v>
      </c>
      <c r="K34" t="s">
        <v>28</v>
      </c>
      <c r="L34">
        <v>208</v>
      </c>
      <c r="M34">
        <v>2010</v>
      </c>
      <c r="N34">
        <v>2003</v>
      </c>
      <c r="O34" s="1">
        <v>44892</v>
      </c>
      <c r="P34" s="1">
        <v>44891</v>
      </c>
      <c r="S34" t="s">
        <v>29</v>
      </c>
      <c r="W34">
        <v>1</v>
      </c>
      <c r="X34">
        <v>0</v>
      </c>
    </row>
    <row r="35" spans="1:24" x14ac:dyDescent="0.25">
      <c r="A35">
        <v>6801643</v>
      </c>
      <c r="B35" t="s">
        <v>107</v>
      </c>
      <c r="C35" t="s">
        <v>25</v>
      </c>
      <c r="D35" t="s">
        <v>26</v>
      </c>
      <c r="F35" t="str">
        <f>"1421534460"</f>
        <v>1421534460</v>
      </c>
      <c r="G35" t="str">
        <f>"9781421534466"</f>
        <v>9781421534466</v>
      </c>
      <c r="H35">
        <v>3</v>
      </c>
      <c r="I35">
        <v>4.47</v>
      </c>
      <c r="J35" t="s">
        <v>27</v>
      </c>
      <c r="K35" t="s">
        <v>28</v>
      </c>
      <c r="L35">
        <v>208</v>
      </c>
      <c r="M35">
        <v>2010</v>
      </c>
      <c r="N35">
        <v>2003</v>
      </c>
      <c r="O35" s="1">
        <v>44891</v>
      </c>
      <c r="P35" s="1">
        <v>44891</v>
      </c>
      <c r="S35" t="s">
        <v>29</v>
      </c>
      <c r="W35">
        <v>1</v>
      </c>
      <c r="X35">
        <v>0</v>
      </c>
    </row>
    <row r="36" spans="1:24" x14ac:dyDescent="0.25">
      <c r="A36">
        <v>6801639</v>
      </c>
      <c r="B36" t="s">
        <v>108</v>
      </c>
      <c r="C36" t="s">
        <v>25</v>
      </c>
      <c r="D36" t="s">
        <v>26</v>
      </c>
      <c r="F36" t="str">
        <f>"1421534452"</f>
        <v>1421534452</v>
      </c>
      <c r="G36" t="str">
        <f>"9781421534459"</f>
        <v>9781421534459</v>
      </c>
      <c r="H36">
        <v>5</v>
      </c>
      <c r="I36">
        <v>4.43</v>
      </c>
      <c r="J36" t="s">
        <v>27</v>
      </c>
      <c r="K36" t="s">
        <v>28</v>
      </c>
      <c r="L36">
        <v>232</v>
      </c>
      <c r="M36">
        <v>2010</v>
      </c>
      <c r="N36">
        <v>2003</v>
      </c>
      <c r="O36" s="1">
        <v>44891</v>
      </c>
      <c r="P36" s="1">
        <v>44891</v>
      </c>
      <c r="S36" t="s">
        <v>29</v>
      </c>
      <c r="W36">
        <v>1</v>
      </c>
      <c r="X36">
        <v>0</v>
      </c>
    </row>
    <row r="37" spans="1:24" x14ac:dyDescent="0.25">
      <c r="A37">
        <v>6891489</v>
      </c>
      <c r="B37" t="s">
        <v>109</v>
      </c>
      <c r="C37" t="s">
        <v>25</v>
      </c>
      <c r="D37" t="s">
        <v>26</v>
      </c>
      <c r="F37" t="str">
        <f>"1421534444"</f>
        <v>1421534444</v>
      </c>
      <c r="G37" t="str">
        <f>"9781421534442"</f>
        <v>9781421534442</v>
      </c>
      <c r="H37">
        <v>5</v>
      </c>
      <c r="I37">
        <v>4.37</v>
      </c>
      <c r="J37" t="s">
        <v>27</v>
      </c>
      <c r="K37" t="s">
        <v>28</v>
      </c>
      <c r="L37">
        <v>200</v>
      </c>
      <c r="M37">
        <v>2010</v>
      </c>
      <c r="N37">
        <v>2003</v>
      </c>
      <c r="O37" s="1">
        <v>44891</v>
      </c>
      <c r="P37" s="1">
        <v>44891</v>
      </c>
      <c r="S37" t="s">
        <v>29</v>
      </c>
      <c r="W37">
        <v>1</v>
      </c>
      <c r="X37">
        <v>0</v>
      </c>
    </row>
    <row r="38" spans="1:24" x14ac:dyDescent="0.25">
      <c r="A38">
        <v>6891488</v>
      </c>
      <c r="B38" t="s">
        <v>110</v>
      </c>
      <c r="C38" t="s">
        <v>25</v>
      </c>
      <c r="D38" t="s">
        <v>26</v>
      </c>
      <c r="F38" t="str">
        <f>"1421534436"</f>
        <v>1421534436</v>
      </c>
      <c r="G38" t="str">
        <f>"9781421534435"</f>
        <v>9781421534435</v>
      </c>
      <c r="H38">
        <v>5</v>
      </c>
      <c r="I38">
        <v>4.38</v>
      </c>
      <c r="J38" t="s">
        <v>27</v>
      </c>
      <c r="K38" t="s">
        <v>28</v>
      </c>
      <c r="L38">
        <v>192</v>
      </c>
      <c r="M38">
        <v>2010</v>
      </c>
      <c r="N38">
        <v>2003</v>
      </c>
      <c r="O38" s="1">
        <v>44891</v>
      </c>
      <c r="P38" s="1">
        <v>44891</v>
      </c>
      <c r="S38" t="s">
        <v>29</v>
      </c>
      <c r="W38">
        <v>1</v>
      </c>
      <c r="X38">
        <v>0</v>
      </c>
    </row>
    <row r="39" spans="1:24" x14ac:dyDescent="0.25">
      <c r="A39">
        <v>6891486</v>
      </c>
      <c r="B39" t="s">
        <v>111</v>
      </c>
      <c r="C39" t="s">
        <v>25</v>
      </c>
      <c r="D39" t="s">
        <v>26</v>
      </c>
      <c r="F39" t="str">
        <f>"1421534428"</f>
        <v>1421534428</v>
      </c>
      <c r="G39" t="str">
        <f>"9781421534428"</f>
        <v>9781421534428</v>
      </c>
      <c r="H39">
        <v>5</v>
      </c>
      <c r="I39">
        <v>4.4000000000000004</v>
      </c>
      <c r="J39" t="s">
        <v>27</v>
      </c>
      <c r="K39" t="s">
        <v>28</v>
      </c>
      <c r="L39">
        <v>200</v>
      </c>
      <c r="M39">
        <v>2010</v>
      </c>
      <c r="N39">
        <v>2002</v>
      </c>
      <c r="O39" s="1">
        <v>44891</v>
      </c>
      <c r="P39" s="1">
        <v>44890</v>
      </c>
      <c r="S39" t="s">
        <v>29</v>
      </c>
      <c r="W39">
        <v>1</v>
      </c>
      <c r="X39">
        <v>0</v>
      </c>
    </row>
    <row r="40" spans="1:24" x14ac:dyDescent="0.25">
      <c r="A40">
        <v>7514774</v>
      </c>
      <c r="B40" t="s">
        <v>112</v>
      </c>
      <c r="C40" t="s">
        <v>113</v>
      </c>
      <c r="D40" t="s">
        <v>114</v>
      </c>
      <c r="F40" t="str">
        <f>""</f>
        <v/>
      </c>
      <c r="G40" t="str">
        <f>""</f>
        <v/>
      </c>
      <c r="H40">
        <v>0</v>
      </c>
      <c r="I40">
        <v>4.13</v>
      </c>
      <c r="J40" t="s">
        <v>115</v>
      </c>
      <c r="K40" t="s">
        <v>34</v>
      </c>
      <c r="L40">
        <v>383</v>
      </c>
      <c r="N40">
        <v>2010</v>
      </c>
      <c r="P40" s="1">
        <v>44890</v>
      </c>
      <c r="Q40" t="s">
        <v>35</v>
      </c>
      <c r="R40" t="s">
        <v>116</v>
      </c>
      <c r="S40" t="s">
        <v>35</v>
      </c>
      <c r="W40">
        <v>0</v>
      </c>
      <c r="X40">
        <v>0</v>
      </c>
    </row>
    <row r="41" spans="1:24" x14ac:dyDescent="0.25">
      <c r="A41">
        <v>7998703</v>
      </c>
      <c r="B41" t="s">
        <v>117</v>
      </c>
      <c r="C41" t="s">
        <v>118</v>
      </c>
      <c r="D41" t="s">
        <v>119</v>
      </c>
      <c r="F41" t="str">
        <f>""</f>
        <v/>
      </c>
      <c r="G41" t="str">
        <f>""</f>
        <v/>
      </c>
      <c r="H41">
        <v>0</v>
      </c>
      <c r="I41">
        <v>4.01</v>
      </c>
      <c r="J41" t="s">
        <v>120</v>
      </c>
      <c r="L41">
        <v>96</v>
      </c>
      <c r="M41">
        <v>2002</v>
      </c>
      <c r="P41" s="1">
        <v>44890</v>
      </c>
      <c r="Q41" t="s">
        <v>35</v>
      </c>
      <c r="R41" t="s">
        <v>121</v>
      </c>
      <c r="S41" t="s">
        <v>35</v>
      </c>
      <c r="W41">
        <v>0</v>
      </c>
      <c r="X41">
        <v>0</v>
      </c>
    </row>
    <row r="42" spans="1:24" x14ac:dyDescent="0.25">
      <c r="A42">
        <v>6891484</v>
      </c>
      <c r="B42" t="s">
        <v>122</v>
      </c>
      <c r="C42" t="s">
        <v>25</v>
      </c>
      <c r="D42" t="s">
        <v>26</v>
      </c>
      <c r="F42" t="str">
        <f>"1421528460"</f>
        <v>1421528460</v>
      </c>
      <c r="G42" t="str">
        <f>"9781421528465"</f>
        <v>9781421528465</v>
      </c>
      <c r="H42">
        <v>5</v>
      </c>
      <c r="I42">
        <v>4.4800000000000004</v>
      </c>
      <c r="J42" t="s">
        <v>27</v>
      </c>
      <c r="K42" t="s">
        <v>28</v>
      </c>
      <c r="L42">
        <v>208</v>
      </c>
      <c r="M42">
        <v>2010</v>
      </c>
      <c r="N42">
        <v>2002</v>
      </c>
      <c r="O42" s="1">
        <v>44890</v>
      </c>
      <c r="P42" s="1">
        <v>44890</v>
      </c>
      <c r="S42" t="s">
        <v>29</v>
      </c>
      <c r="W42">
        <v>1</v>
      </c>
      <c r="X42">
        <v>0</v>
      </c>
    </row>
    <row r="43" spans="1:24" x14ac:dyDescent="0.25">
      <c r="A43">
        <v>6891485</v>
      </c>
      <c r="B43" t="s">
        <v>123</v>
      </c>
      <c r="C43" t="s">
        <v>25</v>
      </c>
      <c r="D43" t="s">
        <v>26</v>
      </c>
      <c r="F43" t="str">
        <f>"1421528452"</f>
        <v>1421528452</v>
      </c>
      <c r="G43" t="str">
        <f>"9781421528458"</f>
        <v>9781421528458</v>
      </c>
      <c r="H43">
        <v>5</v>
      </c>
      <c r="I43">
        <v>4.42</v>
      </c>
      <c r="J43" t="s">
        <v>27</v>
      </c>
      <c r="K43" t="s">
        <v>28</v>
      </c>
      <c r="L43">
        <v>216</v>
      </c>
      <c r="M43">
        <v>2010</v>
      </c>
      <c r="N43">
        <v>2002</v>
      </c>
      <c r="O43" s="1">
        <v>44890</v>
      </c>
      <c r="P43" s="1">
        <v>44890</v>
      </c>
      <c r="S43" t="s">
        <v>29</v>
      </c>
      <c r="W43">
        <v>1</v>
      </c>
      <c r="X43">
        <v>0</v>
      </c>
    </row>
    <row r="44" spans="1:24" x14ac:dyDescent="0.25">
      <c r="A44">
        <v>6582724</v>
      </c>
      <c r="B44" t="s">
        <v>124</v>
      </c>
      <c r="C44" t="s">
        <v>25</v>
      </c>
      <c r="D44" t="s">
        <v>26</v>
      </c>
      <c r="F44" t="str">
        <f>"1421528444"</f>
        <v>1421528444</v>
      </c>
      <c r="G44" t="str">
        <f>"9781421528441"</f>
        <v>9781421528441</v>
      </c>
      <c r="H44">
        <v>5</v>
      </c>
      <c r="I44">
        <v>4.57</v>
      </c>
      <c r="J44" t="s">
        <v>27</v>
      </c>
      <c r="K44" t="s">
        <v>28</v>
      </c>
      <c r="L44">
        <v>232</v>
      </c>
      <c r="M44">
        <v>2009</v>
      </c>
      <c r="N44">
        <v>2002</v>
      </c>
      <c r="O44" s="1">
        <v>44890</v>
      </c>
      <c r="P44" s="1">
        <v>44889</v>
      </c>
      <c r="S44" t="s">
        <v>29</v>
      </c>
      <c r="W44">
        <v>1</v>
      </c>
      <c r="X44">
        <v>0</v>
      </c>
    </row>
    <row r="45" spans="1:24" x14ac:dyDescent="0.25">
      <c r="A45">
        <v>6406018</v>
      </c>
      <c r="B45" t="s">
        <v>125</v>
      </c>
      <c r="C45" t="s">
        <v>126</v>
      </c>
      <c r="D45" t="s">
        <v>127</v>
      </c>
      <c r="F45" t="str">
        <f>"0759530017"</f>
        <v>0759530017</v>
      </c>
      <c r="G45" t="str">
        <f>"9780759530010"</f>
        <v>9780759530010</v>
      </c>
      <c r="H45">
        <v>0</v>
      </c>
      <c r="I45">
        <v>4.3099999999999996</v>
      </c>
      <c r="J45" t="s">
        <v>128</v>
      </c>
      <c r="K45" t="s">
        <v>28</v>
      </c>
      <c r="L45">
        <v>208</v>
      </c>
      <c r="M45">
        <v>2009</v>
      </c>
      <c r="N45">
        <v>2004</v>
      </c>
      <c r="P45" s="1">
        <v>44890</v>
      </c>
      <c r="Q45" t="s">
        <v>35</v>
      </c>
      <c r="R45" t="s">
        <v>129</v>
      </c>
      <c r="S45" t="s">
        <v>35</v>
      </c>
      <c r="W45">
        <v>0</v>
      </c>
      <c r="X45">
        <v>0</v>
      </c>
    </row>
    <row r="46" spans="1:24" x14ac:dyDescent="0.25">
      <c r="A46">
        <v>6406094</v>
      </c>
      <c r="B46" t="s">
        <v>130</v>
      </c>
      <c r="C46" t="s">
        <v>25</v>
      </c>
      <c r="D46" t="s">
        <v>26</v>
      </c>
      <c r="F46" t="str">
        <f>"1421524309"</f>
        <v>1421524309</v>
      </c>
      <c r="G46" t="str">
        <f>"9781421524306"</f>
        <v>9781421524306</v>
      </c>
      <c r="H46">
        <v>5</v>
      </c>
      <c r="I46">
        <v>4.53</v>
      </c>
      <c r="J46" t="s">
        <v>27</v>
      </c>
      <c r="K46" t="s">
        <v>28</v>
      </c>
      <c r="L46">
        <v>216</v>
      </c>
      <c r="M46">
        <v>2009</v>
      </c>
      <c r="N46">
        <v>2002</v>
      </c>
      <c r="O46" s="1">
        <v>44889</v>
      </c>
      <c r="P46" s="1">
        <v>44889</v>
      </c>
      <c r="S46" t="s">
        <v>29</v>
      </c>
      <c r="W46">
        <v>1</v>
      </c>
      <c r="X46">
        <v>0</v>
      </c>
    </row>
    <row r="47" spans="1:24" x14ac:dyDescent="0.25">
      <c r="A47">
        <v>19366773</v>
      </c>
      <c r="B47" t="s">
        <v>131</v>
      </c>
      <c r="C47" t="s">
        <v>25</v>
      </c>
      <c r="D47" t="s">
        <v>26</v>
      </c>
      <c r="F47" t="str">
        <f>""</f>
        <v/>
      </c>
      <c r="G47" t="str">
        <f>""</f>
        <v/>
      </c>
      <c r="H47">
        <v>5</v>
      </c>
      <c r="I47">
        <v>4.5</v>
      </c>
      <c r="J47" t="s">
        <v>132</v>
      </c>
      <c r="K47" t="s">
        <v>133</v>
      </c>
      <c r="L47">
        <v>200</v>
      </c>
      <c r="M47">
        <v>2011</v>
      </c>
      <c r="N47">
        <v>2001</v>
      </c>
      <c r="O47" s="1">
        <v>44889</v>
      </c>
      <c r="P47" s="1">
        <v>44889</v>
      </c>
      <c r="S47" t="s">
        <v>29</v>
      </c>
      <c r="W47">
        <v>1</v>
      </c>
      <c r="X47">
        <v>0</v>
      </c>
    </row>
    <row r="48" spans="1:24" x14ac:dyDescent="0.25">
      <c r="A48">
        <v>5071433</v>
      </c>
      <c r="B48" t="s">
        <v>134</v>
      </c>
      <c r="C48" t="s">
        <v>25</v>
      </c>
      <c r="D48" t="s">
        <v>26</v>
      </c>
      <c r="F48" t="str">
        <f>"1421515148"</f>
        <v>1421515148</v>
      </c>
      <c r="G48" t="str">
        <f>"9781421515144"</f>
        <v>9781421515144</v>
      </c>
      <c r="H48">
        <v>5</v>
      </c>
      <c r="I48">
        <v>4.5</v>
      </c>
      <c r="J48" t="s">
        <v>27</v>
      </c>
      <c r="K48" t="s">
        <v>28</v>
      </c>
      <c r="L48">
        <v>216</v>
      </c>
      <c r="M48">
        <v>2009</v>
      </c>
      <c r="N48">
        <v>2001</v>
      </c>
      <c r="O48" s="1">
        <v>44889</v>
      </c>
      <c r="P48" s="1">
        <v>44889</v>
      </c>
      <c r="S48" t="s">
        <v>29</v>
      </c>
      <c r="W48">
        <v>1</v>
      </c>
      <c r="X48">
        <v>0</v>
      </c>
    </row>
    <row r="49" spans="1:24" x14ac:dyDescent="0.25">
      <c r="A49">
        <v>3430775</v>
      </c>
      <c r="B49" t="s">
        <v>135</v>
      </c>
      <c r="C49" t="s">
        <v>25</v>
      </c>
      <c r="D49" t="s">
        <v>26</v>
      </c>
      <c r="F49" t="str">
        <f>"142151513X"</f>
        <v>142151513X</v>
      </c>
      <c r="G49" t="str">
        <f>"9781421515137"</f>
        <v>9781421515137</v>
      </c>
      <c r="H49">
        <v>5</v>
      </c>
      <c r="I49">
        <v>4.4800000000000004</v>
      </c>
      <c r="J49" t="s">
        <v>27</v>
      </c>
      <c r="K49" t="s">
        <v>28</v>
      </c>
      <c r="L49">
        <v>216</v>
      </c>
      <c r="M49">
        <v>2008</v>
      </c>
      <c r="N49">
        <v>2001</v>
      </c>
      <c r="O49" s="1">
        <v>44889</v>
      </c>
      <c r="P49" s="1">
        <v>44888</v>
      </c>
      <c r="S49" t="s">
        <v>29</v>
      </c>
      <c r="W49">
        <v>1</v>
      </c>
      <c r="X49">
        <v>0</v>
      </c>
    </row>
    <row r="50" spans="1:24" x14ac:dyDescent="0.25">
      <c r="A50">
        <v>22438199</v>
      </c>
      <c r="B50" t="s">
        <v>136</v>
      </c>
      <c r="C50" t="s">
        <v>137</v>
      </c>
      <c r="D50" t="s">
        <v>138</v>
      </c>
      <c r="F50" t="str">
        <f>"4063633551"</f>
        <v>4063633551</v>
      </c>
      <c r="G50" t="str">
        <f>"9784063633559"</f>
        <v>9784063633559</v>
      </c>
      <c r="H50">
        <v>0</v>
      </c>
      <c r="I50">
        <v>4.28</v>
      </c>
      <c r="J50" t="s">
        <v>139</v>
      </c>
      <c r="K50" t="s">
        <v>28</v>
      </c>
      <c r="L50">
        <v>184</v>
      </c>
      <c r="M50">
        <v>2004</v>
      </c>
      <c r="N50">
        <v>2004</v>
      </c>
      <c r="P50" s="1">
        <v>44888</v>
      </c>
      <c r="Q50" t="s">
        <v>35</v>
      </c>
      <c r="R50" t="s">
        <v>140</v>
      </c>
      <c r="S50" t="s">
        <v>35</v>
      </c>
      <c r="W50">
        <v>0</v>
      </c>
      <c r="X50">
        <v>0</v>
      </c>
    </row>
    <row r="51" spans="1:24" x14ac:dyDescent="0.25">
      <c r="A51">
        <v>22438198</v>
      </c>
      <c r="B51" t="s">
        <v>141</v>
      </c>
      <c r="C51" t="s">
        <v>137</v>
      </c>
      <c r="D51" t="s">
        <v>138</v>
      </c>
      <c r="F51" t="str">
        <f>"4063633152"</f>
        <v>4063633152</v>
      </c>
      <c r="G51" t="str">
        <f>"9784063633153"</f>
        <v>9784063633153</v>
      </c>
      <c r="H51">
        <v>4</v>
      </c>
      <c r="I51">
        <v>4.3</v>
      </c>
      <c r="J51" t="s">
        <v>139</v>
      </c>
      <c r="K51" t="s">
        <v>28</v>
      </c>
      <c r="L51">
        <v>184</v>
      </c>
      <c r="M51">
        <v>2003</v>
      </c>
      <c r="N51">
        <v>2003</v>
      </c>
      <c r="O51" s="1">
        <v>44888</v>
      </c>
      <c r="P51" s="1">
        <v>44847</v>
      </c>
      <c r="S51" t="s">
        <v>29</v>
      </c>
      <c r="W51">
        <v>1</v>
      </c>
      <c r="X51">
        <v>0</v>
      </c>
    </row>
    <row r="52" spans="1:24" x14ac:dyDescent="0.25">
      <c r="A52">
        <v>2382362</v>
      </c>
      <c r="B52" t="s">
        <v>142</v>
      </c>
      <c r="C52" t="s">
        <v>25</v>
      </c>
      <c r="D52" t="s">
        <v>26</v>
      </c>
      <c r="F52" t="str">
        <f>"1421515121"</f>
        <v>1421515121</v>
      </c>
      <c r="G52" t="str">
        <f>"9781421515120"</f>
        <v>9781421515120</v>
      </c>
      <c r="H52">
        <v>5</v>
      </c>
      <c r="I52">
        <v>4.49</v>
      </c>
      <c r="J52" t="s">
        <v>27</v>
      </c>
      <c r="K52" t="s">
        <v>28</v>
      </c>
      <c r="L52">
        <v>224</v>
      </c>
      <c r="M52">
        <v>2008</v>
      </c>
      <c r="N52">
        <v>2001</v>
      </c>
      <c r="O52" s="1">
        <v>44888</v>
      </c>
      <c r="P52" s="1">
        <v>44888</v>
      </c>
      <c r="S52" t="s">
        <v>29</v>
      </c>
      <c r="W52">
        <v>1</v>
      </c>
      <c r="X52">
        <v>0</v>
      </c>
    </row>
    <row r="53" spans="1:24" x14ac:dyDescent="0.25">
      <c r="A53">
        <v>1826195</v>
      </c>
      <c r="B53" t="s">
        <v>143</v>
      </c>
      <c r="C53" t="s">
        <v>25</v>
      </c>
      <c r="D53" t="s">
        <v>26</v>
      </c>
      <c r="F53" t="str">
        <f>"1421515113"</f>
        <v>1421515113</v>
      </c>
      <c r="G53" t="str">
        <f>"9781421515113"</f>
        <v>9781421515113</v>
      </c>
      <c r="H53">
        <v>5</v>
      </c>
      <c r="I53">
        <v>4.51</v>
      </c>
      <c r="J53" t="s">
        <v>27</v>
      </c>
      <c r="K53" t="s">
        <v>28</v>
      </c>
      <c r="L53">
        <v>216</v>
      </c>
      <c r="M53">
        <v>2008</v>
      </c>
      <c r="N53">
        <v>2001</v>
      </c>
      <c r="O53" s="1">
        <v>44888</v>
      </c>
      <c r="P53" s="1">
        <v>44887</v>
      </c>
      <c r="S53" t="s">
        <v>29</v>
      </c>
      <c r="W53">
        <v>1</v>
      </c>
      <c r="X53">
        <v>0</v>
      </c>
    </row>
    <row r="54" spans="1:24" x14ac:dyDescent="0.25">
      <c r="A54">
        <v>55710508</v>
      </c>
      <c r="B54" t="s">
        <v>144</v>
      </c>
      <c r="C54" t="s">
        <v>145</v>
      </c>
      <c r="D54" t="s">
        <v>146</v>
      </c>
      <c r="E54" t="s">
        <v>147</v>
      </c>
      <c r="F54" t="str">
        <f>"1421599724"</f>
        <v>1421599724</v>
      </c>
      <c r="G54" t="str">
        <f>"9781421599724"</f>
        <v>9781421599724</v>
      </c>
      <c r="H54">
        <v>5</v>
      </c>
      <c r="I54">
        <v>4.45</v>
      </c>
      <c r="J54" t="s">
        <v>27</v>
      </c>
      <c r="K54" t="s">
        <v>28</v>
      </c>
      <c r="L54">
        <v>408</v>
      </c>
      <c r="M54">
        <v>2021</v>
      </c>
      <c r="N54">
        <v>2016</v>
      </c>
      <c r="O54" s="1">
        <v>44888</v>
      </c>
      <c r="P54" s="1">
        <v>44886</v>
      </c>
      <c r="S54" t="s">
        <v>29</v>
      </c>
      <c r="W54">
        <v>1</v>
      </c>
      <c r="X54">
        <v>0</v>
      </c>
    </row>
    <row r="55" spans="1:24" x14ac:dyDescent="0.25">
      <c r="A55">
        <v>662986</v>
      </c>
      <c r="B55" t="s">
        <v>148</v>
      </c>
      <c r="C55" t="s">
        <v>25</v>
      </c>
      <c r="D55" t="s">
        <v>26</v>
      </c>
      <c r="F55" t="str">
        <f>"1421510936"</f>
        <v>1421510936</v>
      </c>
      <c r="G55" t="str">
        <f>"9781421510934"</f>
        <v>9781421510934</v>
      </c>
      <c r="H55">
        <v>5</v>
      </c>
      <c r="I55">
        <v>4.53</v>
      </c>
      <c r="J55" t="s">
        <v>27</v>
      </c>
      <c r="K55" t="s">
        <v>28</v>
      </c>
      <c r="L55">
        <v>192</v>
      </c>
      <c r="M55">
        <v>2007</v>
      </c>
      <c r="N55">
        <v>2000</v>
      </c>
      <c r="O55" s="1">
        <v>44887</v>
      </c>
      <c r="P55" s="1">
        <v>44887</v>
      </c>
      <c r="S55" t="s">
        <v>29</v>
      </c>
      <c r="W55">
        <v>1</v>
      </c>
      <c r="X55">
        <v>0</v>
      </c>
    </row>
    <row r="56" spans="1:24" x14ac:dyDescent="0.25">
      <c r="A56">
        <v>364961</v>
      </c>
      <c r="B56" t="s">
        <v>149</v>
      </c>
      <c r="C56" t="s">
        <v>25</v>
      </c>
      <c r="D56" t="s">
        <v>26</v>
      </c>
      <c r="F56" t="str">
        <f>"1421510928"</f>
        <v>1421510928</v>
      </c>
      <c r="G56" t="str">
        <f>"9781421510927"</f>
        <v>9781421510927</v>
      </c>
      <c r="H56">
        <v>5</v>
      </c>
      <c r="I56">
        <v>4.4000000000000004</v>
      </c>
      <c r="J56" t="s">
        <v>27</v>
      </c>
      <c r="K56" t="s">
        <v>28</v>
      </c>
      <c r="L56">
        <v>216</v>
      </c>
      <c r="M56">
        <v>2007</v>
      </c>
      <c r="N56">
        <v>2000</v>
      </c>
      <c r="O56" s="1">
        <v>44887</v>
      </c>
      <c r="P56" s="1">
        <v>44887</v>
      </c>
      <c r="S56" t="s">
        <v>29</v>
      </c>
      <c r="W56">
        <v>1</v>
      </c>
      <c r="X56">
        <v>0</v>
      </c>
    </row>
    <row r="57" spans="1:24" x14ac:dyDescent="0.25">
      <c r="A57">
        <v>364953</v>
      </c>
      <c r="B57" t="s">
        <v>150</v>
      </c>
      <c r="C57" t="s">
        <v>25</v>
      </c>
      <c r="D57" t="s">
        <v>26</v>
      </c>
      <c r="F57" t="str">
        <f>"142151091X"</f>
        <v>142151091X</v>
      </c>
      <c r="G57" t="str">
        <f>"9781421510910"</f>
        <v>9781421510910</v>
      </c>
      <c r="H57">
        <v>5</v>
      </c>
      <c r="I57">
        <v>4.3600000000000003</v>
      </c>
      <c r="J57" t="s">
        <v>27</v>
      </c>
      <c r="K57" t="s">
        <v>28</v>
      </c>
      <c r="L57">
        <v>192</v>
      </c>
      <c r="M57">
        <v>2007</v>
      </c>
      <c r="N57">
        <v>2000</v>
      </c>
      <c r="O57" s="1">
        <v>44887</v>
      </c>
      <c r="P57" s="1">
        <v>44887</v>
      </c>
      <c r="S57" t="s">
        <v>29</v>
      </c>
      <c r="W57">
        <v>1</v>
      </c>
      <c r="X57">
        <v>0</v>
      </c>
    </row>
    <row r="58" spans="1:24" x14ac:dyDescent="0.25">
      <c r="A58">
        <v>364949</v>
      </c>
      <c r="B58" t="s">
        <v>151</v>
      </c>
      <c r="C58" t="s">
        <v>25</v>
      </c>
      <c r="D58" t="s">
        <v>26</v>
      </c>
      <c r="F58" t="str">
        <f>"1421506653"</f>
        <v>1421506653</v>
      </c>
      <c r="G58" t="str">
        <f>"9781421506654"</f>
        <v>9781421506654</v>
      </c>
      <c r="H58">
        <v>5</v>
      </c>
      <c r="I58">
        <v>4.3899999999999997</v>
      </c>
      <c r="J58" t="s">
        <v>27</v>
      </c>
      <c r="K58" t="s">
        <v>28</v>
      </c>
      <c r="L58">
        <v>192</v>
      </c>
      <c r="M58">
        <v>2007</v>
      </c>
      <c r="N58">
        <v>2000</v>
      </c>
      <c r="O58" s="1">
        <v>44887</v>
      </c>
      <c r="P58" s="1">
        <v>44886</v>
      </c>
      <c r="S58" t="s">
        <v>29</v>
      </c>
      <c r="W58">
        <v>1</v>
      </c>
      <c r="X58">
        <v>0</v>
      </c>
    </row>
    <row r="59" spans="1:24" x14ac:dyDescent="0.25">
      <c r="A59">
        <v>54303400</v>
      </c>
      <c r="B59" t="s">
        <v>152</v>
      </c>
      <c r="C59" t="s">
        <v>145</v>
      </c>
      <c r="D59" t="s">
        <v>146</v>
      </c>
      <c r="E59" t="s">
        <v>147</v>
      </c>
      <c r="F59" t="str">
        <f>"1421599716"</f>
        <v>1421599716</v>
      </c>
      <c r="G59" t="str">
        <f>"9781421599717"</f>
        <v>9781421599717</v>
      </c>
      <c r="H59">
        <v>5</v>
      </c>
      <c r="I59">
        <v>4.49</v>
      </c>
      <c r="J59" t="s">
        <v>27</v>
      </c>
      <c r="K59" t="s">
        <v>28</v>
      </c>
      <c r="L59">
        <v>464</v>
      </c>
      <c r="M59">
        <v>2021</v>
      </c>
      <c r="N59">
        <v>2016</v>
      </c>
      <c r="O59" s="1">
        <v>44886</v>
      </c>
      <c r="P59" s="1">
        <v>44880</v>
      </c>
      <c r="S59" t="s">
        <v>29</v>
      </c>
      <c r="W59">
        <v>1</v>
      </c>
      <c r="X59">
        <v>0</v>
      </c>
    </row>
    <row r="60" spans="1:24" x14ac:dyDescent="0.25">
      <c r="A60">
        <v>364959</v>
      </c>
      <c r="B60" t="s">
        <v>153</v>
      </c>
      <c r="C60" t="s">
        <v>25</v>
      </c>
      <c r="D60" t="s">
        <v>26</v>
      </c>
      <c r="E60" t="s">
        <v>154</v>
      </c>
      <c r="F60" t="str">
        <f>"1421506645"</f>
        <v>1421506645</v>
      </c>
      <c r="G60" t="str">
        <f>"9781421506647"</f>
        <v>9781421506647</v>
      </c>
      <c r="H60">
        <v>5</v>
      </c>
      <c r="I60">
        <v>4.46</v>
      </c>
      <c r="J60" t="s">
        <v>27</v>
      </c>
      <c r="K60" t="s">
        <v>28</v>
      </c>
      <c r="L60">
        <v>200</v>
      </c>
      <c r="M60">
        <v>2006</v>
      </c>
      <c r="N60">
        <v>2000</v>
      </c>
      <c r="O60" s="1">
        <v>44886</v>
      </c>
      <c r="P60" s="1">
        <v>44885</v>
      </c>
      <c r="S60" t="s">
        <v>29</v>
      </c>
      <c r="W60">
        <v>1</v>
      </c>
      <c r="X60">
        <v>0</v>
      </c>
    </row>
    <row r="61" spans="1:24" x14ac:dyDescent="0.25">
      <c r="A61">
        <v>50891199</v>
      </c>
      <c r="B61" t="s">
        <v>155</v>
      </c>
      <c r="C61" t="s">
        <v>145</v>
      </c>
      <c r="D61" t="s">
        <v>146</v>
      </c>
      <c r="E61" t="s">
        <v>147</v>
      </c>
      <c r="F61" t="str">
        <f>"1421599708"</f>
        <v>1421599708</v>
      </c>
      <c r="G61" t="str">
        <f>"9781421599700"</f>
        <v>9781421599700</v>
      </c>
      <c r="H61">
        <v>5</v>
      </c>
      <c r="I61">
        <v>4.55</v>
      </c>
      <c r="J61" t="s">
        <v>27</v>
      </c>
      <c r="K61" t="s">
        <v>28</v>
      </c>
      <c r="L61">
        <v>424</v>
      </c>
      <c r="M61">
        <v>2020</v>
      </c>
      <c r="N61">
        <v>2015</v>
      </c>
      <c r="O61" s="1">
        <v>44885</v>
      </c>
      <c r="P61" s="1">
        <v>44880</v>
      </c>
      <c r="S61" t="s">
        <v>29</v>
      </c>
      <c r="W61">
        <v>1</v>
      </c>
      <c r="X61">
        <v>0</v>
      </c>
    </row>
    <row r="62" spans="1:24" x14ac:dyDescent="0.25">
      <c r="A62">
        <v>662985</v>
      </c>
      <c r="B62" t="s">
        <v>156</v>
      </c>
      <c r="C62" t="s">
        <v>25</v>
      </c>
      <c r="D62" t="s">
        <v>26</v>
      </c>
      <c r="F62" t="str">
        <f>"1421506637"</f>
        <v>1421506637</v>
      </c>
      <c r="G62" t="str">
        <f>"9781421506630"</f>
        <v>9781421506630</v>
      </c>
      <c r="H62">
        <v>5</v>
      </c>
      <c r="I62">
        <v>4.47</v>
      </c>
      <c r="J62" t="s">
        <v>27</v>
      </c>
      <c r="K62" t="s">
        <v>28</v>
      </c>
      <c r="L62">
        <v>192</v>
      </c>
      <c r="M62">
        <v>2006</v>
      </c>
      <c r="N62">
        <v>1999</v>
      </c>
      <c r="O62" s="1">
        <v>44885</v>
      </c>
      <c r="P62" s="1">
        <v>44885</v>
      </c>
      <c r="S62" t="s">
        <v>29</v>
      </c>
      <c r="W62">
        <v>1</v>
      </c>
      <c r="X62">
        <v>0</v>
      </c>
    </row>
    <row r="63" spans="1:24" x14ac:dyDescent="0.25">
      <c r="A63">
        <v>364960</v>
      </c>
      <c r="B63" t="s">
        <v>157</v>
      </c>
      <c r="C63" t="s">
        <v>25</v>
      </c>
      <c r="D63" t="s">
        <v>26</v>
      </c>
      <c r="F63" t="str">
        <f>"1421504065"</f>
        <v>1421504065</v>
      </c>
      <c r="G63" t="str">
        <f>"9781421504063"</f>
        <v>9781421504063</v>
      </c>
      <c r="H63">
        <v>5</v>
      </c>
      <c r="I63">
        <v>4.47</v>
      </c>
      <c r="J63" t="s">
        <v>27</v>
      </c>
      <c r="K63" t="s">
        <v>28</v>
      </c>
      <c r="L63">
        <v>192</v>
      </c>
      <c r="M63">
        <v>2006</v>
      </c>
      <c r="N63">
        <v>1999</v>
      </c>
      <c r="O63" s="1">
        <v>44885</v>
      </c>
      <c r="P63" s="1">
        <v>44885</v>
      </c>
      <c r="S63" t="s">
        <v>29</v>
      </c>
      <c r="W63">
        <v>1</v>
      </c>
      <c r="X63">
        <v>0</v>
      </c>
    </row>
    <row r="64" spans="1:24" x14ac:dyDescent="0.25">
      <c r="A64">
        <v>364958</v>
      </c>
      <c r="B64" t="s">
        <v>158</v>
      </c>
      <c r="C64" t="s">
        <v>25</v>
      </c>
      <c r="D64" t="s">
        <v>26</v>
      </c>
      <c r="F64" t="str">
        <f>"1421501910"</f>
        <v>1421501910</v>
      </c>
      <c r="G64" t="str">
        <f>"9781421501918"</f>
        <v>9781421501918</v>
      </c>
      <c r="H64">
        <v>5</v>
      </c>
      <c r="I64">
        <v>4.58</v>
      </c>
      <c r="J64" t="s">
        <v>27</v>
      </c>
      <c r="K64" t="s">
        <v>28</v>
      </c>
      <c r="L64">
        <v>208</v>
      </c>
      <c r="M64">
        <v>2006</v>
      </c>
      <c r="N64">
        <v>1999</v>
      </c>
      <c r="O64" s="1">
        <v>44885</v>
      </c>
      <c r="P64" s="1">
        <v>44884</v>
      </c>
      <c r="S64" t="s">
        <v>29</v>
      </c>
      <c r="W64">
        <v>1</v>
      </c>
      <c r="X64">
        <v>0</v>
      </c>
    </row>
    <row r="65" spans="1:24" x14ac:dyDescent="0.25">
      <c r="A65">
        <v>49021976</v>
      </c>
      <c r="B65" t="s">
        <v>159</v>
      </c>
      <c r="C65" t="s">
        <v>160</v>
      </c>
      <c r="D65" t="s">
        <v>161</v>
      </c>
      <c r="F65" t="str">
        <f>"0765326388"</f>
        <v>0765326388</v>
      </c>
      <c r="G65" t="str">
        <f>"9780765326386"</f>
        <v>9780765326386</v>
      </c>
      <c r="H65">
        <v>0</v>
      </c>
      <c r="I65">
        <v>4.6100000000000003</v>
      </c>
      <c r="J65" t="s">
        <v>162</v>
      </c>
      <c r="K65" t="s">
        <v>34</v>
      </c>
      <c r="L65">
        <v>1232</v>
      </c>
      <c r="M65">
        <v>2020</v>
      </c>
      <c r="N65">
        <v>2020</v>
      </c>
      <c r="P65" s="1">
        <v>44572</v>
      </c>
      <c r="Q65" t="s">
        <v>47</v>
      </c>
      <c r="R65" t="s">
        <v>163</v>
      </c>
      <c r="S65" t="s">
        <v>47</v>
      </c>
      <c r="W65">
        <v>1</v>
      </c>
      <c r="X65">
        <v>0</v>
      </c>
    </row>
    <row r="66" spans="1:24" x14ac:dyDescent="0.25">
      <c r="A66">
        <v>364955</v>
      </c>
      <c r="B66" t="s">
        <v>164</v>
      </c>
      <c r="C66" t="s">
        <v>25</v>
      </c>
      <c r="D66" t="s">
        <v>26</v>
      </c>
      <c r="F66" t="str">
        <f>"1421500752"</f>
        <v>1421500752</v>
      </c>
      <c r="G66" t="str">
        <f>"9781421500751"</f>
        <v>9781421500751</v>
      </c>
      <c r="H66">
        <v>5</v>
      </c>
      <c r="I66">
        <v>4.5199999999999996</v>
      </c>
      <c r="J66" t="s">
        <v>27</v>
      </c>
      <c r="K66" t="s">
        <v>28</v>
      </c>
      <c r="L66">
        <v>192</v>
      </c>
      <c r="M66">
        <v>2005</v>
      </c>
      <c r="N66">
        <v>1999</v>
      </c>
      <c r="O66" s="1">
        <v>44884</v>
      </c>
      <c r="P66" s="1">
        <v>44884</v>
      </c>
      <c r="S66" t="s">
        <v>29</v>
      </c>
      <c r="W66">
        <v>1</v>
      </c>
      <c r="X66">
        <v>0</v>
      </c>
    </row>
    <row r="67" spans="1:24" x14ac:dyDescent="0.25">
      <c r="A67">
        <v>364954</v>
      </c>
      <c r="B67" t="s">
        <v>165</v>
      </c>
      <c r="C67" t="s">
        <v>25</v>
      </c>
      <c r="D67" t="s">
        <v>26</v>
      </c>
      <c r="F67" t="str">
        <f>"159116852X"</f>
        <v>159116852X</v>
      </c>
      <c r="G67" t="str">
        <f>"9781591168522"</f>
        <v>9781591168522</v>
      </c>
      <c r="H67">
        <v>5</v>
      </c>
      <c r="I67">
        <v>4.4800000000000004</v>
      </c>
      <c r="J67" t="s">
        <v>27</v>
      </c>
      <c r="K67" t="s">
        <v>28</v>
      </c>
      <c r="L67">
        <v>200</v>
      </c>
      <c r="M67">
        <v>2005</v>
      </c>
      <c r="N67">
        <v>1999</v>
      </c>
      <c r="O67" s="1">
        <v>44884</v>
      </c>
      <c r="P67" s="1">
        <v>44884</v>
      </c>
      <c r="S67" t="s">
        <v>29</v>
      </c>
      <c r="W67">
        <v>1</v>
      </c>
      <c r="X67">
        <v>0</v>
      </c>
    </row>
    <row r="68" spans="1:24" x14ac:dyDescent="0.25">
      <c r="A68">
        <v>364950</v>
      </c>
      <c r="B68" t="s">
        <v>166</v>
      </c>
      <c r="C68" t="s">
        <v>25</v>
      </c>
      <c r="D68" t="s">
        <v>26</v>
      </c>
      <c r="E68" t="s">
        <v>154</v>
      </c>
      <c r="F68" t="str">
        <f>"159116723X"</f>
        <v>159116723X</v>
      </c>
      <c r="G68" t="str">
        <f>"9781591167235"</f>
        <v>9781591167235</v>
      </c>
      <c r="H68">
        <v>5</v>
      </c>
      <c r="I68">
        <v>4.45</v>
      </c>
      <c r="J68" t="s">
        <v>27</v>
      </c>
      <c r="K68" t="s">
        <v>28</v>
      </c>
      <c r="L68">
        <v>187</v>
      </c>
      <c r="M68">
        <v>2005</v>
      </c>
      <c r="N68">
        <v>1998</v>
      </c>
      <c r="O68" s="1">
        <v>44884</v>
      </c>
      <c r="P68" s="1">
        <v>44884</v>
      </c>
      <c r="S68" t="s">
        <v>29</v>
      </c>
      <c r="W68">
        <v>1</v>
      </c>
      <c r="X68">
        <v>0</v>
      </c>
    </row>
    <row r="69" spans="1:24" x14ac:dyDescent="0.25">
      <c r="A69">
        <v>364951</v>
      </c>
      <c r="B69" t="s">
        <v>167</v>
      </c>
      <c r="C69" t="s">
        <v>25</v>
      </c>
      <c r="D69" t="s">
        <v>26</v>
      </c>
      <c r="F69" t="str">
        <f>"1591166152"</f>
        <v>1591166152</v>
      </c>
      <c r="G69" t="str">
        <f>"9781591166153"</f>
        <v>9781591166153</v>
      </c>
      <c r="H69">
        <v>5</v>
      </c>
      <c r="I69">
        <v>4.4000000000000004</v>
      </c>
      <c r="J69" t="s">
        <v>27</v>
      </c>
      <c r="K69" t="s">
        <v>28</v>
      </c>
      <c r="L69">
        <v>189</v>
      </c>
      <c r="M69">
        <v>2004</v>
      </c>
      <c r="N69">
        <v>1998</v>
      </c>
      <c r="O69" s="1">
        <v>44884</v>
      </c>
      <c r="P69" s="1">
        <v>44884</v>
      </c>
      <c r="S69" t="s">
        <v>29</v>
      </c>
      <c r="W69">
        <v>1</v>
      </c>
      <c r="X69">
        <v>0</v>
      </c>
    </row>
    <row r="70" spans="1:24" x14ac:dyDescent="0.25">
      <c r="A70">
        <v>364952</v>
      </c>
      <c r="B70" t="s">
        <v>168</v>
      </c>
      <c r="C70" t="s">
        <v>25</v>
      </c>
      <c r="D70" t="s">
        <v>26</v>
      </c>
      <c r="E70" t="s">
        <v>154</v>
      </c>
      <c r="F70" t="str">
        <f>"1591163374"</f>
        <v>1591163374</v>
      </c>
      <c r="G70" t="str">
        <f>"9781591163374"</f>
        <v>9781591163374</v>
      </c>
      <c r="H70">
        <v>4</v>
      </c>
      <c r="I70">
        <v>4.3600000000000003</v>
      </c>
      <c r="J70" t="s">
        <v>27</v>
      </c>
      <c r="K70" t="s">
        <v>28</v>
      </c>
      <c r="L70">
        <v>189</v>
      </c>
      <c r="M70">
        <v>2004</v>
      </c>
      <c r="N70">
        <v>1998</v>
      </c>
      <c r="O70" s="1">
        <v>44884</v>
      </c>
      <c r="P70" s="1">
        <v>44884</v>
      </c>
      <c r="S70" t="s">
        <v>29</v>
      </c>
      <c r="W70">
        <v>1</v>
      </c>
      <c r="X70">
        <v>0</v>
      </c>
    </row>
    <row r="71" spans="1:24" x14ac:dyDescent="0.25">
      <c r="A71">
        <v>50891201</v>
      </c>
      <c r="B71" t="s">
        <v>169</v>
      </c>
      <c r="C71" t="s">
        <v>145</v>
      </c>
      <c r="D71" t="s">
        <v>146</v>
      </c>
      <c r="E71" t="s">
        <v>147</v>
      </c>
      <c r="F71" t="str">
        <f>"1421599694"</f>
        <v>1421599694</v>
      </c>
      <c r="G71" t="str">
        <f>"9781421599694"</f>
        <v>9781421599694</v>
      </c>
      <c r="H71">
        <v>5</v>
      </c>
      <c r="I71">
        <v>4.53</v>
      </c>
      <c r="J71" t="s">
        <v>27</v>
      </c>
      <c r="K71" t="s">
        <v>28</v>
      </c>
      <c r="L71">
        <v>424</v>
      </c>
      <c r="M71">
        <v>2020</v>
      </c>
      <c r="N71">
        <v>2015</v>
      </c>
      <c r="O71" s="1">
        <v>44884</v>
      </c>
      <c r="P71" s="1">
        <v>44880</v>
      </c>
      <c r="S71" t="s">
        <v>29</v>
      </c>
      <c r="W71">
        <v>1</v>
      </c>
      <c r="X71">
        <v>0</v>
      </c>
    </row>
    <row r="72" spans="1:24" x14ac:dyDescent="0.25">
      <c r="A72">
        <v>364957</v>
      </c>
      <c r="B72" t="s">
        <v>170</v>
      </c>
      <c r="C72" t="s">
        <v>25</v>
      </c>
      <c r="D72" t="s">
        <v>26</v>
      </c>
      <c r="F72" t="str">
        <f>"1591161843"</f>
        <v>1591161843</v>
      </c>
      <c r="G72" t="str">
        <f>"9781591161844"</f>
        <v>9781591161844</v>
      </c>
      <c r="H72">
        <v>4</v>
      </c>
      <c r="I72">
        <v>4.3499999999999996</v>
      </c>
      <c r="J72" t="s">
        <v>27</v>
      </c>
      <c r="K72" t="s">
        <v>28</v>
      </c>
      <c r="L72">
        <v>195</v>
      </c>
      <c r="M72">
        <v>2004</v>
      </c>
      <c r="N72">
        <v>1998</v>
      </c>
      <c r="O72" s="1">
        <v>44884</v>
      </c>
      <c r="P72" s="1">
        <v>44883</v>
      </c>
      <c r="S72" t="s">
        <v>29</v>
      </c>
      <c r="W72">
        <v>1</v>
      </c>
      <c r="X72">
        <v>0</v>
      </c>
    </row>
    <row r="73" spans="1:24" x14ac:dyDescent="0.25">
      <c r="A73">
        <v>34611830</v>
      </c>
      <c r="B73" t="s">
        <v>171</v>
      </c>
      <c r="C73" t="s">
        <v>172</v>
      </c>
      <c r="D73" t="s">
        <v>173</v>
      </c>
      <c r="F73" t="str">
        <f>""</f>
        <v/>
      </c>
      <c r="G73" t="str">
        <f>"9786038185179"</f>
        <v>9786038185179</v>
      </c>
      <c r="H73">
        <v>0</v>
      </c>
      <c r="I73">
        <v>3.95</v>
      </c>
      <c r="J73" t="s">
        <v>174</v>
      </c>
      <c r="K73" t="s">
        <v>28</v>
      </c>
      <c r="L73">
        <v>363</v>
      </c>
      <c r="M73">
        <v>2017</v>
      </c>
      <c r="P73" s="1">
        <v>44883</v>
      </c>
      <c r="Q73" t="s">
        <v>35</v>
      </c>
      <c r="R73" t="s">
        <v>175</v>
      </c>
      <c r="S73" t="s">
        <v>35</v>
      </c>
      <c r="W73">
        <v>0</v>
      </c>
      <c r="X73">
        <v>0</v>
      </c>
    </row>
    <row r="74" spans="1:24" x14ac:dyDescent="0.25">
      <c r="A74">
        <v>56625213</v>
      </c>
      <c r="B74" t="s">
        <v>176</v>
      </c>
      <c r="C74" t="s">
        <v>177</v>
      </c>
      <c r="D74" t="s">
        <v>178</v>
      </c>
      <c r="F74" t="str">
        <f>"1546015698"</f>
        <v>1546015698</v>
      </c>
      <c r="G74" t="str">
        <f>"9781546015697"</f>
        <v>9781546015697</v>
      </c>
      <c r="H74">
        <v>0</v>
      </c>
      <c r="I74">
        <v>4.46</v>
      </c>
      <c r="J74" t="s">
        <v>179</v>
      </c>
      <c r="K74" t="s">
        <v>34</v>
      </c>
      <c r="L74">
        <v>256</v>
      </c>
      <c r="M74">
        <v>2021</v>
      </c>
      <c r="P74" s="1">
        <v>44883</v>
      </c>
      <c r="Q74" t="s">
        <v>35</v>
      </c>
      <c r="R74" t="s">
        <v>180</v>
      </c>
      <c r="S74" t="s">
        <v>35</v>
      </c>
      <c r="W74">
        <v>0</v>
      </c>
      <c r="X74">
        <v>0</v>
      </c>
    </row>
    <row r="75" spans="1:24" x14ac:dyDescent="0.25">
      <c r="A75">
        <v>364956</v>
      </c>
      <c r="B75" t="s">
        <v>181</v>
      </c>
      <c r="C75" t="s">
        <v>25</v>
      </c>
      <c r="D75" t="s">
        <v>26</v>
      </c>
      <c r="E75" t="s">
        <v>182</v>
      </c>
      <c r="F75" t="str">
        <f>"159116057X"</f>
        <v>159116057X</v>
      </c>
      <c r="G75" t="str">
        <f>"9781591160571"</f>
        <v>9781591160571</v>
      </c>
      <c r="H75">
        <v>5</v>
      </c>
      <c r="I75">
        <v>4.3600000000000003</v>
      </c>
      <c r="J75" t="s">
        <v>27</v>
      </c>
      <c r="K75" t="s">
        <v>28</v>
      </c>
      <c r="L75">
        <v>193</v>
      </c>
      <c r="M75">
        <v>2003</v>
      </c>
      <c r="N75">
        <v>1998</v>
      </c>
      <c r="O75" s="1">
        <v>44883</v>
      </c>
      <c r="P75" s="1">
        <v>44883</v>
      </c>
      <c r="S75" t="s">
        <v>29</v>
      </c>
      <c r="W75">
        <v>1</v>
      </c>
      <c r="X75">
        <v>0</v>
      </c>
    </row>
    <row r="76" spans="1:24" x14ac:dyDescent="0.25">
      <c r="A76">
        <v>1237398</v>
      </c>
      <c r="B76" t="s">
        <v>183</v>
      </c>
      <c r="C76" t="s">
        <v>25</v>
      </c>
      <c r="D76" t="s">
        <v>26</v>
      </c>
      <c r="E76" t="s">
        <v>184</v>
      </c>
      <c r="F76" t="str">
        <f>"1569319014"</f>
        <v>1569319014</v>
      </c>
      <c r="G76" t="str">
        <f>"9781569319017"</f>
        <v>9781569319017</v>
      </c>
      <c r="H76">
        <v>5</v>
      </c>
      <c r="I76">
        <v>4.47</v>
      </c>
      <c r="J76" t="s">
        <v>27</v>
      </c>
      <c r="K76" t="s">
        <v>28</v>
      </c>
      <c r="L76">
        <v>207</v>
      </c>
      <c r="M76">
        <v>2003</v>
      </c>
      <c r="N76">
        <v>1997</v>
      </c>
      <c r="O76" s="1">
        <v>44883</v>
      </c>
      <c r="P76" s="1">
        <v>44883</v>
      </c>
      <c r="S76" t="s">
        <v>29</v>
      </c>
      <c r="W76">
        <v>1</v>
      </c>
      <c r="X76">
        <v>0</v>
      </c>
    </row>
    <row r="77" spans="1:24" x14ac:dyDescent="0.25">
      <c r="A77">
        <v>31132460</v>
      </c>
      <c r="B77" t="s">
        <v>185</v>
      </c>
      <c r="C77" t="s">
        <v>186</v>
      </c>
      <c r="D77" t="s">
        <v>187</v>
      </c>
      <c r="E77" t="s">
        <v>188</v>
      </c>
      <c r="F77" t="str">
        <f>""</f>
        <v/>
      </c>
      <c r="G77" t="str">
        <f>""</f>
        <v/>
      </c>
      <c r="H77">
        <v>4</v>
      </c>
      <c r="I77">
        <v>4.49</v>
      </c>
      <c r="O77" s="1">
        <v>44882</v>
      </c>
      <c r="P77" s="1">
        <v>44882</v>
      </c>
      <c r="S77" t="s">
        <v>29</v>
      </c>
      <c r="W77">
        <v>1</v>
      </c>
      <c r="X77">
        <v>0</v>
      </c>
    </row>
    <row r="78" spans="1:24" x14ac:dyDescent="0.25">
      <c r="A78">
        <v>30024845</v>
      </c>
      <c r="B78" t="s">
        <v>189</v>
      </c>
      <c r="C78" t="s">
        <v>186</v>
      </c>
      <c r="D78" t="s">
        <v>187</v>
      </c>
      <c r="E78" t="s">
        <v>188</v>
      </c>
      <c r="F78" t="str">
        <f>""</f>
        <v/>
      </c>
      <c r="G78" t="str">
        <f>""</f>
        <v/>
      </c>
      <c r="H78">
        <v>5</v>
      </c>
      <c r="I78">
        <v>4.59</v>
      </c>
      <c r="O78" s="1">
        <v>44882</v>
      </c>
      <c r="P78" s="1">
        <v>44882</v>
      </c>
      <c r="S78" t="s">
        <v>29</v>
      </c>
      <c r="W78">
        <v>1</v>
      </c>
      <c r="X78">
        <v>0</v>
      </c>
    </row>
    <row r="79" spans="1:24" x14ac:dyDescent="0.25">
      <c r="A79">
        <v>29424261</v>
      </c>
      <c r="B79" t="s">
        <v>190</v>
      </c>
      <c r="C79" t="s">
        <v>186</v>
      </c>
      <c r="D79" t="s">
        <v>187</v>
      </c>
      <c r="E79" t="s">
        <v>188</v>
      </c>
      <c r="F79" t="str">
        <f>""</f>
        <v/>
      </c>
      <c r="G79" t="str">
        <f>""</f>
        <v/>
      </c>
      <c r="H79">
        <v>5</v>
      </c>
      <c r="I79">
        <v>4.55</v>
      </c>
      <c r="O79" s="1">
        <v>44882</v>
      </c>
      <c r="P79" s="1">
        <v>44882</v>
      </c>
      <c r="S79" t="s">
        <v>29</v>
      </c>
      <c r="W79">
        <v>1</v>
      </c>
      <c r="X79">
        <v>0</v>
      </c>
    </row>
    <row r="80" spans="1:24" x14ac:dyDescent="0.25">
      <c r="A80">
        <v>28695006</v>
      </c>
      <c r="B80" t="s">
        <v>191</v>
      </c>
      <c r="C80" t="s">
        <v>186</v>
      </c>
      <c r="D80" t="s">
        <v>187</v>
      </c>
      <c r="E80" t="s">
        <v>188</v>
      </c>
      <c r="F80" t="str">
        <f>""</f>
        <v/>
      </c>
      <c r="G80" t="str">
        <f>""</f>
        <v/>
      </c>
      <c r="H80">
        <v>4</v>
      </c>
      <c r="I80">
        <v>4.4800000000000004</v>
      </c>
      <c r="O80" s="1">
        <v>44882</v>
      </c>
      <c r="P80" s="1">
        <v>44881</v>
      </c>
      <c r="S80" t="s">
        <v>29</v>
      </c>
      <c r="W80">
        <v>1</v>
      </c>
      <c r="X80">
        <v>0</v>
      </c>
    </row>
    <row r="81" spans="1:24" x14ac:dyDescent="0.25">
      <c r="A81">
        <v>23947089</v>
      </c>
      <c r="B81" t="s">
        <v>192</v>
      </c>
      <c r="C81" t="s">
        <v>160</v>
      </c>
      <c r="D81" t="s">
        <v>161</v>
      </c>
      <c r="F81" t="str">
        <f>"0765391198"</f>
        <v>0765391198</v>
      </c>
      <c r="G81" t="str">
        <f>"9780765391193"</f>
        <v>9780765391193</v>
      </c>
      <c r="H81">
        <v>0</v>
      </c>
      <c r="I81">
        <v>4.55</v>
      </c>
      <c r="J81" t="s">
        <v>162</v>
      </c>
      <c r="K81" t="s">
        <v>34</v>
      </c>
      <c r="L81">
        <v>507</v>
      </c>
      <c r="M81">
        <v>2022</v>
      </c>
      <c r="N81">
        <v>2022</v>
      </c>
      <c r="P81" s="1">
        <v>44881</v>
      </c>
      <c r="Q81" t="s">
        <v>35</v>
      </c>
      <c r="R81" t="s">
        <v>193</v>
      </c>
      <c r="S81" t="s">
        <v>35</v>
      </c>
      <c r="W81">
        <v>0</v>
      </c>
      <c r="X81">
        <v>0</v>
      </c>
    </row>
    <row r="82" spans="1:24" x14ac:dyDescent="0.25">
      <c r="A82">
        <v>338798</v>
      </c>
      <c r="B82" t="s">
        <v>194</v>
      </c>
      <c r="C82" t="s">
        <v>195</v>
      </c>
      <c r="D82" t="s">
        <v>196</v>
      </c>
      <c r="E82" t="s">
        <v>197</v>
      </c>
      <c r="F82" t="str">
        <f>""</f>
        <v/>
      </c>
      <c r="G82" t="str">
        <f>""</f>
        <v/>
      </c>
      <c r="H82">
        <v>0</v>
      </c>
      <c r="I82">
        <v>3.75</v>
      </c>
      <c r="J82" t="s">
        <v>198</v>
      </c>
      <c r="K82" t="s">
        <v>28</v>
      </c>
      <c r="L82">
        <v>783</v>
      </c>
      <c r="M82">
        <v>1990</v>
      </c>
      <c r="N82">
        <v>1922</v>
      </c>
      <c r="P82" s="1">
        <v>44881</v>
      </c>
      <c r="Q82" t="s">
        <v>35</v>
      </c>
      <c r="R82" t="s">
        <v>199</v>
      </c>
      <c r="S82" t="s">
        <v>35</v>
      </c>
      <c r="W82">
        <v>0</v>
      </c>
      <c r="X82">
        <v>0</v>
      </c>
    </row>
    <row r="83" spans="1:24" x14ac:dyDescent="0.25">
      <c r="A83">
        <v>28695004</v>
      </c>
      <c r="B83" t="s">
        <v>200</v>
      </c>
      <c r="C83" t="s">
        <v>186</v>
      </c>
      <c r="D83" t="s">
        <v>187</v>
      </c>
      <c r="E83" t="s">
        <v>188</v>
      </c>
      <c r="F83" t="str">
        <f>""</f>
        <v/>
      </c>
      <c r="G83" t="str">
        <f>""</f>
        <v/>
      </c>
      <c r="H83">
        <v>4</v>
      </c>
      <c r="I83">
        <v>4.49</v>
      </c>
      <c r="O83" s="1">
        <v>44881</v>
      </c>
      <c r="P83" s="1">
        <v>44881</v>
      </c>
      <c r="S83" t="s">
        <v>29</v>
      </c>
      <c r="W83">
        <v>1</v>
      </c>
      <c r="X83">
        <v>0</v>
      </c>
    </row>
    <row r="84" spans="1:24" x14ac:dyDescent="0.25">
      <c r="A84">
        <v>28695001</v>
      </c>
      <c r="B84" t="s">
        <v>201</v>
      </c>
      <c r="C84" t="s">
        <v>186</v>
      </c>
      <c r="D84" t="s">
        <v>187</v>
      </c>
      <c r="E84" t="s">
        <v>188</v>
      </c>
      <c r="F84" t="str">
        <f>""</f>
        <v/>
      </c>
      <c r="G84" t="str">
        <f>""</f>
        <v/>
      </c>
      <c r="H84">
        <v>4</v>
      </c>
      <c r="I84">
        <v>4.51</v>
      </c>
      <c r="O84" s="1">
        <v>44881</v>
      </c>
      <c r="P84" s="1">
        <v>44881</v>
      </c>
      <c r="S84" t="s">
        <v>29</v>
      </c>
      <c r="W84">
        <v>1</v>
      </c>
      <c r="X84">
        <v>0</v>
      </c>
    </row>
    <row r="85" spans="1:24" x14ac:dyDescent="0.25">
      <c r="A85">
        <v>10317884</v>
      </c>
      <c r="B85" t="s">
        <v>202</v>
      </c>
      <c r="C85" t="s">
        <v>203</v>
      </c>
      <c r="D85" t="s">
        <v>204</v>
      </c>
      <c r="E85" t="s">
        <v>205</v>
      </c>
      <c r="F85" t="str">
        <f>"0345350685"</f>
        <v>0345350685</v>
      </c>
      <c r="G85" t="str">
        <f>"9780345350688"</f>
        <v>9780345350688</v>
      </c>
      <c r="H85">
        <v>5</v>
      </c>
      <c r="I85">
        <v>4.34</v>
      </c>
      <c r="J85" t="s">
        <v>206</v>
      </c>
      <c r="K85" t="s">
        <v>207</v>
      </c>
      <c r="L85">
        <v>460</v>
      </c>
      <c r="M85">
        <v>1992</v>
      </c>
      <c r="N85">
        <v>1965</v>
      </c>
      <c r="O85" s="1">
        <v>44881</v>
      </c>
      <c r="P85" s="1">
        <v>44859</v>
      </c>
      <c r="S85" t="s">
        <v>29</v>
      </c>
      <c r="W85">
        <v>1</v>
      </c>
      <c r="X85">
        <v>0</v>
      </c>
    </row>
    <row r="86" spans="1:24" x14ac:dyDescent="0.25">
      <c r="A86">
        <v>28694993</v>
      </c>
      <c r="B86" t="s">
        <v>208</v>
      </c>
      <c r="C86" t="s">
        <v>186</v>
      </c>
      <c r="D86" t="s">
        <v>187</v>
      </c>
      <c r="E86" t="s">
        <v>188</v>
      </c>
      <c r="F86" t="str">
        <f>""</f>
        <v/>
      </c>
      <c r="G86" t="str">
        <f>""</f>
        <v/>
      </c>
      <c r="H86">
        <v>5</v>
      </c>
      <c r="I86">
        <v>4.47</v>
      </c>
      <c r="O86" s="1">
        <v>44881</v>
      </c>
      <c r="P86" s="1">
        <v>44881</v>
      </c>
      <c r="S86" t="s">
        <v>29</v>
      </c>
      <c r="W86">
        <v>1</v>
      </c>
      <c r="X86">
        <v>0</v>
      </c>
    </row>
    <row r="87" spans="1:24" x14ac:dyDescent="0.25">
      <c r="A87">
        <v>28684849</v>
      </c>
      <c r="B87" t="s">
        <v>209</v>
      </c>
      <c r="C87" t="s">
        <v>186</v>
      </c>
      <c r="D87" t="s">
        <v>187</v>
      </c>
      <c r="E87" t="s">
        <v>188</v>
      </c>
      <c r="F87" t="str">
        <f>""</f>
        <v/>
      </c>
      <c r="G87" t="str">
        <f>"9791157542888"</f>
        <v>9791157542888</v>
      </c>
      <c r="H87">
        <v>5</v>
      </c>
      <c r="I87">
        <v>4.5</v>
      </c>
      <c r="J87" t="s">
        <v>210</v>
      </c>
      <c r="K87" t="s">
        <v>28</v>
      </c>
      <c r="L87">
        <v>208</v>
      </c>
      <c r="M87">
        <v>2015</v>
      </c>
      <c r="O87" s="1">
        <v>44881</v>
      </c>
      <c r="P87" s="1">
        <v>44881</v>
      </c>
      <c r="S87" t="s">
        <v>29</v>
      </c>
      <c r="W87">
        <v>1</v>
      </c>
      <c r="X87">
        <v>0</v>
      </c>
    </row>
    <row r="88" spans="1:24" x14ac:dyDescent="0.25">
      <c r="A88">
        <v>27023468</v>
      </c>
      <c r="B88" t="s">
        <v>211</v>
      </c>
      <c r="C88" t="s">
        <v>186</v>
      </c>
      <c r="D88" t="s">
        <v>187</v>
      </c>
      <c r="E88" t="s">
        <v>188</v>
      </c>
      <c r="F88" t="str">
        <f>""</f>
        <v/>
      </c>
      <c r="G88" t="str">
        <f>"9786023395729"</f>
        <v>9786023395729</v>
      </c>
      <c r="H88">
        <v>5</v>
      </c>
      <c r="I88">
        <v>4.47</v>
      </c>
      <c r="J88" t="s">
        <v>212</v>
      </c>
      <c r="K88" t="s">
        <v>28</v>
      </c>
      <c r="L88">
        <v>208</v>
      </c>
      <c r="M88">
        <v>2015</v>
      </c>
      <c r="N88">
        <v>2015</v>
      </c>
      <c r="O88" s="1">
        <v>44881</v>
      </c>
      <c r="P88" s="1">
        <v>44881</v>
      </c>
      <c r="S88" t="s">
        <v>29</v>
      </c>
      <c r="W88">
        <v>1</v>
      </c>
      <c r="X88">
        <v>0</v>
      </c>
    </row>
    <row r="89" spans="1:24" x14ac:dyDescent="0.25">
      <c r="A89">
        <v>23272155</v>
      </c>
      <c r="B89" t="s">
        <v>213</v>
      </c>
      <c r="C89" t="s">
        <v>186</v>
      </c>
      <c r="D89" t="s">
        <v>187</v>
      </c>
      <c r="F89" t="str">
        <f>"1156257565"</f>
        <v>1156257565</v>
      </c>
      <c r="G89" t="str">
        <f>"9791156257561"</f>
        <v>9791156257561</v>
      </c>
      <c r="H89">
        <v>5</v>
      </c>
      <c r="I89">
        <v>4.47</v>
      </c>
      <c r="K89" t="s">
        <v>28</v>
      </c>
      <c r="L89">
        <v>212</v>
      </c>
      <c r="M89">
        <v>2014</v>
      </c>
      <c r="N89">
        <v>2014</v>
      </c>
      <c r="O89" s="1">
        <v>44881</v>
      </c>
      <c r="P89" s="1">
        <v>44881</v>
      </c>
      <c r="S89" t="s">
        <v>29</v>
      </c>
      <c r="W89">
        <v>1</v>
      </c>
      <c r="X89">
        <v>0</v>
      </c>
    </row>
    <row r="90" spans="1:24" x14ac:dyDescent="0.25">
      <c r="A90">
        <v>15852837</v>
      </c>
      <c r="B90" t="s">
        <v>214</v>
      </c>
      <c r="C90" t="s">
        <v>186</v>
      </c>
      <c r="D90" t="s">
        <v>187</v>
      </c>
      <c r="E90" t="s">
        <v>188</v>
      </c>
      <c r="F90" t="str">
        <f>"8968229279"</f>
        <v>8968229279</v>
      </c>
      <c r="G90" t="str">
        <f>"9788968229275"</f>
        <v>9788968229275</v>
      </c>
      <c r="H90">
        <v>4</v>
      </c>
      <c r="I90">
        <v>4.49</v>
      </c>
      <c r="K90" t="s">
        <v>28</v>
      </c>
      <c r="L90">
        <v>220</v>
      </c>
      <c r="M90">
        <v>2014</v>
      </c>
      <c r="N90">
        <v>2014</v>
      </c>
      <c r="O90" s="1">
        <v>44881</v>
      </c>
      <c r="P90" s="1">
        <v>44879</v>
      </c>
      <c r="S90" t="s">
        <v>29</v>
      </c>
      <c r="W90">
        <v>1</v>
      </c>
      <c r="X90">
        <v>0</v>
      </c>
    </row>
    <row r="91" spans="1:24" x14ac:dyDescent="0.25">
      <c r="A91">
        <v>52758120</v>
      </c>
      <c r="B91" t="s">
        <v>215</v>
      </c>
      <c r="C91" t="s">
        <v>145</v>
      </c>
      <c r="D91" t="s">
        <v>146</v>
      </c>
      <c r="E91" t="s">
        <v>147</v>
      </c>
      <c r="F91" t="str">
        <f>"1421599686"</f>
        <v>1421599686</v>
      </c>
      <c r="G91" t="str">
        <f>"9781421599687"</f>
        <v>9781421599687</v>
      </c>
      <c r="H91">
        <v>5</v>
      </c>
      <c r="I91">
        <v>4.5599999999999996</v>
      </c>
      <c r="J91" t="s">
        <v>27</v>
      </c>
      <c r="K91" t="s">
        <v>28</v>
      </c>
      <c r="L91">
        <v>456</v>
      </c>
      <c r="M91">
        <v>2020</v>
      </c>
      <c r="N91">
        <v>2015</v>
      </c>
      <c r="O91" s="1">
        <v>44880</v>
      </c>
      <c r="P91" s="1">
        <v>44876</v>
      </c>
      <c r="S91" t="s">
        <v>29</v>
      </c>
      <c r="W91">
        <v>1</v>
      </c>
      <c r="X91">
        <v>0</v>
      </c>
    </row>
    <row r="92" spans="1:24" x14ac:dyDescent="0.25">
      <c r="A92">
        <v>15852838</v>
      </c>
      <c r="B92" t="s">
        <v>216</v>
      </c>
      <c r="C92" t="s">
        <v>186</v>
      </c>
      <c r="D92" t="s">
        <v>187</v>
      </c>
      <c r="E92" t="s">
        <v>188</v>
      </c>
      <c r="F92" t="str">
        <f>"8968227357"</f>
        <v>8968227357</v>
      </c>
      <c r="G92" t="str">
        <f>"9788968227356"</f>
        <v>9788968227356</v>
      </c>
      <c r="H92">
        <v>4</v>
      </c>
      <c r="I92">
        <v>4.4800000000000004</v>
      </c>
      <c r="K92" t="s">
        <v>28</v>
      </c>
      <c r="L92">
        <v>208</v>
      </c>
      <c r="M92">
        <v>2013</v>
      </c>
      <c r="N92">
        <v>2013</v>
      </c>
      <c r="O92" s="1">
        <v>44879</v>
      </c>
      <c r="P92" s="1">
        <v>44878</v>
      </c>
      <c r="S92" t="s">
        <v>29</v>
      </c>
      <c r="W92">
        <v>1</v>
      </c>
      <c r="X92">
        <v>0</v>
      </c>
    </row>
    <row r="93" spans="1:24" x14ac:dyDescent="0.25">
      <c r="A93">
        <v>15852836</v>
      </c>
      <c r="B93" t="s">
        <v>217</v>
      </c>
      <c r="C93" t="s">
        <v>186</v>
      </c>
      <c r="D93" t="s">
        <v>187</v>
      </c>
      <c r="E93" t="s">
        <v>188</v>
      </c>
      <c r="F93" t="str">
        <f>"8968226393"</f>
        <v>8968226393</v>
      </c>
      <c r="G93" t="str">
        <f>"9788968226397"</f>
        <v>9788968226397</v>
      </c>
      <c r="H93">
        <v>4</v>
      </c>
      <c r="I93">
        <v>4.45</v>
      </c>
      <c r="K93" t="s">
        <v>28</v>
      </c>
      <c r="L93">
        <v>190</v>
      </c>
      <c r="M93">
        <v>2013</v>
      </c>
      <c r="N93">
        <v>2013</v>
      </c>
      <c r="O93" s="1">
        <v>44878</v>
      </c>
      <c r="P93" s="1">
        <v>44878</v>
      </c>
      <c r="S93" t="s">
        <v>29</v>
      </c>
      <c r="W93">
        <v>1</v>
      </c>
      <c r="X93">
        <v>0</v>
      </c>
    </row>
    <row r="94" spans="1:24" x14ac:dyDescent="0.25">
      <c r="A94">
        <v>15852834</v>
      </c>
      <c r="B94" t="s">
        <v>218</v>
      </c>
      <c r="C94" t="s">
        <v>186</v>
      </c>
      <c r="D94" t="s">
        <v>187</v>
      </c>
      <c r="E94" t="s">
        <v>188</v>
      </c>
      <c r="F94" t="str">
        <f>"8968223335"</f>
        <v>8968223335</v>
      </c>
      <c r="G94" t="str">
        <f>"9788968223334"</f>
        <v>9788968223334</v>
      </c>
      <c r="H94">
        <v>4</v>
      </c>
      <c r="I94">
        <v>4.46</v>
      </c>
      <c r="K94" t="s">
        <v>28</v>
      </c>
      <c r="L94">
        <v>190</v>
      </c>
      <c r="M94">
        <v>2013</v>
      </c>
      <c r="N94">
        <v>2013</v>
      </c>
      <c r="O94" s="1">
        <v>44878</v>
      </c>
      <c r="P94" s="1">
        <v>44878</v>
      </c>
      <c r="S94" t="s">
        <v>29</v>
      </c>
      <c r="W94">
        <v>1</v>
      </c>
      <c r="X94">
        <v>0</v>
      </c>
    </row>
    <row r="95" spans="1:24" x14ac:dyDescent="0.25">
      <c r="A95">
        <v>15852833</v>
      </c>
      <c r="B95" t="s">
        <v>219</v>
      </c>
      <c r="C95" t="s">
        <v>186</v>
      </c>
      <c r="D95" t="s">
        <v>187</v>
      </c>
      <c r="E95" t="s">
        <v>188</v>
      </c>
      <c r="F95" t="str">
        <f>"8968220239"</f>
        <v>8968220239</v>
      </c>
      <c r="G95" t="str">
        <f>"9788968220234"</f>
        <v>9788968220234</v>
      </c>
      <c r="H95">
        <v>4</v>
      </c>
      <c r="I95">
        <v>4.46</v>
      </c>
      <c r="J95" t="s">
        <v>220</v>
      </c>
      <c r="K95" t="s">
        <v>28</v>
      </c>
      <c r="L95">
        <v>190</v>
      </c>
      <c r="M95">
        <v>2013</v>
      </c>
      <c r="N95">
        <v>2013</v>
      </c>
      <c r="O95" s="1">
        <v>44878</v>
      </c>
      <c r="P95" s="1">
        <v>44878</v>
      </c>
      <c r="S95" t="s">
        <v>29</v>
      </c>
      <c r="W95">
        <v>1</v>
      </c>
      <c r="X95">
        <v>0</v>
      </c>
    </row>
    <row r="96" spans="1:24" x14ac:dyDescent="0.25">
      <c r="A96">
        <v>15852832</v>
      </c>
      <c r="B96" t="s">
        <v>221</v>
      </c>
      <c r="C96" t="s">
        <v>186</v>
      </c>
      <c r="D96" t="s">
        <v>187</v>
      </c>
      <c r="E96" t="s">
        <v>188</v>
      </c>
      <c r="F96" t="str">
        <f>"8967253761"</f>
        <v>8967253761</v>
      </c>
      <c r="G96" t="str">
        <f>"9788967253769"</f>
        <v>9788967253769</v>
      </c>
      <c r="H96">
        <v>4</v>
      </c>
      <c r="I96">
        <v>4.46</v>
      </c>
      <c r="K96" t="s">
        <v>28</v>
      </c>
      <c r="L96">
        <v>190</v>
      </c>
      <c r="M96">
        <v>2012</v>
      </c>
      <c r="N96">
        <v>2012</v>
      </c>
      <c r="O96" s="1">
        <v>44878</v>
      </c>
      <c r="P96" s="1">
        <v>44878</v>
      </c>
      <c r="S96" t="s">
        <v>29</v>
      </c>
      <c r="W96">
        <v>1</v>
      </c>
      <c r="X96">
        <v>0</v>
      </c>
    </row>
    <row r="97" spans="1:24" x14ac:dyDescent="0.25">
      <c r="A97">
        <v>15852830</v>
      </c>
      <c r="B97" t="s">
        <v>222</v>
      </c>
      <c r="C97" t="s">
        <v>186</v>
      </c>
      <c r="D97" t="s">
        <v>187</v>
      </c>
      <c r="E97" t="s">
        <v>188</v>
      </c>
      <c r="F97" t="str">
        <f>"8967250630"</f>
        <v>8967250630</v>
      </c>
      <c r="G97" t="str">
        <f>"9788967250638"</f>
        <v>9788967250638</v>
      </c>
      <c r="H97">
        <v>4</v>
      </c>
      <c r="I97">
        <v>4.43</v>
      </c>
      <c r="K97" t="s">
        <v>28</v>
      </c>
      <c r="L97">
        <v>190</v>
      </c>
      <c r="M97">
        <v>2012</v>
      </c>
      <c r="N97">
        <v>2012</v>
      </c>
      <c r="O97" s="1">
        <v>44878</v>
      </c>
      <c r="P97" s="1">
        <v>44878</v>
      </c>
      <c r="S97" t="s">
        <v>29</v>
      </c>
      <c r="W97">
        <v>1</v>
      </c>
      <c r="X97">
        <v>0</v>
      </c>
    </row>
    <row r="98" spans="1:24" x14ac:dyDescent="0.25">
      <c r="A98">
        <v>13612727</v>
      </c>
      <c r="B98" t="s">
        <v>223</v>
      </c>
      <c r="C98" t="s">
        <v>186</v>
      </c>
      <c r="D98" t="s">
        <v>187</v>
      </c>
      <c r="E98" t="s">
        <v>188</v>
      </c>
      <c r="F98" t="str">
        <f>"8925294249"</f>
        <v>8925294249</v>
      </c>
      <c r="G98" t="str">
        <f>"9788925294247"</f>
        <v>9788925294247</v>
      </c>
      <c r="H98">
        <v>4</v>
      </c>
      <c r="I98">
        <v>4.4000000000000004</v>
      </c>
      <c r="J98" t="s">
        <v>220</v>
      </c>
      <c r="K98" t="s">
        <v>28</v>
      </c>
      <c r="L98">
        <v>192</v>
      </c>
      <c r="M98">
        <v>2012</v>
      </c>
      <c r="N98">
        <v>2012</v>
      </c>
      <c r="O98" s="1">
        <v>44878</v>
      </c>
      <c r="P98" s="1">
        <v>44878</v>
      </c>
      <c r="S98" t="s">
        <v>29</v>
      </c>
      <c r="W98">
        <v>1</v>
      </c>
      <c r="X98">
        <v>0</v>
      </c>
    </row>
    <row r="99" spans="1:24" x14ac:dyDescent="0.25">
      <c r="A99">
        <v>13612726</v>
      </c>
      <c r="B99" t="s">
        <v>224</v>
      </c>
      <c r="C99" t="s">
        <v>186</v>
      </c>
      <c r="D99" t="s">
        <v>187</v>
      </c>
      <c r="E99" t="s">
        <v>188</v>
      </c>
      <c r="F99" t="str">
        <f>"8925291479"</f>
        <v>8925291479</v>
      </c>
      <c r="G99" t="str">
        <f>"9788925291475"</f>
        <v>9788925291475</v>
      </c>
      <c r="H99">
        <v>4</v>
      </c>
      <c r="I99">
        <v>4.3899999999999997</v>
      </c>
      <c r="K99" t="s">
        <v>28</v>
      </c>
      <c r="L99">
        <v>226</v>
      </c>
      <c r="M99">
        <v>2011</v>
      </c>
      <c r="N99">
        <v>2011</v>
      </c>
      <c r="O99" s="1">
        <v>44878</v>
      </c>
      <c r="P99" s="1">
        <v>44878</v>
      </c>
      <c r="S99" t="s">
        <v>29</v>
      </c>
      <c r="W99">
        <v>1</v>
      </c>
      <c r="X99">
        <v>0</v>
      </c>
    </row>
    <row r="100" spans="1:24" x14ac:dyDescent="0.25">
      <c r="A100">
        <v>34466963</v>
      </c>
      <c r="B100" t="s">
        <v>225</v>
      </c>
      <c r="C100" t="s">
        <v>226</v>
      </c>
      <c r="D100" t="s">
        <v>227</v>
      </c>
      <c r="F100" t="str">
        <f>""</f>
        <v/>
      </c>
      <c r="G100" t="str">
        <f>""</f>
        <v/>
      </c>
      <c r="H100">
        <v>5</v>
      </c>
      <c r="I100">
        <v>4.38</v>
      </c>
      <c r="J100" t="s">
        <v>228</v>
      </c>
      <c r="K100" t="s">
        <v>34</v>
      </c>
      <c r="L100">
        <v>368</v>
      </c>
      <c r="M100">
        <v>2017</v>
      </c>
      <c r="N100">
        <v>2017</v>
      </c>
      <c r="O100" s="1">
        <v>44878</v>
      </c>
      <c r="P100" s="1">
        <v>44711</v>
      </c>
      <c r="S100" t="s">
        <v>29</v>
      </c>
      <c r="W100">
        <v>1</v>
      </c>
      <c r="X100">
        <v>0</v>
      </c>
    </row>
    <row r="101" spans="1:24" x14ac:dyDescent="0.25">
      <c r="A101">
        <v>13612725</v>
      </c>
      <c r="B101" t="s">
        <v>229</v>
      </c>
      <c r="C101" t="s">
        <v>186</v>
      </c>
      <c r="D101" t="s">
        <v>187</v>
      </c>
      <c r="E101" t="s">
        <v>188</v>
      </c>
      <c r="F101" t="str">
        <f>"8925283581"</f>
        <v>8925283581</v>
      </c>
      <c r="G101" t="str">
        <f>"9788925283586"</f>
        <v>9788925283586</v>
      </c>
      <c r="H101">
        <v>4</v>
      </c>
      <c r="I101">
        <v>4.43</v>
      </c>
      <c r="K101" t="s">
        <v>28</v>
      </c>
      <c r="L101">
        <v>192</v>
      </c>
      <c r="M101">
        <v>2011</v>
      </c>
      <c r="N101">
        <v>2011</v>
      </c>
      <c r="O101" s="1">
        <v>44878</v>
      </c>
      <c r="P101" s="1">
        <v>44877</v>
      </c>
      <c r="S101" t="s">
        <v>29</v>
      </c>
      <c r="W101">
        <v>1</v>
      </c>
      <c r="X101">
        <v>0</v>
      </c>
    </row>
    <row r="102" spans="1:24" x14ac:dyDescent="0.25">
      <c r="A102">
        <v>1383168</v>
      </c>
      <c r="B102" t="s">
        <v>230</v>
      </c>
      <c r="C102" t="s">
        <v>231</v>
      </c>
      <c r="D102" t="s">
        <v>232</v>
      </c>
      <c r="F102" t="str">
        <f>"0865479518"</f>
        <v>0865479518</v>
      </c>
      <c r="G102" t="str">
        <f>"9780865479517"</f>
        <v>9780865479517</v>
      </c>
      <c r="H102">
        <v>0</v>
      </c>
      <c r="I102">
        <v>4.2699999999999996</v>
      </c>
      <c r="J102" t="s">
        <v>233</v>
      </c>
      <c r="K102" t="s">
        <v>34</v>
      </c>
      <c r="L102">
        <v>445</v>
      </c>
      <c r="M102">
        <v>2007</v>
      </c>
      <c r="N102">
        <v>2007</v>
      </c>
      <c r="P102" s="1">
        <v>44877</v>
      </c>
      <c r="Q102" t="s">
        <v>35</v>
      </c>
      <c r="R102" t="s">
        <v>234</v>
      </c>
      <c r="S102" t="s">
        <v>35</v>
      </c>
      <c r="W102">
        <v>0</v>
      </c>
      <c r="X102">
        <v>0</v>
      </c>
    </row>
    <row r="103" spans="1:24" x14ac:dyDescent="0.25">
      <c r="A103">
        <v>106092</v>
      </c>
      <c r="B103" t="s">
        <v>235</v>
      </c>
      <c r="C103" t="s">
        <v>236</v>
      </c>
      <c r="D103" t="s">
        <v>237</v>
      </c>
      <c r="E103" t="s">
        <v>238</v>
      </c>
      <c r="F103" t="str">
        <f>""</f>
        <v/>
      </c>
      <c r="G103" t="str">
        <f>""</f>
        <v/>
      </c>
      <c r="H103">
        <v>0</v>
      </c>
      <c r="I103">
        <v>4.17</v>
      </c>
      <c r="J103" t="s">
        <v>239</v>
      </c>
      <c r="K103" t="s">
        <v>28</v>
      </c>
      <c r="L103">
        <v>305</v>
      </c>
      <c r="M103">
        <v>1972</v>
      </c>
      <c r="N103">
        <v>1942</v>
      </c>
      <c r="P103" s="1">
        <v>44877</v>
      </c>
      <c r="Q103" t="s">
        <v>35</v>
      </c>
      <c r="R103" t="s">
        <v>240</v>
      </c>
      <c r="S103" t="s">
        <v>35</v>
      </c>
      <c r="W103">
        <v>0</v>
      </c>
      <c r="X103">
        <v>0</v>
      </c>
    </row>
    <row r="104" spans="1:24" x14ac:dyDescent="0.25">
      <c r="A104">
        <v>32606730</v>
      </c>
      <c r="B104" t="s">
        <v>241</v>
      </c>
      <c r="C104" t="s">
        <v>242</v>
      </c>
      <c r="D104" t="s">
        <v>243</v>
      </c>
      <c r="F104" t="str">
        <f>""</f>
        <v/>
      </c>
      <c r="G104" t="str">
        <f>""</f>
        <v/>
      </c>
      <c r="H104">
        <v>0</v>
      </c>
      <c r="I104">
        <v>4.33</v>
      </c>
      <c r="J104" t="s">
        <v>244</v>
      </c>
      <c r="K104" t="s">
        <v>133</v>
      </c>
      <c r="L104">
        <v>282</v>
      </c>
      <c r="M104">
        <v>2016</v>
      </c>
      <c r="N104">
        <v>2016</v>
      </c>
      <c r="P104" s="1">
        <v>44877</v>
      </c>
      <c r="Q104" t="s">
        <v>35</v>
      </c>
      <c r="R104" t="s">
        <v>245</v>
      </c>
      <c r="S104" t="s">
        <v>35</v>
      </c>
      <c r="W104">
        <v>0</v>
      </c>
      <c r="X104">
        <v>0</v>
      </c>
    </row>
    <row r="105" spans="1:24" x14ac:dyDescent="0.25">
      <c r="A105">
        <v>12490514</v>
      </c>
      <c r="B105" t="s">
        <v>246</v>
      </c>
      <c r="C105" t="s">
        <v>186</v>
      </c>
      <c r="D105" t="s">
        <v>187</v>
      </c>
      <c r="E105" t="s">
        <v>188</v>
      </c>
      <c r="F105" t="str">
        <f>"8925266032"</f>
        <v>8925266032</v>
      </c>
      <c r="G105" t="str">
        <f>"9788925266039"</f>
        <v>9788925266039</v>
      </c>
      <c r="H105">
        <v>4</v>
      </c>
      <c r="I105">
        <v>4.5199999999999996</v>
      </c>
      <c r="J105" t="s">
        <v>220</v>
      </c>
      <c r="K105" t="s">
        <v>28</v>
      </c>
      <c r="L105">
        <v>192</v>
      </c>
      <c r="M105">
        <v>2010</v>
      </c>
      <c r="N105">
        <v>2010</v>
      </c>
      <c r="O105" s="1">
        <v>44877</v>
      </c>
      <c r="P105" s="1">
        <v>44877</v>
      </c>
      <c r="S105" t="s">
        <v>29</v>
      </c>
      <c r="W105">
        <v>1</v>
      </c>
      <c r="X105">
        <v>0</v>
      </c>
    </row>
    <row r="106" spans="1:24" x14ac:dyDescent="0.25">
      <c r="A106">
        <v>12490512</v>
      </c>
      <c r="B106" t="s">
        <v>247</v>
      </c>
      <c r="C106" t="s">
        <v>186</v>
      </c>
      <c r="D106" t="s">
        <v>187</v>
      </c>
      <c r="E106" t="s">
        <v>188</v>
      </c>
      <c r="F106" t="str">
        <f>"8925260905"</f>
        <v>8925260905</v>
      </c>
      <c r="G106" t="str">
        <f>"9788925260907"</f>
        <v>9788925260907</v>
      </c>
      <c r="H106">
        <v>4</v>
      </c>
      <c r="I106">
        <v>4.5199999999999996</v>
      </c>
      <c r="J106" t="s">
        <v>248</v>
      </c>
      <c r="K106" t="s">
        <v>28</v>
      </c>
      <c r="L106">
        <v>192</v>
      </c>
      <c r="M106">
        <v>2010</v>
      </c>
      <c r="N106">
        <v>2010</v>
      </c>
      <c r="O106" s="1">
        <v>44877</v>
      </c>
      <c r="P106" s="1">
        <v>44877</v>
      </c>
      <c r="S106" t="s">
        <v>29</v>
      </c>
      <c r="W106">
        <v>1</v>
      </c>
      <c r="X106">
        <v>0</v>
      </c>
    </row>
    <row r="107" spans="1:24" x14ac:dyDescent="0.25">
      <c r="A107">
        <v>12490666</v>
      </c>
      <c r="B107" t="s">
        <v>249</v>
      </c>
      <c r="C107" t="s">
        <v>186</v>
      </c>
      <c r="D107" t="s">
        <v>187</v>
      </c>
      <c r="E107" t="s">
        <v>188</v>
      </c>
      <c r="F107" t="str">
        <f>"8925255448"</f>
        <v>8925255448</v>
      </c>
      <c r="G107" t="str">
        <f>"9788925255446"</f>
        <v>9788925255446</v>
      </c>
      <c r="H107">
        <v>4</v>
      </c>
      <c r="I107">
        <v>4.5</v>
      </c>
      <c r="J107" t="s">
        <v>248</v>
      </c>
      <c r="K107" t="s">
        <v>28</v>
      </c>
      <c r="L107">
        <v>192</v>
      </c>
      <c r="M107">
        <v>2009</v>
      </c>
      <c r="N107">
        <v>2009</v>
      </c>
      <c r="O107" s="1">
        <v>44877</v>
      </c>
      <c r="P107" s="1">
        <v>44877</v>
      </c>
      <c r="S107" t="s">
        <v>29</v>
      </c>
      <c r="W107">
        <v>1</v>
      </c>
      <c r="X107">
        <v>0</v>
      </c>
    </row>
    <row r="108" spans="1:24" x14ac:dyDescent="0.25">
      <c r="A108">
        <v>20868424</v>
      </c>
      <c r="B108" t="s">
        <v>250</v>
      </c>
      <c r="C108" t="s">
        <v>251</v>
      </c>
      <c r="D108" t="s">
        <v>252</v>
      </c>
      <c r="F108" t="str">
        <f>""</f>
        <v/>
      </c>
      <c r="G108" t="str">
        <f>""</f>
        <v/>
      </c>
      <c r="H108">
        <v>0</v>
      </c>
      <c r="I108">
        <v>4.1399999999999997</v>
      </c>
      <c r="J108" t="s">
        <v>253</v>
      </c>
      <c r="K108" t="s">
        <v>133</v>
      </c>
      <c r="L108">
        <v>344</v>
      </c>
      <c r="M108">
        <v>2014</v>
      </c>
      <c r="N108">
        <v>2014</v>
      </c>
      <c r="P108" s="1">
        <v>44877</v>
      </c>
      <c r="Q108" t="s">
        <v>35</v>
      </c>
      <c r="R108" t="s">
        <v>254</v>
      </c>
      <c r="S108" t="s">
        <v>35</v>
      </c>
      <c r="W108">
        <v>0</v>
      </c>
      <c r="X108">
        <v>0</v>
      </c>
    </row>
    <row r="109" spans="1:24" x14ac:dyDescent="0.25">
      <c r="A109">
        <v>37706596</v>
      </c>
      <c r="B109" t="s">
        <v>255</v>
      </c>
      <c r="C109" t="s">
        <v>256</v>
      </c>
      <c r="D109" t="s">
        <v>257</v>
      </c>
      <c r="F109" t="str">
        <f>"1449492878"</f>
        <v>1449492878</v>
      </c>
      <c r="G109" t="str">
        <f>"9781449492878"</f>
        <v>9781449492878</v>
      </c>
      <c r="H109">
        <v>0</v>
      </c>
      <c r="I109">
        <v>4.05</v>
      </c>
      <c r="J109" t="s">
        <v>258</v>
      </c>
      <c r="K109" t="s">
        <v>28</v>
      </c>
      <c r="L109">
        <v>224</v>
      </c>
      <c r="M109">
        <v>2018</v>
      </c>
      <c r="N109">
        <v>2018</v>
      </c>
      <c r="P109" s="1">
        <v>44877</v>
      </c>
      <c r="Q109" t="s">
        <v>35</v>
      </c>
      <c r="R109" t="s">
        <v>259</v>
      </c>
      <c r="S109" t="s">
        <v>35</v>
      </c>
      <c r="W109">
        <v>0</v>
      </c>
      <c r="X109">
        <v>0</v>
      </c>
    </row>
    <row r="110" spans="1:24" x14ac:dyDescent="0.25">
      <c r="A110">
        <v>57698504</v>
      </c>
      <c r="B110" t="s">
        <v>260</v>
      </c>
      <c r="C110" t="s">
        <v>261</v>
      </c>
      <c r="D110" t="s">
        <v>262</v>
      </c>
      <c r="F110" t="str">
        <f>"1787832643"</f>
        <v>1787832643</v>
      </c>
      <c r="G110" t="str">
        <f>"9781787832640"</f>
        <v>9781787832640</v>
      </c>
      <c r="H110">
        <v>0</v>
      </c>
      <c r="I110">
        <v>4.38</v>
      </c>
      <c r="K110" t="s">
        <v>34</v>
      </c>
      <c r="M110">
        <v>2020</v>
      </c>
      <c r="P110" s="1">
        <v>44877</v>
      </c>
      <c r="Q110" t="s">
        <v>35</v>
      </c>
      <c r="R110" t="s">
        <v>263</v>
      </c>
      <c r="S110" t="s">
        <v>35</v>
      </c>
      <c r="W110">
        <v>0</v>
      </c>
      <c r="X110">
        <v>0</v>
      </c>
    </row>
    <row r="111" spans="1:24" x14ac:dyDescent="0.25">
      <c r="A111">
        <v>12490449</v>
      </c>
      <c r="B111" t="s">
        <v>264</v>
      </c>
      <c r="C111" t="s">
        <v>186</v>
      </c>
      <c r="D111" t="s">
        <v>187</v>
      </c>
      <c r="E111" t="s">
        <v>188</v>
      </c>
      <c r="F111" t="str">
        <f>"8925248913"</f>
        <v>8925248913</v>
      </c>
      <c r="G111" t="str">
        <f>"9788925248912"</f>
        <v>9788925248912</v>
      </c>
      <c r="H111">
        <v>4</v>
      </c>
      <c r="I111">
        <v>4.5199999999999996</v>
      </c>
      <c r="J111" t="s">
        <v>220</v>
      </c>
      <c r="K111" t="s">
        <v>28</v>
      </c>
      <c r="L111">
        <v>190</v>
      </c>
      <c r="M111">
        <v>2009</v>
      </c>
      <c r="N111">
        <v>2009</v>
      </c>
      <c r="O111" s="1">
        <v>44877</v>
      </c>
      <c r="P111" s="1">
        <v>44877</v>
      </c>
      <c r="S111" t="s">
        <v>29</v>
      </c>
      <c r="W111">
        <v>1</v>
      </c>
      <c r="X111">
        <v>0</v>
      </c>
    </row>
    <row r="112" spans="1:24" x14ac:dyDescent="0.25">
      <c r="A112">
        <v>12490503</v>
      </c>
      <c r="B112" t="s">
        <v>265</v>
      </c>
      <c r="C112" t="s">
        <v>186</v>
      </c>
      <c r="D112" t="s">
        <v>187</v>
      </c>
      <c r="E112" t="s">
        <v>188</v>
      </c>
      <c r="F112" t="str">
        <f>"8925244357"</f>
        <v>8925244357</v>
      </c>
      <c r="G112" t="str">
        <f>"9788925244358"</f>
        <v>9788925244358</v>
      </c>
      <c r="H112">
        <v>4</v>
      </c>
      <c r="I112">
        <v>4.5</v>
      </c>
      <c r="J112" t="s">
        <v>220</v>
      </c>
      <c r="K112" t="s">
        <v>28</v>
      </c>
      <c r="L112">
        <v>183</v>
      </c>
      <c r="M112">
        <v>2009</v>
      </c>
      <c r="N112">
        <v>2009</v>
      </c>
      <c r="O112" s="1">
        <v>44877</v>
      </c>
      <c r="P112" s="1">
        <v>44877</v>
      </c>
      <c r="S112" t="s">
        <v>29</v>
      </c>
      <c r="W112">
        <v>1</v>
      </c>
      <c r="X112">
        <v>0</v>
      </c>
    </row>
    <row r="113" spans="1:24" x14ac:dyDescent="0.25">
      <c r="A113">
        <v>12490682</v>
      </c>
      <c r="B113" t="s">
        <v>266</v>
      </c>
      <c r="C113" t="s">
        <v>186</v>
      </c>
      <c r="D113" t="s">
        <v>187</v>
      </c>
      <c r="E113" t="s">
        <v>188</v>
      </c>
      <c r="F113" t="str">
        <f>"8925236745"</f>
        <v>8925236745</v>
      </c>
      <c r="G113" t="str">
        <f>"9788925236742"</f>
        <v>9788925236742</v>
      </c>
      <c r="H113">
        <v>4</v>
      </c>
      <c r="I113">
        <v>4.46</v>
      </c>
      <c r="J113" t="s">
        <v>220</v>
      </c>
      <c r="K113" t="s">
        <v>28</v>
      </c>
      <c r="L113">
        <v>192</v>
      </c>
      <c r="M113">
        <v>2008</v>
      </c>
      <c r="N113">
        <v>2008</v>
      </c>
      <c r="O113" s="1">
        <v>44877</v>
      </c>
      <c r="P113" s="1">
        <v>44877</v>
      </c>
      <c r="S113" t="s">
        <v>29</v>
      </c>
      <c r="W113">
        <v>1</v>
      </c>
      <c r="X113">
        <v>0</v>
      </c>
    </row>
    <row r="114" spans="1:24" x14ac:dyDescent="0.25">
      <c r="A114">
        <v>12490436</v>
      </c>
      <c r="B114" t="s">
        <v>267</v>
      </c>
      <c r="C114" t="s">
        <v>186</v>
      </c>
      <c r="D114" t="s">
        <v>187</v>
      </c>
      <c r="E114" t="s">
        <v>188</v>
      </c>
      <c r="F114" t="str">
        <f>"8925231697"</f>
        <v>8925231697</v>
      </c>
      <c r="G114" t="str">
        <f>"9788925231693"</f>
        <v>9788925231693</v>
      </c>
      <c r="H114">
        <v>5</v>
      </c>
      <c r="I114">
        <v>4.42</v>
      </c>
      <c r="J114" t="s">
        <v>220</v>
      </c>
      <c r="K114" t="s">
        <v>28</v>
      </c>
      <c r="L114">
        <v>179</v>
      </c>
      <c r="M114">
        <v>2008</v>
      </c>
      <c r="N114">
        <v>2008</v>
      </c>
      <c r="O114" s="1">
        <v>44877</v>
      </c>
      <c r="P114" s="1">
        <v>44877</v>
      </c>
      <c r="S114" t="s">
        <v>29</v>
      </c>
      <c r="W114">
        <v>1</v>
      </c>
      <c r="X114">
        <v>0</v>
      </c>
    </row>
    <row r="115" spans="1:24" x14ac:dyDescent="0.25">
      <c r="A115">
        <v>12490592</v>
      </c>
      <c r="B115" t="s">
        <v>268</v>
      </c>
      <c r="C115" t="s">
        <v>186</v>
      </c>
      <c r="D115" t="s">
        <v>187</v>
      </c>
      <c r="E115" t="s">
        <v>188</v>
      </c>
      <c r="F115" t="str">
        <f>"8925220717"</f>
        <v>8925220717</v>
      </c>
      <c r="G115" t="str">
        <f>"9788925220710"</f>
        <v>9788925220710</v>
      </c>
      <c r="H115">
        <v>5</v>
      </c>
      <c r="I115">
        <v>4.3499999999999996</v>
      </c>
      <c r="J115" t="s">
        <v>220</v>
      </c>
      <c r="K115" t="s">
        <v>28</v>
      </c>
      <c r="L115">
        <v>200</v>
      </c>
      <c r="M115">
        <v>2007</v>
      </c>
      <c r="N115">
        <v>2007</v>
      </c>
      <c r="O115" s="1">
        <v>44877</v>
      </c>
      <c r="P115" s="1">
        <v>44877</v>
      </c>
      <c r="S115" t="s">
        <v>29</v>
      </c>
      <c r="W115">
        <v>1</v>
      </c>
      <c r="X115">
        <v>0</v>
      </c>
    </row>
    <row r="116" spans="1:24" x14ac:dyDescent="0.25">
      <c r="A116">
        <v>12490673</v>
      </c>
      <c r="B116" t="s">
        <v>269</v>
      </c>
      <c r="C116" t="s">
        <v>186</v>
      </c>
      <c r="D116" t="s">
        <v>187</v>
      </c>
      <c r="E116" t="s">
        <v>188</v>
      </c>
      <c r="F116" t="str">
        <f>"8925227835"</f>
        <v>8925227835</v>
      </c>
      <c r="G116" t="str">
        <f>"9788925227832"</f>
        <v>9788925227832</v>
      </c>
      <c r="H116">
        <v>5</v>
      </c>
      <c r="I116">
        <v>4.38</v>
      </c>
      <c r="J116" t="s">
        <v>220</v>
      </c>
      <c r="K116" t="s">
        <v>28</v>
      </c>
      <c r="L116">
        <v>190</v>
      </c>
      <c r="M116">
        <v>2008</v>
      </c>
      <c r="N116">
        <v>2008</v>
      </c>
      <c r="O116" s="1">
        <v>44877</v>
      </c>
      <c r="P116" s="1">
        <v>44877</v>
      </c>
      <c r="S116" t="s">
        <v>29</v>
      </c>
      <c r="W116">
        <v>1</v>
      </c>
      <c r="X116">
        <v>0</v>
      </c>
    </row>
    <row r="117" spans="1:24" x14ac:dyDescent="0.25">
      <c r="A117">
        <v>12490424</v>
      </c>
      <c r="B117" t="s">
        <v>270</v>
      </c>
      <c r="C117" t="s">
        <v>186</v>
      </c>
      <c r="D117" t="s">
        <v>187</v>
      </c>
      <c r="E117" t="s">
        <v>188</v>
      </c>
      <c r="F117" t="str">
        <f>"8925216140"</f>
        <v>8925216140</v>
      </c>
      <c r="G117" t="str">
        <f>"9788925216140"</f>
        <v>9788925216140</v>
      </c>
      <c r="H117">
        <v>5</v>
      </c>
      <c r="I117">
        <v>4.34</v>
      </c>
      <c r="J117" t="s">
        <v>220</v>
      </c>
      <c r="K117" t="s">
        <v>28</v>
      </c>
      <c r="L117">
        <v>187</v>
      </c>
      <c r="M117">
        <v>2007</v>
      </c>
      <c r="N117">
        <v>2007</v>
      </c>
      <c r="O117" s="1">
        <v>44877</v>
      </c>
      <c r="P117" s="1">
        <v>44876</v>
      </c>
      <c r="S117" t="s">
        <v>29</v>
      </c>
      <c r="W117">
        <v>1</v>
      </c>
      <c r="X117">
        <v>0</v>
      </c>
    </row>
    <row r="118" spans="1:24" x14ac:dyDescent="0.25">
      <c r="A118">
        <v>51090430</v>
      </c>
      <c r="B118" t="s">
        <v>271</v>
      </c>
      <c r="C118" t="s">
        <v>145</v>
      </c>
      <c r="D118" t="s">
        <v>146</v>
      </c>
      <c r="E118" t="s">
        <v>147</v>
      </c>
      <c r="F118" t="str">
        <f>"1421599678"</f>
        <v>1421599678</v>
      </c>
      <c r="G118" t="str">
        <f>"9781421599670"</f>
        <v>9781421599670</v>
      </c>
      <c r="H118">
        <v>5</v>
      </c>
      <c r="I118">
        <v>4.58</v>
      </c>
      <c r="J118" t="s">
        <v>27</v>
      </c>
      <c r="K118" t="s">
        <v>28</v>
      </c>
      <c r="L118">
        <v>456</v>
      </c>
      <c r="M118">
        <v>2020</v>
      </c>
      <c r="N118">
        <v>2015</v>
      </c>
      <c r="O118" s="1">
        <v>44876</v>
      </c>
      <c r="P118" s="1">
        <v>44873</v>
      </c>
      <c r="S118" t="s">
        <v>29</v>
      </c>
      <c r="W118">
        <v>1</v>
      </c>
      <c r="X118">
        <v>0</v>
      </c>
    </row>
    <row r="119" spans="1:24" x14ac:dyDescent="0.25">
      <c r="A119">
        <v>59706308</v>
      </c>
      <c r="B119" t="s">
        <v>272</v>
      </c>
      <c r="C119" t="s">
        <v>273</v>
      </c>
      <c r="D119" t="s">
        <v>274</v>
      </c>
      <c r="E119" t="s">
        <v>275</v>
      </c>
      <c r="F119" t="str">
        <f>"4088831365"</f>
        <v>4088831365</v>
      </c>
      <c r="G119" t="str">
        <f>"9784088831367"</f>
        <v>9784088831367</v>
      </c>
      <c r="H119">
        <v>0</v>
      </c>
      <c r="I119">
        <v>4.37</v>
      </c>
      <c r="J119" t="s">
        <v>55</v>
      </c>
      <c r="K119" t="s">
        <v>28</v>
      </c>
      <c r="L119">
        <v>192</v>
      </c>
      <c r="M119">
        <v>2022</v>
      </c>
      <c r="N119">
        <v>2022</v>
      </c>
      <c r="P119" s="1">
        <v>44875</v>
      </c>
      <c r="Q119" t="s">
        <v>35</v>
      </c>
      <c r="R119" t="s">
        <v>276</v>
      </c>
      <c r="S119" t="s">
        <v>35</v>
      </c>
      <c r="W119">
        <v>0</v>
      </c>
      <c r="X119">
        <v>0</v>
      </c>
    </row>
    <row r="120" spans="1:24" x14ac:dyDescent="0.25">
      <c r="A120">
        <v>41019076</v>
      </c>
      <c r="B120" t="s">
        <v>277</v>
      </c>
      <c r="C120" t="s">
        <v>273</v>
      </c>
      <c r="D120" t="s">
        <v>274</v>
      </c>
      <c r="E120" t="s">
        <v>275</v>
      </c>
      <c r="F120" t="str">
        <f>"4088816900"</f>
        <v>4088816900</v>
      </c>
      <c r="G120" t="str">
        <f>"9784088816906"</f>
        <v>9784088816906</v>
      </c>
      <c r="H120">
        <v>5</v>
      </c>
      <c r="I120">
        <v>4.4000000000000004</v>
      </c>
      <c r="J120" t="s">
        <v>55</v>
      </c>
      <c r="K120" t="s">
        <v>28</v>
      </c>
      <c r="L120">
        <v>192</v>
      </c>
      <c r="M120">
        <v>2018</v>
      </c>
      <c r="N120">
        <v>2018</v>
      </c>
      <c r="O120" s="1">
        <v>44875</v>
      </c>
      <c r="P120" s="1">
        <v>44875</v>
      </c>
      <c r="S120" t="s">
        <v>29</v>
      </c>
      <c r="W120">
        <v>1</v>
      </c>
      <c r="X120">
        <v>0</v>
      </c>
    </row>
    <row r="121" spans="1:24" x14ac:dyDescent="0.25">
      <c r="A121">
        <v>35894836</v>
      </c>
      <c r="B121" t="s">
        <v>278</v>
      </c>
      <c r="C121" t="s">
        <v>273</v>
      </c>
      <c r="D121" t="s">
        <v>274</v>
      </c>
      <c r="E121" t="s">
        <v>275</v>
      </c>
      <c r="F121" t="str">
        <f>"4088814312"</f>
        <v>4088814312</v>
      </c>
      <c r="G121" t="str">
        <f>"9784088814315"</f>
        <v>9784088814315</v>
      </c>
      <c r="H121">
        <v>5</v>
      </c>
      <c r="I121">
        <v>4.37</v>
      </c>
      <c r="J121" t="s">
        <v>55</v>
      </c>
      <c r="K121" t="s">
        <v>28</v>
      </c>
      <c r="L121">
        <v>208</v>
      </c>
      <c r="M121">
        <v>2017</v>
      </c>
      <c r="N121">
        <v>2017</v>
      </c>
      <c r="O121" s="1">
        <v>44875</v>
      </c>
      <c r="P121" s="1">
        <v>44875</v>
      </c>
      <c r="S121" t="s">
        <v>29</v>
      </c>
      <c r="W121">
        <v>1</v>
      </c>
      <c r="X121">
        <v>0</v>
      </c>
    </row>
    <row r="122" spans="1:24" x14ac:dyDescent="0.25">
      <c r="A122">
        <v>36681442</v>
      </c>
      <c r="B122" t="s">
        <v>279</v>
      </c>
      <c r="C122" t="s">
        <v>273</v>
      </c>
      <c r="D122" t="s">
        <v>274</v>
      </c>
      <c r="E122" t="s">
        <v>275</v>
      </c>
      <c r="F122" t="str">
        <f>"4088814517"</f>
        <v>4088814517</v>
      </c>
      <c r="G122" t="str">
        <f>"9784088814513"</f>
        <v>9784088814513</v>
      </c>
      <c r="H122">
        <v>5</v>
      </c>
      <c r="I122">
        <v>4.3899999999999997</v>
      </c>
      <c r="J122" t="s">
        <v>55</v>
      </c>
      <c r="K122" t="s">
        <v>28</v>
      </c>
      <c r="L122">
        <v>208</v>
      </c>
      <c r="M122">
        <v>2018</v>
      </c>
      <c r="N122">
        <v>2018</v>
      </c>
      <c r="O122" s="1">
        <v>44875</v>
      </c>
      <c r="P122" s="1">
        <v>44875</v>
      </c>
      <c r="S122" t="s">
        <v>29</v>
      </c>
      <c r="W122">
        <v>1</v>
      </c>
      <c r="X122">
        <v>0</v>
      </c>
    </row>
    <row r="123" spans="1:24" x14ac:dyDescent="0.25">
      <c r="A123">
        <v>39701380</v>
      </c>
      <c r="B123" t="s">
        <v>280</v>
      </c>
      <c r="C123" t="s">
        <v>273</v>
      </c>
      <c r="D123" t="s">
        <v>274</v>
      </c>
      <c r="E123" t="s">
        <v>275</v>
      </c>
      <c r="F123" t="str">
        <f>"4088815564"</f>
        <v>4088815564</v>
      </c>
      <c r="G123" t="str">
        <f>"9784088815565"</f>
        <v>9784088815565</v>
      </c>
      <c r="H123">
        <v>5</v>
      </c>
      <c r="I123">
        <v>4.3899999999999997</v>
      </c>
      <c r="J123" t="s">
        <v>55</v>
      </c>
      <c r="K123" t="s">
        <v>28</v>
      </c>
      <c r="L123">
        <v>208</v>
      </c>
      <c r="M123">
        <v>2018</v>
      </c>
      <c r="N123">
        <v>2018</v>
      </c>
      <c r="O123" s="1">
        <v>44875</v>
      </c>
      <c r="P123" s="1">
        <v>44875</v>
      </c>
      <c r="S123" t="s">
        <v>29</v>
      </c>
      <c r="W123">
        <v>1</v>
      </c>
      <c r="X123">
        <v>0</v>
      </c>
    </row>
    <row r="124" spans="1:24" x14ac:dyDescent="0.25">
      <c r="A124">
        <v>42975308</v>
      </c>
      <c r="B124" t="s">
        <v>281</v>
      </c>
      <c r="C124" t="s">
        <v>273</v>
      </c>
      <c r="D124" t="s">
        <v>274</v>
      </c>
      <c r="E124" t="s">
        <v>275</v>
      </c>
      <c r="F124" t="str">
        <f>"408881813X"</f>
        <v>408881813X</v>
      </c>
      <c r="G124" t="str">
        <f>"9784088818139"</f>
        <v>9784088818139</v>
      </c>
      <c r="H124">
        <v>5</v>
      </c>
      <c r="I124">
        <v>4.41</v>
      </c>
      <c r="J124" t="s">
        <v>55</v>
      </c>
      <c r="K124" t="s">
        <v>28</v>
      </c>
      <c r="L124">
        <v>224</v>
      </c>
      <c r="M124">
        <v>2019</v>
      </c>
      <c r="N124">
        <v>2019</v>
      </c>
      <c r="O124" s="1">
        <v>44875</v>
      </c>
      <c r="P124" s="1">
        <v>44875</v>
      </c>
      <c r="S124" t="s">
        <v>29</v>
      </c>
      <c r="W124">
        <v>1</v>
      </c>
      <c r="X124">
        <v>0</v>
      </c>
    </row>
    <row r="125" spans="1:24" x14ac:dyDescent="0.25">
      <c r="A125">
        <v>44652816</v>
      </c>
      <c r="B125" t="s">
        <v>282</v>
      </c>
      <c r="C125" t="s">
        <v>273</v>
      </c>
      <c r="D125" t="s">
        <v>274</v>
      </c>
      <c r="E125" t="s">
        <v>275</v>
      </c>
      <c r="F125" t="str">
        <f>"4088818148"</f>
        <v>4088818148</v>
      </c>
      <c r="G125" t="str">
        <f>"9784088818146"</f>
        <v>9784088818146</v>
      </c>
      <c r="H125">
        <v>5</v>
      </c>
      <c r="I125">
        <v>4.3099999999999996</v>
      </c>
      <c r="J125" t="s">
        <v>55</v>
      </c>
      <c r="K125" t="s">
        <v>28</v>
      </c>
      <c r="L125">
        <v>200</v>
      </c>
      <c r="M125">
        <v>2019</v>
      </c>
      <c r="N125">
        <v>2019</v>
      </c>
      <c r="O125" s="1">
        <v>44875</v>
      </c>
      <c r="P125" s="1">
        <v>44875</v>
      </c>
      <c r="S125" t="s">
        <v>29</v>
      </c>
      <c r="W125">
        <v>1</v>
      </c>
      <c r="X125">
        <v>0</v>
      </c>
    </row>
    <row r="126" spans="1:24" x14ac:dyDescent="0.25">
      <c r="A126">
        <v>52495290</v>
      </c>
      <c r="B126" t="s">
        <v>283</v>
      </c>
      <c r="C126" t="s">
        <v>273</v>
      </c>
      <c r="D126" t="s">
        <v>274</v>
      </c>
      <c r="E126" t="s">
        <v>275</v>
      </c>
      <c r="F126" t="str">
        <f>"4088818156"</f>
        <v>4088818156</v>
      </c>
      <c r="G126" t="str">
        <f>"9784088818153"</f>
        <v>9784088818153</v>
      </c>
      <c r="H126">
        <v>5</v>
      </c>
      <c r="I126">
        <v>4.33</v>
      </c>
      <c r="J126" t="s">
        <v>55</v>
      </c>
      <c r="K126" t="s">
        <v>28</v>
      </c>
      <c r="L126">
        <v>232</v>
      </c>
      <c r="M126">
        <v>2019</v>
      </c>
      <c r="N126">
        <v>2019</v>
      </c>
      <c r="O126" s="1">
        <v>44875</v>
      </c>
      <c r="P126" s="1">
        <v>44875</v>
      </c>
      <c r="S126" t="s">
        <v>29</v>
      </c>
      <c r="W126">
        <v>1</v>
      </c>
      <c r="X126">
        <v>0</v>
      </c>
    </row>
    <row r="127" spans="1:24" x14ac:dyDescent="0.25">
      <c r="A127">
        <v>48910396</v>
      </c>
      <c r="B127" t="s">
        <v>284</v>
      </c>
      <c r="C127" t="s">
        <v>273</v>
      </c>
      <c r="D127" t="s">
        <v>274</v>
      </c>
      <c r="E127" t="s">
        <v>275</v>
      </c>
      <c r="F127" t="str">
        <f>"4088822927"</f>
        <v>4088822927</v>
      </c>
      <c r="G127" t="str">
        <f>"9784088822921"</f>
        <v>9784088822921</v>
      </c>
      <c r="H127">
        <v>5</v>
      </c>
      <c r="I127">
        <v>4.3600000000000003</v>
      </c>
      <c r="J127" t="s">
        <v>55</v>
      </c>
      <c r="K127" t="s">
        <v>28</v>
      </c>
      <c r="L127">
        <v>192</v>
      </c>
      <c r="M127">
        <v>2020</v>
      </c>
      <c r="N127">
        <v>2020</v>
      </c>
      <c r="O127" s="1">
        <v>44875</v>
      </c>
      <c r="P127" s="1">
        <v>44875</v>
      </c>
      <c r="S127" t="s">
        <v>29</v>
      </c>
      <c r="W127">
        <v>1</v>
      </c>
      <c r="X127">
        <v>0</v>
      </c>
    </row>
    <row r="128" spans="1:24" x14ac:dyDescent="0.25">
      <c r="A128">
        <v>54173272</v>
      </c>
      <c r="B128" t="s">
        <v>285</v>
      </c>
      <c r="C128" t="s">
        <v>273</v>
      </c>
      <c r="D128" t="s">
        <v>274</v>
      </c>
      <c r="E128" t="s">
        <v>275</v>
      </c>
      <c r="F128" t="str">
        <f>"4088824555"</f>
        <v>4088824555</v>
      </c>
      <c r="G128" t="str">
        <f>"9784088824550"</f>
        <v>9784088824550</v>
      </c>
      <c r="H128">
        <v>5</v>
      </c>
      <c r="I128">
        <v>4.25</v>
      </c>
      <c r="J128" t="s">
        <v>55</v>
      </c>
      <c r="K128" t="s">
        <v>28</v>
      </c>
      <c r="L128">
        <v>224</v>
      </c>
      <c r="M128">
        <v>2021</v>
      </c>
      <c r="N128">
        <v>2021</v>
      </c>
      <c r="O128" s="1">
        <v>44875</v>
      </c>
      <c r="P128" s="1">
        <v>44875</v>
      </c>
      <c r="S128" t="s">
        <v>29</v>
      </c>
      <c r="W128">
        <v>1</v>
      </c>
      <c r="X128">
        <v>0</v>
      </c>
    </row>
    <row r="129" spans="1:24" x14ac:dyDescent="0.25">
      <c r="A129">
        <v>56481805</v>
      </c>
      <c r="B129" t="s">
        <v>286</v>
      </c>
      <c r="C129" t="s">
        <v>273</v>
      </c>
      <c r="D129" t="s">
        <v>274</v>
      </c>
      <c r="E129" t="s">
        <v>287</v>
      </c>
      <c r="F129" t="str">
        <f>"4088830024"</f>
        <v>4088830024</v>
      </c>
      <c r="G129" t="str">
        <f>"9784088830025"</f>
        <v>9784088830025</v>
      </c>
      <c r="H129">
        <v>5</v>
      </c>
      <c r="I129">
        <v>4.33</v>
      </c>
      <c r="J129" t="s">
        <v>288</v>
      </c>
      <c r="K129" t="s">
        <v>28</v>
      </c>
      <c r="L129">
        <v>208</v>
      </c>
      <c r="M129">
        <v>2021</v>
      </c>
      <c r="N129">
        <v>2021</v>
      </c>
      <c r="O129" s="1">
        <v>44875</v>
      </c>
      <c r="P129" s="1">
        <v>44875</v>
      </c>
      <c r="S129" t="s">
        <v>29</v>
      </c>
      <c r="W129">
        <v>1</v>
      </c>
      <c r="X129">
        <v>0</v>
      </c>
    </row>
    <row r="130" spans="1:24" x14ac:dyDescent="0.25">
      <c r="A130">
        <v>34736658</v>
      </c>
      <c r="B130" t="s">
        <v>289</v>
      </c>
      <c r="C130" t="s">
        <v>273</v>
      </c>
      <c r="D130" t="s">
        <v>274</v>
      </c>
      <c r="E130" t="s">
        <v>275</v>
      </c>
      <c r="F130" t="str">
        <f>"408881231X"</f>
        <v>408881231X</v>
      </c>
      <c r="G130" t="str">
        <f>"9784088812311"</f>
        <v>9784088812311</v>
      </c>
      <c r="H130">
        <v>5</v>
      </c>
      <c r="I130">
        <v>4.43</v>
      </c>
      <c r="J130" t="s">
        <v>55</v>
      </c>
      <c r="K130" t="s">
        <v>28</v>
      </c>
      <c r="L130">
        <v>208</v>
      </c>
      <c r="M130">
        <v>2017</v>
      </c>
      <c r="N130">
        <v>2017</v>
      </c>
      <c r="O130" s="1">
        <v>44875</v>
      </c>
      <c r="P130" s="1">
        <v>44874</v>
      </c>
      <c r="S130" t="s">
        <v>29</v>
      </c>
      <c r="W130">
        <v>1</v>
      </c>
      <c r="X130">
        <v>0</v>
      </c>
    </row>
    <row r="131" spans="1:24" x14ac:dyDescent="0.25">
      <c r="A131">
        <v>33148640</v>
      </c>
      <c r="B131" t="s">
        <v>290</v>
      </c>
      <c r="C131" t="s">
        <v>273</v>
      </c>
      <c r="D131" t="s">
        <v>274</v>
      </c>
      <c r="E131" t="s">
        <v>275</v>
      </c>
      <c r="F131" t="str">
        <f>"4088811038"</f>
        <v>4088811038</v>
      </c>
      <c r="G131" t="str">
        <f>"9784088811031"</f>
        <v>9784088811031</v>
      </c>
      <c r="H131">
        <v>5</v>
      </c>
      <c r="I131">
        <v>4.3899999999999997</v>
      </c>
      <c r="J131" t="s">
        <v>55</v>
      </c>
      <c r="K131" t="s">
        <v>28</v>
      </c>
      <c r="L131">
        <v>208</v>
      </c>
      <c r="M131">
        <v>2017</v>
      </c>
      <c r="N131">
        <v>2017</v>
      </c>
      <c r="O131" s="1">
        <v>44874</v>
      </c>
      <c r="P131" s="1">
        <v>44874</v>
      </c>
      <c r="S131" t="s">
        <v>29</v>
      </c>
      <c r="W131">
        <v>1</v>
      </c>
      <c r="X131">
        <v>0</v>
      </c>
    </row>
    <row r="132" spans="1:24" x14ac:dyDescent="0.25">
      <c r="A132">
        <v>30339859</v>
      </c>
      <c r="B132" t="s">
        <v>291</v>
      </c>
      <c r="C132" t="s">
        <v>273</v>
      </c>
      <c r="D132" t="s">
        <v>274</v>
      </c>
      <c r="E132" t="s">
        <v>275</v>
      </c>
      <c r="F132" t="str">
        <f>"4088807855"</f>
        <v>4088807855</v>
      </c>
      <c r="G132" t="str">
        <f>"9784088807850"</f>
        <v>9784088807850</v>
      </c>
      <c r="H132">
        <v>5</v>
      </c>
      <c r="I132">
        <v>4.38</v>
      </c>
      <c r="J132" t="s">
        <v>55</v>
      </c>
      <c r="K132" t="s">
        <v>28</v>
      </c>
      <c r="L132">
        <v>208</v>
      </c>
      <c r="M132">
        <v>2016</v>
      </c>
      <c r="N132">
        <v>2016</v>
      </c>
      <c r="O132" s="1">
        <v>44874</v>
      </c>
      <c r="P132" s="1">
        <v>44874</v>
      </c>
      <c r="S132" t="s">
        <v>29</v>
      </c>
      <c r="W132">
        <v>1</v>
      </c>
      <c r="X132">
        <v>0</v>
      </c>
    </row>
    <row r="133" spans="1:24" x14ac:dyDescent="0.25">
      <c r="A133">
        <v>29456195</v>
      </c>
      <c r="B133" t="s">
        <v>292</v>
      </c>
      <c r="C133" t="s">
        <v>273</v>
      </c>
      <c r="D133" t="s">
        <v>274</v>
      </c>
      <c r="E133" t="s">
        <v>275</v>
      </c>
      <c r="F133" t="str">
        <f>"4088806468"</f>
        <v>4088806468</v>
      </c>
      <c r="G133" t="str">
        <f>"9784088806464"</f>
        <v>9784088806464</v>
      </c>
      <c r="H133">
        <v>5</v>
      </c>
      <c r="I133">
        <v>4.37</v>
      </c>
      <c r="J133" t="s">
        <v>55</v>
      </c>
      <c r="K133" t="s">
        <v>28</v>
      </c>
      <c r="L133">
        <v>208</v>
      </c>
      <c r="M133">
        <v>2016</v>
      </c>
      <c r="N133">
        <v>2016</v>
      </c>
      <c r="O133" s="1">
        <v>44874</v>
      </c>
      <c r="P133" s="1">
        <v>44874</v>
      </c>
      <c r="S133" t="s">
        <v>29</v>
      </c>
      <c r="W133">
        <v>1</v>
      </c>
      <c r="X133">
        <v>0</v>
      </c>
    </row>
    <row r="134" spans="1:24" x14ac:dyDescent="0.25">
      <c r="A134">
        <v>25806183</v>
      </c>
      <c r="B134" t="s">
        <v>293</v>
      </c>
      <c r="C134" t="s">
        <v>273</v>
      </c>
      <c r="D134" t="s">
        <v>274</v>
      </c>
      <c r="E134" t="s">
        <v>287</v>
      </c>
      <c r="F134" t="str">
        <f>"4088805771"</f>
        <v>4088805771</v>
      </c>
      <c r="G134" t="str">
        <f>"9784088805771"</f>
        <v>9784088805771</v>
      </c>
      <c r="H134">
        <v>5</v>
      </c>
      <c r="I134">
        <v>4.42</v>
      </c>
      <c r="J134" t="s">
        <v>294</v>
      </c>
      <c r="K134" t="s">
        <v>28</v>
      </c>
      <c r="L134">
        <v>208</v>
      </c>
      <c r="M134">
        <v>2015</v>
      </c>
      <c r="N134">
        <v>2015</v>
      </c>
      <c r="O134" s="1">
        <v>44874</v>
      </c>
      <c r="P134" s="1">
        <v>44873</v>
      </c>
      <c r="S134" t="s">
        <v>29</v>
      </c>
      <c r="W134">
        <v>1</v>
      </c>
      <c r="X134">
        <v>0</v>
      </c>
    </row>
    <row r="135" spans="1:24" x14ac:dyDescent="0.25">
      <c r="A135">
        <v>13547504</v>
      </c>
      <c r="B135" t="s">
        <v>295</v>
      </c>
      <c r="C135" t="s">
        <v>296</v>
      </c>
      <c r="D135" t="s">
        <v>297</v>
      </c>
      <c r="F135" t="str">
        <f>""</f>
        <v/>
      </c>
      <c r="G135" t="str">
        <f>""</f>
        <v/>
      </c>
      <c r="H135">
        <v>0</v>
      </c>
      <c r="I135">
        <v>4.25</v>
      </c>
      <c r="J135" t="s">
        <v>228</v>
      </c>
      <c r="K135" t="s">
        <v>34</v>
      </c>
      <c r="L135">
        <v>962</v>
      </c>
      <c r="M135">
        <v>2012</v>
      </c>
      <c r="N135">
        <v>2012</v>
      </c>
      <c r="P135" s="1">
        <v>44874</v>
      </c>
      <c r="Q135" t="s">
        <v>35</v>
      </c>
      <c r="R135" t="s">
        <v>298</v>
      </c>
      <c r="S135" t="s">
        <v>35</v>
      </c>
      <c r="W135">
        <v>0</v>
      </c>
      <c r="X135">
        <v>0</v>
      </c>
    </row>
    <row r="136" spans="1:24" x14ac:dyDescent="0.25">
      <c r="A136">
        <v>10353369</v>
      </c>
      <c r="B136" t="s">
        <v>299</v>
      </c>
      <c r="C136" t="s">
        <v>300</v>
      </c>
      <c r="D136" t="s">
        <v>301</v>
      </c>
      <c r="E136" t="s">
        <v>302</v>
      </c>
      <c r="F136" t="str">
        <f>"0553807919"</f>
        <v>0553807919</v>
      </c>
      <c r="G136" t="str">
        <f>"9780553807912"</f>
        <v>9780553807912</v>
      </c>
      <c r="H136">
        <v>0</v>
      </c>
      <c r="I136">
        <v>4.25</v>
      </c>
      <c r="J136" t="s">
        <v>303</v>
      </c>
      <c r="K136" t="s">
        <v>34</v>
      </c>
      <c r="L136">
        <v>192</v>
      </c>
      <c r="M136">
        <v>2011</v>
      </c>
      <c r="N136">
        <v>2011</v>
      </c>
      <c r="P136" s="1">
        <v>44874</v>
      </c>
      <c r="Q136" t="s">
        <v>35</v>
      </c>
      <c r="R136" t="s">
        <v>304</v>
      </c>
      <c r="S136" t="s">
        <v>35</v>
      </c>
      <c r="W136">
        <v>0</v>
      </c>
      <c r="X136">
        <v>0</v>
      </c>
    </row>
    <row r="137" spans="1:24" x14ac:dyDescent="0.25">
      <c r="A137">
        <v>23129659</v>
      </c>
      <c r="B137" t="s">
        <v>305</v>
      </c>
      <c r="C137" t="s">
        <v>306</v>
      </c>
      <c r="D137" t="s">
        <v>307</v>
      </c>
      <c r="F137" t="str">
        <f>"1626251703"</f>
        <v>1626251703</v>
      </c>
      <c r="G137" t="str">
        <f>"9781626251700"</f>
        <v>9781626251700</v>
      </c>
      <c r="H137">
        <v>0</v>
      </c>
      <c r="I137">
        <v>4.4000000000000004</v>
      </c>
      <c r="J137" t="s">
        <v>308</v>
      </c>
      <c r="K137" t="s">
        <v>28</v>
      </c>
      <c r="L137">
        <v>203</v>
      </c>
      <c r="M137">
        <v>2015</v>
      </c>
      <c r="N137">
        <v>2015</v>
      </c>
      <c r="P137" s="1">
        <v>44874</v>
      </c>
      <c r="Q137" t="s">
        <v>35</v>
      </c>
      <c r="R137" t="s">
        <v>309</v>
      </c>
      <c r="S137" t="s">
        <v>35</v>
      </c>
      <c r="W137">
        <v>0</v>
      </c>
      <c r="X137">
        <v>0</v>
      </c>
    </row>
    <row r="138" spans="1:24" x14ac:dyDescent="0.25">
      <c r="A138">
        <v>25784105</v>
      </c>
      <c r="B138" t="s">
        <v>310</v>
      </c>
      <c r="C138" t="s">
        <v>273</v>
      </c>
      <c r="D138" t="s">
        <v>274</v>
      </c>
      <c r="E138" t="s">
        <v>287</v>
      </c>
      <c r="F138" t="str">
        <f>"4088805305"</f>
        <v>4088805305</v>
      </c>
      <c r="G138" t="str">
        <f>"9784088805306"</f>
        <v>9784088805306</v>
      </c>
      <c r="H138">
        <v>5</v>
      </c>
      <c r="I138">
        <v>4.53</v>
      </c>
      <c r="J138" t="s">
        <v>294</v>
      </c>
      <c r="K138" t="s">
        <v>28</v>
      </c>
      <c r="L138">
        <v>208</v>
      </c>
      <c r="M138">
        <v>2015</v>
      </c>
      <c r="N138">
        <v>2015</v>
      </c>
      <c r="O138" s="1">
        <v>44873</v>
      </c>
      <c r="P138" s="1">
        <v>44873</v>
      </c>
      <c r="S138" t="s">
        <v>29</v>
      </c>
      <c r="W138">
        <v>1</v>
      </c>
      <c r="X138">
        <v>0</v>
      </c>
    </row>
    <row r="139" spans="1:24" x14ac:dyDescent="0.25">
      <c r="A139">
        <v>43909421</v>
      </c>
      <c r="B139" t="s">
        <v>311</v>
      </c>
      <c r="C139" t="s">
        <v>145</v>
      </c>
      <c r="D139" t="s">
        <v>146</v>
      </c>
      <c r="E139" t="s">
        <v>147</v>
      </c>
      <c r="F139" t="str">
        <f>"142159966X"</f>
        <v>142159966X</v>
      </c>
      <c r="G139" t="str">
        <f>"9781421599663"</f>
        <v>9781421599663</v>
      </c>
      <c r="H139">
        <v>5</v>
      </c>
      <c r="I139">
        <v>4.6100000000000003</v>
      </c>
      <c r="J139" t="s">
        <v>27</v>
      </c>
      <c r="K139" t="s">
        <v>28</v>
      </c>
      <c r="L139">
        <v>456</v>
      </c>
      <c r="M139">
        <v>2019</v>
      </c>
      <c r="N139">
        <v>2015</v>
      </c>
      <c r="O139" s="1">
        <v>44873</v>
      </c>
      <c r="P139" s="1">
        <v>44872</v>
      </c>
      <c r="S139" t="s">
        <v>29</v>
      </c>
      <c r="W139">
        <v>1</v>
      </c>
      <c r="X139">
        <v>0</v>
      </c>
    </row>
    <row r="140" spans="1:24" x14ac:dyDescent="0.25">
      <c r="A140">
        <v>24971700</v>
      </c>
      <c r="B140" t="s">
        <v>312</v>
      </c>
      <c r="C140" t="s">
        <v>273</v>
      </c>
      <c r="D140" t="s">
        <v>274</v>
      </c>
      <c r="E140" t="s">
        <v>287</v>
      </c>
      <c r="F140" t="str">
        <f>"4088803825"</f>
        <v>4088803825</v>
      </c>
      <c r="G140" t="str">
        <f>"9784088803821"</f>
        <v>9784088803821</v>
      </c>
      <c r="H140">
        <v>5</v>
      </c>
      <c r="I140">
        <v>4.43</v>
      </c>
      <c r="J140" t="s">
        <v>294</v>
      </c>
      <c r="K140" t="s">
        <v>28</v>
      </c>
      <c r="L140">
        <v>200</v>
      </c>
      <c r="M140">
        <v>2015</v>
      </c>
      <c r="N140">
        <v>2015</v>
      </c>
      <c r="O140" s="1">
        <v>44873</v>
      </c>
      <c r="P140" s="1">
        <v>44873</v>
      </c>
      <c r="S140" t="s">
        <v>29</v>
      </c>
      <c r="W140">
        <v>1</v>
      </c>
      <c r="X140">
        <v>0</v>
      </c>
    </row>
    <row r="141" spans="1:24" x14ac:dyDescent="0.25">
      <c r="A141">
        <v>39299340</v>
      </c>
      <c r="B141" t="s">
        <v>313</v>
      </c>
      <c r="C141" t="s">
        <v>314</v>
      </c>
      <c r="D141" t="s">
        <v>315</v>
      </c>
      <c r="F141" t="str">
        <f>"0143133764"</f>
        <v>0143133764</v>
      </c>
      <c r="G141" t="str">
        <f>"9780143133766"</f>
        <v>9780143133766</v>
      </c>
      <c r="H141">
        <v>0</v>
      </c>
      <c r="I141">
        <v>3.96</v>
      </c>
      <c r="J141" t="s">
        <v>316</v>
      </c>
      <c r="K141" t="s">
        <v>28</v>
      </c>
      <c r="L141">
        <v>176</v>
      </c>
      <c r="M141">
        <v>2020</v>
      </c>
      <c r="N141">
        <v>2017</v>
      </c>
      <c r="P141" s="1">
        <v>44873</v>
      </c>
      <c r="Q141" t="s">
        <v>35</v>
      </c>
      <c r="R141" t="s">
        <v>317</v>
      </c>
      <c r="S141" t="s">
        <v>35</v>
      </c>
      <c r="W141">
        <v>0</v>
      </c>
      <c r="X141">
        <v>0</v>
      </c>
    </row>
    <row r="142" spans="1:24" x14ac:dyDescent="0.25">
      <c r="A142">
        <v>23401591</v>
      </c>
      <c r="B142" t="s">
        <v>318</v>
      </c>
      <c r="C142" t="s">
        <v>273</v>
      </c>
      <c r="D142" t="s">
        <v>274</v>
      </c>
      <c r="E142" t="s">
        <v>287</v>
      </c>
      <c r="F142" t="str">
        <f>"4088802624"</f>
        <v>4088802624</v>
      </c>
      <c r="G142" t="str">
        <f>"9784088802626"</f>
        <v>9784088802626</v>
      </c>
      <c r="H142">
        <v>5</v>
      </c>
      <c r="I142">
        <v>4.5199999999999996</v>
      </c>
      <c r="J142" t="s">
        <v>55</v>
      </c>
      <c r="K142" t="s">
        <v>28</v>
      </c>
      <c r="L142">
        <v>208</v>
      </c>
      <c r="M142">
        <v>2014</v>
      </c>
      <c r="N142">
        <v>2014</v>
      </c>
      <c r="O142" s="1">
        <v>44873</v>
      </c>
      <c r="P142" s="1">
        <v>44873</v>
      </c>
      <c r="S142" t="s">
        <v>29</v>
      </c>
      <c r="W142">
        <v>1</v>
      </c>
      <c r="X142">
        <v>0</v>
      </c>
    </row>
    <row r="143" spans="1:24" x14ac:dyDescent="0.25">
      <c r="A143">
        <v>22029858</v>
      </c>
      <c r="B143" t="s">
        <v>319</v>
      </c>
      <c r="C143" t="s">
        <v>273</v>
      </c>
      <c r="D143" t="s">
        <v>274</v>
      </c>
      <c r="E143" t="s">
        <v>287</v>
      </c>
      <c r="F143" t="str">
        <f>"4088801288"</f>
        <v>4088801288</v>
      </c>
      <c r="G143" t="str">
        <f>"9784088801285"</f>
        <v>9784088801285</v>
      </c>
      <c r="H143">
        <v>5</v>
      </c>
      <c r="I143">
        <v>4.4800000000000004</v>
      </c>
      <c r="J143" t="s">
        <v>288</v>
      </c>
      <c r="K143" t="s">
        <v>28</v>
      </c>
      <c r="L143">
        <v>208</v>
      </c>
      <c r="M143">
        <v>2014</v>
      </c>
      <c r="N143">
        <v>2014</v>
      </c>
      <c r="O143" s="1">
        <v>44873</v>
      </c>
      <c r="P143" s="1">
        <v>44873</v>
      </c>
      <c r="S143" t="s">
        <v>29</v>
      </c>
      <c r="W143">
        <v>1</v>
      </c>
      <c r="X143">
        <v>0</v>
      </c>
    </row>
    <row r="144" spans="1:24" x14ac:dyDescent="0.25">
      <c r="A144">
        <v>19121592</v>
      </c>
      <c r="B144" t="s">
        <v>320</v>
      </c>
      <c r="C144" t="s">
        <v>273</v>
      </c>
      <c r="D144" t="s">
        <v>274</v>
      </c>
      <c r="E144" t="s">
        <v>287</v>
      </c>
      <c r="F144" t="str">
        <f>"4088800834"</f>
        <v>4088800834</v>
      </c>
      <c r="G144" t="str">
        <f>"9784088800837"</f>
        <v>9784088800837</v>
      </c>
      <c r="H144">
        <v>5</v>
      </c>
      <c r="I144">
        <v>4.51</v>
      </c>
      <c r="J144" t="s">
        <v>288</v>
      </c>
      <c r="K144" t="s">
        <v>28</v>
      </c>
      <c r="L144">
        <v>208</v>
      </c>
      <c r="M144">
        <v>2013</v>
      </c>
      <c r="N144">
        <v>2013</v>
      </c>
      <c r="O144" s="1">
        <v>44873</v>
      </c>
      <c r="P144" s="1">
        <v>44873</v>
      </c>
      <c r="S144" t="s">
        <v>29</v>
      </c>
      <c r="W144">
        <v>1</v>
      </c>
      <c r="X144">
        <v>0</v>
      </c>
    </row>
    <row r="145" spans="1:24" x14ac:dyDescent="0.25">
      <c r="A145">
        <v>18273751</v>
      </c>
      <c r="B145" t="s">
        <v>321</v>
      </c>
      <c r="C145" t="s">
        <v>273</v>
      </c>
      <c r="D145" t="s">
        <v>274</v>
      </c>
      <c r="E145" t="s">
        <v>287</v>
      </c>
      <c r="F145" t="str">
        <f>"4088708717"</f>
        <v>4088708717</v>
      </c>
      <c r="G145" t="str">
        <f>"9784088708713"</f>
        <v>9784088708713</v>
      </c>
      <c r="H145">
        <v>5</v>
      </c>
      <c r="I145">
        <v>4.47</v>
      </c>
      <c r="J145" t="s">
        <v>288</v>
      </c>
      <c r="K145" t="s">
        <v>28</v>
      </c>
      <c r="L145">
        <v>208</v>
      </c>
      <c r="M145">
        <v>2013</v>
      </c>
      <c r="N145">
        <v>2013</v>
      </c>
      <c r="O145" s="1">
        <v>44873</v>
      </c>
      <c r="P145" s="1">
        <v>44873</v>
      </c>
      <c r="S145" t="s">
        <v>29</v>
      </c>
      <c r="W145">
        <v>1</v>
      </c>
      <c r="X145">
        <v>0</v>
      </c>
    </row>
    <row r="146" spans="1:24" x14ac:dyDescent="0.25">
      <c r="A146">
        <v>17694058</v>
      </c>
      <c r="B146" t="s">
        <v>322</v>
      </c>
      <c r="C146" t="s">
        <v>273</v>
      </c>
      <c r="D146" t="s">
        <v>274</v>
      </c>
      <c r="E146" t="s">
        <v>287</v>
      </c>
      <c r="F146" t="str">
        <f>"4088707249"</f>
        <v>4088707249</v>
      </c>
      <c r="G146" t="str">
        <f>"9784088707242"</f>
        <v>9784088707242</v>
      </c>
      <c r="H146">
        <v>5</v>
      </c>
      <c r="I146">
        <v>4.42</v>
      </c>
      <c r="J146" t="s">
        <v>288</v>
      </c>
      <c r="K146" t="s">
        <v>28</v>
      </c>
      <c r="L146">
        <v>208</v>
      </c>
      <c r="M146">
        <v>2013</v>
      </c>
      <c r="N146">
        <v>2013</v>
      </c>
      <c r="O146" s="1">
        <v>44873</v>
      </c>
      <c r="P146" s="1">
        <v>44873</v>
      </c>
      <c r="S146" t="s">
        <v>29</v>
      </c>
      <c r="W146">
        <v>1</v>
      </c>
      <c r="X146">
        <v>0</v>
      </c>
    </row>
    <row r="147" spans="1:24" x14ac:dyDescent="0.25">
      <c r="A147">
        <v>17694056</v>
      </c>
      <c r="B147" t="s">
        <v>323</v>
      </c>
      <c r="C147" t="s">
        <v>273</v>
      </c>
      <c r="D147" t="s">
        <v>274</v>
      </c>
      <c r="E147" t="s">
        <v>287</v>
      </c>
      <c r="F147" t="str">
        <f>"4088707028"</f>
        <v>4088707028</v>
      </c>
      <c r="G147" t="str">
        <f>"9784088707020"</f>
        <v>9784088707020</v>
      </c>
      <c r="H147">
        <v>5</v>
      </c>
      <c r="I147">
        <v>4.47</v>
      </c>
      <c r="J147" t="s">
        <v>288</v>
      </c>
      <c r="K147" t="s">
        <v>28</v>
      </c>
      <c r="L147">
        <v>200</v>
      </c>
      <c r="M147">
        <v>2012</v>
      </c>
      <c r="N147">
        <v>2012</v>
      </c>
      <c r="O147" s="1">
        <v>44873</v>
      </c>
      <c r="P147" s="1">
        <v>44873</v>
      </c>
      <c r="S147" t="s">
        <v>29</v>
      </c>
      <c r="W147">
        <v>1</v>
      </c>
      <c r="X147">
        <v>0</v>
      </c>
    </row>
    <row r="148" spans="1:24" x14ac:dyDescent="0.25">
      <c r="A148">
        <v>25783832</v>
      </c>
      <c r="B148" t="s">
        <v>324</v>
      </c>
      <c r="C148" t="s">
        <v>273</v>
      </c>
      <c r="D148" t="s">
        <v>274</v>
      </c>
      <c r="E148" t="s">
        <v>325</v>
      </c>
      <c r="F148" t="str">
        <f>"1421585642"</f>
        <v>1421585642</v>
      </c>
      <c r="G148" t="str">
        <f>"9781421585642"</f>
        <v>9781421585642</v>
      </c>
      <c r="H148">
        <v>5</v>
      </c>
      <c r="I148">
        <v>4.49</v>
      </c>
      <c r="J148" t="s">
        <v>27</v>
      </c>
      <c r="K148" t="s">
        <v>28</v>
      </c>
      <c r="L148">
        <v>199</v>
      </c>
      <c r="M148">
        <v>2015</v>
      </c>
      <c r="N148">
        <v>2012</v>
      </c>
      <c r="O148" s="1">
        <v>44873</v>
      </c>
      <c r="P148" s="1">
        <v>44872</v>
      </c>
      <c r="S148" t="s">
        <v>29</v>
      </c>
      <c r="W148">
        <v>1</v>
      </c>
      <c r="X148">
        <v>0</v>
      </c>
    </row>
    <row r="149" spans="1:24" x14ac:dyDescent="0.25">
      <c r="A149">
        <v>5771796</v>
      </c>
      <c r="B149" t="s">
        <v>326</v>
      </c>
      <c r="C149" t="s">
        <v>327</v>
      </c>
      <c r="D149" t="s">
        <v>328</v>
      </c>
      <c r="F149" t="str">
        <f>"4091870414"</f>
        <v>4091870414</v>
      </c>
      <c r="G149" t="str">
        <f>"9784091870414"</f>
        <v>9784091870414</v>
      </c>
      <c r="H149">
        <v>2</v>
      </c>
      <c r="I149">
        <v>3.97</v>
      </c>
      <c r="O149" s="1">
        <v>44872</v>
      </c>
      <c r="P149" s="1">
        <v>44862</v>
      </c>
      <c r="S149" t="s">
        <v>29</v>
      </c>
      <c r="W149">
        <v>1</v>
      </c>
      <c r="X149">
        <v>0</v>
      </c>
    </row>
    <row r="150" spans="1:24" x14ac:dyDescent="0.25">
      <c r="A150">
        <v>43909429</v>
      </c>
      <c r="B150" t="s">
        <v>329</v>
      </c>
      <c r="C150" t="s">
        <v>145</v>
      </c>
      <c r="D150" t="s">
        <v>146</v>
      </c>
      <c r="E150" t="s">
        <v>147</v>
      </c>
      <c r="F150" t="str">
        <f>"1421599651"</f>
        <v>1421599651</v>
      </c>
      <c r="G150" t="str">
        <f>"9781421599656"</f>
        <v>9781421599656</v>
      </c>
      <c r="H150">
        <v>5</v>
      </c>
      <c r="I150">
        <v>4.58</v>
      </c>
      <c r="J150" t="s">
        <v>27</v>
      </c>
      <c r="K150" t="s">
        <v>28</v>
      </c>
      <c r="L150">
        <v>424</v>
      </c>
      <c r="M150">
        <v>2019</v>
      </c>
      <c r="N150">
        <v>2015</v>
      </c>
      <c r="O150" s="1">
        <v>44872</v>
      </c>
      <c r="P150" s="1">
        <v>44872</v>
      </c>
      <c r="S150" t="s">
        <v>29</v>
      </c>
      <c r="W150">
        <v>1</v>
      </c>
      <c r="X150">
        <v>0</v>
      </c>
    </row>
    <row r="151" spans="1:24" x14ac:dyDescent="0.25">
      <c r="A151">
        <v>42867490</v>
      </c>
      <c r="B151" t="s">
        <v>330</v>
      </c>
      <c r="C151" t="s">
        <v>145</v>
      </c>
      <c r="D151" t="s">
        <v>146</v>
      </c>
      <c r="E151" t="s">
        <v>147</v>
      </c>
      <c r="F151" t="str">
        <f>"1421599643"</f>
        <v>1421599643</v>
      </c>
      <c r="G151" t="str">
        <f>"9781421599649"</f>
        <v>9781421599649</v>
      </c>
      <c r="H151">
        <v>5</v>
      </c>
      <c r="I151">
        <v>4.6100000000000003</v>
      </c>
      <c r="J151" t="s">
        <v>27</v>
      </c>
      <c r="K151" t="s">
        <v>28</v>
      </c>
      <c r="L151">
        <v>424</v>
      </c>
      <c r="M151">
        <v>2019</v>
      </c>
      <c r="N151">
        <v>2014</v>
      </c>
      <c r="O151" s="1">
        <v>44872</v>
      </c>
      <c r="P151" s="1">
        <v>44869</v>
      </c>
      <c r="S151" t="s">
        <v>29</v>
      </c>
      <c r="W151">
        <v>1</v>
      </c>
      <c r="X151">
        <v>0</v>
      </c>
    </row>
    <row r="152" spans="1:24" x14ac:dyDescent="0.25">
      <c r="A152">
        <v>431809</v>
      </c>
      <c r="B152" t="s">
        <v>331</v>
      </c>
      <c r="C152" t="s">
        <v>332</v>
      </c>
      <c r="D152" t="s">
        <v>333</v>
      </c>
      <c r="F152" t="str">
        <f>"142150636X"</f>
        <v>142150636X</v>
      </c>
      <c r="G152" t="str">
        <f>"9781421506364"</f>
        <v>9781421506364</v>
      </c>
      <c r="H152">
        <v>5</v>
      </c>
      <c r="I152">
        <v>4.47</v>
      </c>
      <c r="J152" t="s">
        <v>334</v>
      </c>
      <c r="K152" t="s">
        <v>28</v>
      </c>
      <c r="L152">
        <v>248</v>
      </c>
      <c r="M152">
        <v>2006</v>
      </c>
      <c r="N152">
        <v>1995</v>
      </c>
      <c r="O152" s="1">
        <v>44871</v>
      </c>
      <c r="P152" s="1">
        <v>44871</v>
      </c>
      <c r="S152" t="s">
        <v>29</v>
      </c>
      <c r="W152">
        <v>1</v>
      </c>
      <c r="X152">
        <v>0</v>
      </c>
    </row>
    <row r="153" spans="1:24" x14ac:dyDescent="0.25">
      <c r="A153">
        <v>1320888</v>
      </c>
      <c r="B153" t="s">
        <v>335</v>
      </c>
      <c r="C153" t="s">
        <v>332</v>
      </c>
      <c r="D153" t="s">
        <v>333</v>
      </c>
      <c r="F153" t="str">
        <f>"1421504049"</f>
        <v>1421504049</v>
      </c>
      <c r="G153" t="str">
        <f>"9781421504049"</f>
        <v>9781421504049</v>
      </c>
      <c r="H153">
        <v>5</v>
      </c>
      <c r="I153">
        <v>4.37</v>
      </c>
      <c r="J153" t="s">
        <v>334</v>
      </c>
      <c r="K153" t="s">
        <v>28</v>
      </c>
      <c r="L153">
        <v>240</v>
      </c>
      <c r="M153">
        <v>2006</v>
      </c>
      <c r="N153">
        <v>1995</v>
      </c>
      <c r="O153" s="1">
        <v>44871</v>
      </c>
      <c r="P153" s="1">
        <v>44871</v>
      </c>
      <c r="S153" t="s">
        <v>29</v>
      </c>
      <c r="W153">
        <v>1</v>
      </c>
      <c r="X153">
        <v>0</v>
      </c>
    </row>
    <row r="154" spans="1:24" x14ac:dyDescent="0.25">
      <c r="A154">
        <v>1320886</v>
      </c>
      <c r="B154" t="s">
        <v>336</v>
      </c>
      <c r="C154" t="s">
        <v>332</v>
      </c>
      <c r="D154" t="s">
        <v>333</v>
      </c>
      <c r="F154" t="str">
        <f>"1421502739"</f>
        <v>1421502739</v>
      </c>
      <c r="G154" t="str">
        <f>"9781421502731"</f>
        <v>9781421502731</v>
      </c>
      <c r="H154">
        <v>5</v>
      </c>
      <c r="I154">
        <v>4.33</v>
      </c>
      <c r="J154" t="s">
        <v>334</v>
      </c>
      <c r="K154" t="s">
        <v>28</v>
      </c>
      <c r="L154">
        <v>192</v>
      </c>
      <c r="M154">
        <v>2006</v>
      </c>
      <c r="N154">
        <v>1995</v>
      </c>
      <c r="O154" s="1">
        <v>44871</v>
      </c>
      <c r="P154" s="1">
        <v>44871</v>
      </c>
      <c r="S154" t="s">
        <v>29</v>
      </c>
      <c r="W154">
        <v>1</v>
      </c>
      <c r="X154">
        <v>0</v>
      </c>
    </row>
    <row r="155" spans="1:24" x14ac:dyDescent="0.25">
      <c r="A155">
        <v>299801</v>
      </c>
      <c r="B155" t="s">
        <v>337</v>
      </c>
      <c r="C155" t="s">
        <v>332</v>
      </c>
      <c r="D155" t="s">
        <v>333</v>
      </c>
      <c r="F155" t="str">
        <f>""</f>
        <v/>
      </c>
      <c r="G155" t="str">
        <f>"9781421501482"</f>
        <v>9781421501482</v>
      </c>
      <c r="H155">
        <v>4</v>
      </c>
      <c r="I155">
        <v>4.3</v>
      </c>
      <c r="J155" t="s">
        <v>334</v>
      </c>
      <c r="K155" t="s">
        <v>28</v>
      </c>
      <c r="L155">
        <v>192</v>
      </c>
      <c r="M155">
        <v>2005</v>
      </c>
      <c r="N155">
        <v>1994</v>
      </c>
      <c r="O155" s="1">
        <v>44871</v>
      </c>
      <c r="P155" s="1">
        <v>44871</v>
      </c>
      <c r="S155" t="s">
        <v>29</v>
      </c>
      <c r="W155">
        <v>1</v>
      </c>
      <c r="X155">
        <v>0</v>
      </c>
    </row>
    <row r="156" spans="1:24" x14ac:dyDescent="0.25">
      <c r="A156">
        <v>1320887</v>
      </c>
      <c r="B156" t="s">
        <v>338</v>
      </c>
      <c r="C156" t="s">
        <v>332</v>
      </c>
      <c r="D156" t="s">
        <v>333</v>
      </c>
      <c r="F156" t="str">
        <f>"1421500515"</f>
        <v>1421500515</v>
      </c>
      <c r="G156" t="str">
        <f>"9781421500515"</f>
        <v>9781421500515</v>
      </c>
      <c r="H156">
        <v>4</v>
      </c>
      <c r="I156">
        <v>4.29</v>
      </c>
      <c r="J156" t="s">
        <v>334</v>
      </c>
      <c r="K156" t="s">
        <v>28</v>
      </c>
      <c r="L156">
        <v>192</v>
      </c>
      <c r="M156">
        <v>2005</v>
      </c>
      <c r="N156">
        <v>1994</v>
      </c>
      <c r="O156" s="1">
        <v>44871</v>
      </c>
      <c r="P156" s="1">
        <v>44871</v>
      </c>
      <c r="S156" t="s">
        <v>29</v>
      </c>
      <c r="W156">
        <v>1</v>
      </c>
      <c r="X156">
        <v>0</v>
      </c>
    </row>
    <row r="157" spans="1:24" x14ac:dyDescent="0.25">
      <c r="A157">
        <v>760145</v>
      </c>
      <c r="B157" t="s">
        <v>339</v>
      </c>
      <c r="C157" t="s">
        <v>332</v>
      </c>
      <c r="D157" t="s">
        <v>333</v>
      </c>
      <c r="F157" t="str">
        <f>"1591168732"</f>
        <v>1591168732</v>
      </c>
      <c r="G157" t="str">
        <f>"9781591168737"</f>
        <v>9781591168737</v>
      </c>
      <c r="H157">
        <v>4</v>
      </c>
      <c r="I157">
        <v>4.28</v>
      </c>
      <c r="J157" t="s">
        <v>334</v>
      </c>
      <c r="K157" t="s">
        <v>28</v>
      </c>
      <c r="L157">
        <v>200</v>
      </c>
      <c r="M157">
        <v>2005</v>
      </c>
      <c r="N157">
        <v>1994</v>
      </c>
      <c r="O157" s="1">
        <v>44871</v>
      </c>
      <c r="P157" s="1">
        <v>44871</v>
      </c>
      <c r="S157" t="s">
        <v>29</v>
      </c>
      <c r="W157">
        <v>1</v>
      </c>
      <c r="X157">
        <v>0</v>
      </c>
    </row>
    <row r="158" spans="1:24" x14ac:dyDescent="0.25">
      <c r="A158">
        <v>1841223</v>
      </c>
      <c r="B158" t="s">
        <v>340</v>
      </c>
      <c r="C158" t="s">
        <v>332</v>
      </c>
      <c r="D158" t="s">
        <v>333</v>
      </c>
      <c r="F158" t="str">
        <f>"1591168082"</f>
        <v>1591168082</v>
      </c>
      <c r="G158" t="str">
        <f>"9781591168089"</f>
        <v>9781591168089</v>
      </c>
      <c r="H158">
        <v>4</v>
      </c>
      <c r="I158">
        <v>4.2699999999999996</v>
      </c>
      <c r="J158" t="s">
        <v>334</v>
      </c>
      <c r="K158" t="s">
        <v>28</v>
      </c>
      <c r="L158">
        <v>192</v>
      </c>
      <c r="M158">
        <v>2005</v>
      </c>
      <c r="N158">
        <v>1993</v>
      </c>
      <c r="O158" s="1">
        <v>44871</v>
      </c>
      <c r="P158" s="1">
        <v>44870</v>
      </c>
      <c r="S158" t="s">
        <v>29</v>
      </c>
      <c r="W158">
        <v>1</v>
      </c>
      <c r="X158">
        <v>0</v>
      </c>
    </row>
    <row r="159" spans="1:24" x14ac:dyDescent="0.25">
      <c r="A159">
        <v>66286</v>
      </c>
      <c r="B159" t="s">
        <v>341</v>
      </c>
      <c r="C159" t="s">
        <v>332</v>
      </c>
      <c r="D159" t="s">
        <v>333</v>
      </c>
      <c r="F159" t="str">
        <f>""</f>
        <v/>
      </c>
      <c r="G159" t="str">
        <f>"9781591167518"</f>
        <v>9781591167518</v>
      </c>
      <c r="H159">
        <v>4</v>
      </c>
      <c r="I159">
        <v>4.4400000000000004</v>
      </c>
      <c r="J159" t="s">
        <v>334</v>
      </c>
      <c r="K159" t="s">
        <v>28</v>
      </c>
      <c r="L159">
        <v>184</v>
      </c>
      <c r="M159">
        <v>2005</v>
      </c>
      <c r="N159">
        <v>1993</v>
      </c>
      <c r="O159" s="1">
        <v>44870</v>
      </c>
      <c r="P159" s="1">
        <v>44870</v>
      </c>
      <c r="S159" t="s">
        <v>29</v>
      </c>
      <c r="W159">
        <v>1</v>
      </c>
      <c r="X159">
        <v>0</v>
      </c>
    </row>
    <row r="160" spans="1:24" x14ac:dyDescent="0.25">
      <c r="A160">
        <v>66290</v>
      </c>
      <c r="B160" t="s">
        <v>342</v>
      </c>
      <c r="C160" t="s">
        <v>332</v>
      </c>
      <c r="D160" t="s">
        <v>333</v>
      </c>
      <c r="F160" t="str">
        <f>""</f>
        <v/>
      </c>
      <c r="G160" t="str">
        <f>"9781591166375"</f>
        <v>9781591166375</v>
      </c>
      <c r="H160">
        <v>4</v>
      </c>
      <c r="I160">
        <v>4.38</v>
      </c>
      <c r="J160" t="s">
        <v>334</v>
      </c>
      <c r="K160" t="s">
        <v>28</v>
      </c>
      <c r="L160">
        <v>192</v>
      </c>
      <c r="M160">
        <v>2004</v>
      </c>
      <c r="N160">
        <v>1993</v>
      </c>
      <c r="O160" s="1">
        <v>44870</v>
      </c>
      <c r="P160" s="1">
        <v>44870</v>
      </c>
      <c r="S160" t="s">
        <v>29</v>
      </c>
      <c r="W160">
        <v>1</v>
      </c>
      <c r="X160">
        <v>0</v>
      </c>
    </row>
    <row r="161" spans="1:24" x14ac:dyDescent="0.25">
      <c r="A161">
        <v>1501383</v>
      </c>
      <c r="B161" t="s">
        <v>343</v>
      </c>
      <c r="C161" t="s">
        <v>332</v>
      </c>
      <c r="D161" t="s">
        <v>333</v>
      </c>
      <c r="F161" t="str">
        <f>"1591165059"</f>
        <v>1591165059</v>
      </c>
      <c r="G161" t="str">
        <f>"9781591165057"</f>
        <v>9781591165057</v>
      </c>
      <c r="H161">
        <v>4</v>
      </c>
      <c r="I161">
        <v>4.37</v>
      </c>
      <c r="J161" t="s">
        <v>334</v>
      </c>
      <c r="K161" t="s">
        <v>28</v>
      </c>
      <c r="L161">
        <v>192</v>
      </c>
      <c r="M161">
        <v>2004</v>
      </c>
      <c r="N161">
        <v>1992</v>
      </c>
      <c r="O161" s="1">
        <v>44870</v>
      </c>
      <c r="P161" s="1">
        <v>44870</v>
      </c>
      <c r="S161" t="s">
        <v>29</v>
      </c>
      <c r="W161">
        <v>1</v>
      </c>
      <c r="X161">
        <v>0</v>
      </c>
    </row>
    <row r="162" spans="1:24" x14ac:dyDescent="0.25">
      <c r="A162">
        <v>451526</v>
      </c>
      <c r="B162" t="s">
        <v>344</v>
      </c>
      <c r="C162" t="s">
        <v>332</v>
      </c>
      <c r="D162" t="s">
        <v>333</v>
      </c>
      <c r="F162" t="str">
        <f>"1591163285"</f>
        <v>1591163285</v>
      </c>
      <c r="G162" t="str">
        <f>"9781591163282"</f>
        <v>9781591163282</v>
      </c>
      <c r="H162">
        <v>4</v>
      </c>
      <c r="I162">
        <v>4.3099999999999996</v>
      </c>
      <c r="J162" t="s">
        <v>334</v>
      </c>
      <c r="K162" t="s">
        <v>28</v>
      </c>
      <c r="L162">
        <v>192</v>
      </c>
      <c r="M162">
        <v>2004</v>
      </c>
      <c r="N162">
        <v>1992</v>
      </c>
      <c r="O162" s="1">
        <v>44870</v>
      </c>
      <c r="P162" s="1">
        <v>44870</v>
      </c>
      <c r="S162" t="s">
        <v>29</v>
      </c>
      <c r="W162">
        <v>1</v>
      </c>
      <c r="X162">
        <v>0</v>
      </c>
    </row>
    <row r="163" spans="1:24" x14ac:dyDescent="0.25">
      <c r="A163">
        <v>1798649</v>
      </c>
      <c r="B163" t="s">
        <v>345</v>
      </c>
      <c r="C163" t="s">
        <v>332</v>
      </c>
      <c r="D163" t="s">
        <v>333</v>
      </c>
      <c r="F163" t="str">
        <f>"159116186X"</f>
        <v>159116186X</v>
      </c>
      <c r="G163" t="str">
        <f>"9781591161868"</f>
        <v>9781591161868</v>
      </c>
      <c r="H163">
        <v>4</v>
      </c>
      <c r="I163">
        <v>4.32</v>
      </c>
      <c r="J163" t="s">
        <v>334</v>
      </c>
      <c r="K163" t="s">
        <v>28</v>
      </c>
      <c r="L163">
        <v>192</v>
      </c>
      <c r="M163">
        <v>2004</v>
      </c>
      <c r="N163">
        <v>1992</v>
      </c>
      <c r="O163" s="1">
        <v>44870</v>
      </c>
      <c r="P163" s="1">
        <v>44870</v>
      </c>
      <c r="S163" t="s">
        <v>29</v>
      </c>
      <c r="W163">
        <v>1</v>
      </c>
      <c r="X163">
        <v>0</v>
      </c>
    </row>
    <row r="164" spans="1:24" x14ac:dyDescent="0.25">
      <c r="A164">
        <v>7990554</v>
      </c>
      <c r="B164" t="s">
        <v>346</v>
      </c>
      <c r="C164" t="s">
        <v>347</v>
      </c>
      <c r="D164" t="s">
        <v>348</v>
      </c>
      <c r="F164" t="str">
        <f>"1152770837"</f>
        <v>1152770837</v>
      </c>
      <c r="G164" t="str">
        <f>"9781152770836"</f>
        <v>9781152770836</v>
      </c>
      <c r="H164">
        <v>1</v>
      </c>
      <c r="I164">
        <v>3.65</v>
      </c>
      <c r="J164" t="s">
        <v>349</v>
      </c>
      <c r="K164" t="s">
        <v>28</v>
      </c>
      <c r="L164">
        <v>118</v>
      </c>
      <c r="M164">
        <v>2010</v>
      </c>
      <c r="N164">
        <v>2010</v>
      </c>
      <c r="O164" s="1">
        <v>44870</v>
      </c>
      <c r="P164" s="1">
        <v>44870</v>
      </c>
      <c r="S164" t="s">
        <v>29</v>
      </c>
      <c r="W164">
        <v>1</v>
      </c>
      <c r="X164">
        <v>0</v>
      </c>
    </row>
    <row r="165" spans="1:24" x14ac:dyDescent="0.25">
      <c r="A165">
        <v>42736293</v>
      </c>
      <c r="B165" t="s">
        <v>350</v>
      </c>
      <c r="C165" t="s">
        <v>351</v>
      </c>
      <c r="D165" t="s">
        <v>352</v>
      </c>
      <c r="F165" t="str">
        <f>""</f>
        <v/>
      </c>
      <c r="G165" t="str">
        <f>""</f>
        <v/>
      </c>
      <c r="H165">
        <v>2</v>
      </c>
      <c r="I165">
        <v>3.49</v>
      </c>
      <c r="K165" t="s">
        <v>28</v>
      </c>
      <c r="L165">
        <v>309</v>
      </c>
      <c r="O165" s="1">
        <v>44870</v>
      </c>
      <c r="P165" s="1">
        <v>44870</v>
      </c>
      <c r="S165" t="s">
        <v>29</v>
      </c>
      <c r="W165">
        <v>1</v>
      </c>
      <c r="X165">
        <v>0</v>
      </c>
    </row>
    <row r="166" spans="1:24" x14ac:dyDescent="0.25">
      <c r="A166">
        <v>40859171</v>
      </c>
      <c r="B166" t="s">
        <v>353</v>
      </c>
      <c r="C166" t="s">
        <v>354</v>
      </c>
      <c r="D166" t="s">
        <v>355</v>
      </c>
      <c r="F166" t="str">
        <f>""</f>
        <v/>
      </c>
      <c r="G166" t="str">
        <f>"9786140320406"</f>
        <v>9786140320406</v>
      </c>
      <c r="H166">
        <v>1</v>
      </c>
      <c r="I166">
        <v>3.6</v>
      </c>
      <c r="J166" t="s">
        <v>356</v>
      </c>
      <c r="K166" t="s">
        <v>28</v>
      </c>
      <c r="L166">
        <v>208</v>
      </c>
      <c r="M166">
        <v>2018</v>
      </c>
      <c r="N166">
        <v>2014</v>
      </c>
      <c r="O166" s="1">
        <v>44870</v>
      </c>
      <c r="P166" s="1">
        <v>44870</v>
      </c>
      <c r="S166" t="s">
        <v>29</v>
      </c>
      <c r="W166">
        <v>1</v>
      </c>
      <c r="X166">
        <v>0</v>
      </c>
    </row>
    <row r="167" spans="1:24" x14ac:dyDescent="0.25">
      <c r="A167">
        <v>6634911</v>
      </c>
      <c r="B167" t="s">
        <v>357</v>
      </c>
      <c r="C167" t="s">
        <v>358</v>
      </c>
      <c r="D167" t="s">
        <v>359</v>
      </c>
      <c r="E167" t="s">
        <v>360</v>
      </c>
      <c r="F167" t="str">
        <f>""</f>
        <v/>
      </c>
      <c r="G167" t="str">
        <f>"6221102024938"</f>
        <v>6221102024938</v>
      </c>
      <c r="H167">
        <v>1</v>
      </c>
      <c r="I167">
        <v>3.29</v>
      </c>
      <c r="J167" t="s">
        <v>361</v>
      </c>
      <c r="K167" t="s">
        <v>28</v>
      </c>
      <c r="L167">
        <v>410</v>
      </c>
      <c r="M167">
        <v>2009</v>
      </c>
      <c r="N167">
        <v>2009</v>
      </c>
      <c r="O167" s="1">
        <v>44870</v>
      </c>
      <c r="P167" s="1">
        <v>44870</v>
      </c>
      <c r="S167" t="s">
        <v>29</v>
      </c>
      <c r="W167">
        <v>1</v>
      </c>
      <c r="X167">
        <v>0</v>
      </c>
    </row>
    <row r="168" spans="1:24" x14ac:dyDescent="0.25">
      <c r="A168">
        <v>1841117</v>
      </c>
      <c r="B168" t="s">
        <v>362</v>
      </c>
      <c r="C168" t="s">
        <v>332</v>
      </c>
      <c r="D168" t="s">
        <v>333</v>
      </c>
      <c r="F168" t="str">
        <f>"1591161800"</f>
        <v>1591161800</v>
      </c>
      <c r="G168" t="str">
        <f>"9781591161806"</f>
        <v>9781591161806</v>
      </c>
      <c r="H168">
        <v>3</v>
      </c>
      <c r="I168">
        <v>4.29</v>
      </c>
      <c r="J168" t="s">
        <v>334</v>
      </c>
      <c r="K168" t="s">
        <v>28</v>
      </c>
      <c r="L168">
        <v>192</v>
      </c>
      <c r="M168">
        <v>2003</v>
      </c>
      <c r="N168">
        <v>1992</v>
      </c>
      <c r="O168" s="1">
        <v>44870</v>
      </c>
      <c r="P168" s="1">
        <v>44870</v>
      </c>
      <c r="S168" t="s">
        <v>29</v>
      </c>
      <c r="W168">
        <v>1</v>
      </c>
      <c r="X168">
        <v>0</v>
      </c>
    </row>
    <row r="169" spans="1:24" x14ac:dyDescent="0.25">
      <c r="A169">
        <v>1841097</v>
      </c>
      <c r="B169" t="s">
        <v>363</v>
      </c>
      <c r="C169" t="s">
        <v>332</v>
      </c>
      <c r="D169" t="s">
        <v>333</v>
      </c>
      <c r="F169" t="str">
        <f>"1569319863"</f>
        <v>1569319863</v>
      </c>
      <c r="G169" t="str">
        <f>"9781569319864"</f>
        <v>9781569319864</v>
      </c>
      <c r="H169">
        <v>3</v>
      </c>
      <c r="I169">
        <v>4.33</v>
      </c>
      <c r="J169" t="s">
        <v>334</v>
      </c>
      <c r="K169" t="s">
        <v>28</v>
      </c>
      <c r="L169">
        <v>200</v>
      </c>
      <c r="M169">
        <v>2003</v>
      </c>
      <c r="N169">
        <v>1992</v>
      </c>
      <c r="O169" s="1">
        <v>44870</v>
      </c>
      <c r="P169" s="1">
        <v>44870</v>
      </c>
      <c r="S169" t="s">
        <v>29</v>
      </c>
      <c r="W169">
        <v>1</v>
      </c>
      <c r="X169">
        <v>0</v>
      </c>
    </row>
    <row r="170" spans="1:24" x14ac:dyDescent="0.25">
      <c r="A170">
        <v>1841118</v>
      </c>
      <c r="B170" t="s">
        <v>364</v>
      </c>
      <c r="C170" t="s">
        <v>332</v>
      </c>
      <c r="D170" t="s">
        <v>333</v>
      </c>
      <c r="F170" t="str">
        <f>"1569319855"</f>
        <v>1569319855</v>
      </c>
      <c r="G170" t="str">
        <f>"9781569319857"</f>
        <v>9781569319857</v>
      </c>
      <c r="H170">
        <v>4</v>
      </c>
      <c r="I170">
        <v>4.3899999999999997</v>
      </c>
      <c r="J170" t="s">
        <v>334</v>
      </c>
      <c r="K170" t="s">
        <v>28</v>
      </c>
      <c r="L170">
        <v>192</v>
      </c>
      <c r="M170">
        <v>2003</v>
      </c>
      <c r="N170">
        <v>1991</v>
      </c>
      <c r="O170" s="1">
        <v>44870</v>
      </c>
      <c r="P170" s="1">
        <v>44861</v>
      </c>
      <c r="S170" t="s">
        <v>29</v>
      </c>
      <c r="W170">
        <v>1</v>
      </c>
      <c r="X170">
        <v>0</v>
      </c>
    </row>
    <row r="171" spans="1:24" x14ac:dyDescent="0.25">
      <c r="A171">
        <v>40680082</v>
      </c>
      <c r="B171" t="s">
        <v>365</v>
      </c>
      <c r="C171" t="s">
        <v>145</v>
      </c>
      <c r="D171" t="s">
        <v>146</v>
      </c>
      <c r="E171" t="s">
        <v>147</v>
      </c>
      <c r="F171" t="str">
        <f>"1421599635"</f>
        <v>1421599635</v>
      </c>
      <c r="G171" t="str">
        <f>"9781421599632"</f>
        <v>9781421599632</v>
      </c>
      <c r="H171">
        <v>5</v>
      </c>
      <c r="I171">
        <v>4.5199999999999996</v>
      </c>
      <c r="J171" t="s">
        <v>27</v>
      </c>
      <c r="K171" t="s">
        <v>28</v>
      </c>
      <c r="L171">
        <v>432</v>
      </c>
      <c r="M171">
        <v>2019</v>
      </c>
      <c r="N171">
        <v>2014</v>
      </c>
      <c r="O171" s="1">
        <v>44869</v>
      </c>
      <c r="P171" s="1">
        <v>44868</v>
      </c>
      <c r="S171" t="s">
        <v>29</v>
      </c>
      <c r="W171">
        <v>1</v>
      </c>
      <c r="X171">
        <v>0</v>
      </c>
    </row>
    <row r="172" spans="1:24" x14ac:dyDescent="0.25">
      <c r="A172">
        <v>38926383</v>
      </c>
      <c r="B172" t="s">
        <v>366</v>
      </c>
      <c r="C172" t="s">
        <v>145</v>
      </c>
      <c r="D172" t="s">
        <v>146</v>
      </c>
      <c r="E172" t="s">
        <v>147</v>
      </c>
      <c r="F172" t="str">
        <f>"1421599627"</f>
        <v>1421599627</v>
      </c>
      <c r="G172" t="str">
        <f>"9781421599625"</f>
        <v>9781421599625</v>
      </c>
      <c r="H172">
        <v>5</v>
      </c>
      <c r="I172">
        <v>4.5599999999999996</v>
      </c>
      <c r="J172" t="s">
        <v>27</v>
      </c>
      <c r="K172" t="s">
        <v>28</v>
      </c>
      <c r="L172">
        <v>424</v>
      </c>
      <c r="M172">
        <v>2018</v>
      </c>
      <c r="N172">
        <v>2014</v>
      </c>
      <c r="O172" s="1">
        <v>44868</v>
      </c>
      <c r="P172" s="1">
        <v>44867</v>
      </c>
      <c r="S172" t="s">
        <v>29</v>
      </c>
      <c r="W172">
        <v>1</v>
      </c>
      <c r="X172">
        <v>0</v>
      </c>
    </row>
    <row r="173" spans="1:24" x14ac:dyDescent="0.25">
      <c r="A173">
        <v>22034</v>
      </c>
      <c r="B173" t="s">
        <v>367</v>
      </c>
      <c r="C173" t="s">
        <v>368</v>
      </c>
      <c r="D173" t="s">
        <v>369</v>
      </c>
      <c r="E173" t="s">
        <v>370</v>
      </c>
      <c r="F173" t="str">
        <f>""</f>
        <v/>
      </c>
      <c r="G173" t="str">
        <f>""</f>
        <v/>
      </c>
      <c r="H173">
        <v>0</v>
      </c>
      <c r="I173">
        <v>4.38</v>
      </c>
      <c r="J173" t="s">
        <v>371</v>
      </c>
      <c r="K173" t="s">
        <v>28</v>
      </c>
      <c r="L173">
        <v>448</v>
      </c>
      <c r="M173">
        <v>2002</v>
      </c>
      <c r="N173">
        <v>1969</v>
      </c>
      <c r="P173" s="1">
        <v>44868</v>
      </c>
      <c r="Q173" t="s">
        <v>35</v>
      </c>
      <c r="R173" t="s">
        <v>372</v>
      </c>
      <c r="S173" t="s">
        <v>35</v>
      </c>
      <c r="W173">
        <v>0</v>
      </c>
      <c r="X173">
        <v>0</v>
      </c>
    </row>
    <row r="174" spans="1:24" x14ac:dyDescent="0.25">
      <c r="A174">
        <v>59641216</v>
      </c>
      <c r="B174" t="s">
        <v>373</v>
      </c>
      <c r="C174" t="s">
        <v>374</v>
      </c>
      <c r="D174" t="s">
        <v>375</v>
      </c>
      <c r="F174" t="str">
        <f>"1250866448"</f>
        <v>1250866448</v>
      </c>
      <c r="G174" t="str">
        <f>"9781250866448"</f>
        <v>9781250866448</v>
      </c>
      <c r="H174">
        <v>2</v>
      </c>
      <c r="I174">
        <v>3.84</v>
      </c>
      <c r="J174" t="s">
        <v>376</v>
      </c>
      <c r="K174" t="s">
        <v>34</v>
      </c>
      <c r="L174">
        <v>272</v>
      </c>
      <c r="M174">
        <v>2022</v>
      </c>
      <c r="N174">
        <v>2022</v>
      </c>
      <c r="O174" s="1">
        <v>44868</v>
      </c>
      <c r="P174" s="1">
        <v>44866</v>
      </c>
      <c r="S174" t="s">
        <v>29</v>
      </c>
      <c r="W174">
        <v>1</v>
      </c>
      <c r="X174">
        <v>0</v>
      </c>
    </row>
    <row r="175" spans="1:24" x14ac:dyDescent="0.25">
      <c r="A175">
        <v>63029353</v>
      </c>
      <c r="B175" t="s">
        <v>377</v>
      </c>
      <c r="C175" t="s">
        <v>378</v>
      </c>
      <c r="D175" t="s">
        <v>379</v>
      </c>
      <c r="E175" t="s">
        <v>380</v>
      </c>
      <c r="F175" t="str">
        <f>"1797124730"</f>
        <v>1797124730</v>
      </c>
      <c r="G175" t="str">
        <f>"9781797124735"</f>
        <v>9781797124735</v>
      </c>
      <c r="H175">
        <v>4</v>
      </c>
      <c r="I175">
        <v>4.4000000000000004</v>
      </c>
      <c r="J175" t="s">
        <v>381</v>
      </c>
      <c r="K175" t="s">
        <v>382</v>
      </c>
      <c r="L175">
        <v>12</v>
      </c>
      <c r="M175">
        <v>2022</v>
      </c>
      <c r="N175">
        <v>2022</v>
      </c>
      <c r="O175" s="1">
        <v>44867</v>
      </c>
      <c r="P175" s="1">
        <v>44866</v>
      </c>
      <c r="S175" t="s">
        <v>29</v>
      </c>
      <c r="W175">
        <v>1</v>
      </c>
      <c r="X175">
        <v>0</v>
      </c>
    </row>
    <row r="176" spans="1:24" x14ac:dyDescent="0.25">
      <c r="A176">
        <v>38926446</v>
      </c>
      <c r="B176" t="s">
        <v>383</v>
      </c>
      <c r="C176" t="s">
        <v>145</v>
      </c>
      <c r="D176" t="s">
        <v>146</v>
      </c>
      <c r="E176" t="s">
        <v>147</v>
      </c>
      <c r="F176" t="str">
        <f>"1421599619"</f>
        <v>1421599619</v>
      </c>
      <c r="G176" t="str">
        <f>"9781421599618"</f>
        <v>9781421599618</v>
      </c>
      <c r="H176">
        <v>5</v>
      </c>
      <c r="I176">
        <v>4.5599999999999996</v>
      </c>
      <c r="J176" t="s">
        <v>27</v>
      </c>
      <c r="K176" t="s">
        <v>28</v>
      </c>
      <c r="L176">
        <v>424</v>
      </c>
      <c r="M176">
        <v>2018</v>
      </c>
      <c r="N176">
        <v>2016</v>
      </c>
      <c r="O176" s="1">
        <v>44867</v>
      </c>
      <c r="P176" s="1">
        <v>44866</v>
      </c>
      <c r="S176" t="s">
        <v>29</v>
      </c>
      <c r="W176">
        <v>1</v>
      </c>
      <c r="X176">
        <v>0</v>
      </c>
    </row>
    <row r="177" spans="1:24" x14ac:dyDescent="0.25">
      <c r="A177">
        <v>6642715</v>
      </c>
      <c r="B177" t="s">
        <v>384</v>
      </c>
      <c r="C177" t="s">
        <v>385</v>
      </c>
      <c r="D177" t="s">
        <v>386</v>
      </c>
      <c r="F177" t="str">
        <f>""</f>
        <v/>
      </c>
      <c r="G177" t="str">
        <f>""</f>
        <v/>
      </c>
      <c r="H177">
        <v>5</v>
      </c>
      <c r="I177">
        <v>4.1399999999999997</v>
      </c>
      <c r="J177" t="s">
        <v>387</v>
      </c>
      <c r="K177" t="s">
        <v>34</v>
      </c>
      <c r="L177">
        <v>354</v>
      </c>
      <c r="M177">
        <v>2010</v>
      </c>
      <c r="N177">
        <v>2009</v>
      </c>
      <c r="O177" s="1">
        <v>44866</v>
      </c>
      <c r="P177" s="1">
        <v>44854</v>
      </c>
      <c r="S177" t="s">
        <v>29</v>
      </c>
      <c r="W177">
        <v>1</v>
      </c>
      <c r="X177">
        <v>0</v>
      </c>
    </row>
    <row r="178" spans="1:24" x14ac:dyDescent="0.25">
      <c r="A178">
        <v>36387829</v>
      </c>
      <c r="B178" t="s">
        <v>388</v>
      </c>
      <c r="C178" t="s">
        <v>389</v>
      </c>
      <c r="D178" t="s">
        <v>390</v>
      </c>
      <c r="F178" t="str">
        <f>""</f>
        <v/>
      </c>
      <c r="G178" t="str">
        <f>"9781368021500"</f>
        <v>9781368021500</v>
      </c>
      <c r="H178">
        <v>0</v>
      </c>
      <c r="I178">
        <v>4.3899999999999997</v>
      </c>
      <c r="J178" t="s">
        <v>391</v>
      </c>
      <c r="K178" t="s">
        <v>34</v>
      </c>
      <c r="L178">
        <v>432</v>
      </c>
      <c r="M178">
        <v>2017</v>
      </c>
      <c r="N178">
        <v>2017</v>
      </c>
      <c r="P178" s="1">
        <v>44865</v>
      </c>
      <c r="Q178" t="s">
        <v>35</v>
      </c>
      <c r="R178" t="s">
        <v>392</v>
      </c>
      <c r="S178" t="s">
        <v>35</v>
      </c>
      <c r="W178">
        <v>0</v>
      </c>
      <c r="X178">
        <v>0</v>
      </c>
    </row>
    <row r="179" spans="1:24" x14ac:dyDescent="0.25">
      <c r="A179">
        <v>9691883</v>
      </c>
      <c r="B179" t="s">
        <v>393</v>
      </c>
      <c r="C179" t="s">
        <v>394</v>
      </c>
      <c r="D179" t="s">
        <v>395</v>
      </c>
      <c r="F179" t="str">
        <f>"4757530544"</f>
        <v>4757530544</v>
      </c>
      <c r="G179" t="str">
        <f>"9784757530546"</f>
        <v>9784757530546</v>
      </c>
      <c r="H179">
        <v>5</v>
      </c>
      <c r="I179">
        <v>4.74</v>
      </c>
      <c r="J179" t="s">
        <v>396</v>
      </c>
      <c r="K179" t="s">
        <v>28</v>
      </c>
      <c r="L179">
        <v>220</v>
      </c>
      <c r="M179">
        <v>2010</v>
      </c>
      <c r="N179">
        <v>2011</v>
      </c>
      <c r="O179" s="1">
        <v>44864</v>
      </c>
      <c r="P179" s="1">
        <v>44864</v>
      </c>
      <c r="S179" t="s">
        <v>29</v>
      </c>
      <c r="W179">
        <v>1</v>
      </c>
      <c r="X179">
        <v>0</v>
      </c>
    </row>
    <row r="180" spans="1:24" x14ac:dyDescent="0.25">
      <c r="A180">
        <v>10281904</v>
      </c>
      <c r="B180" t="s">
        <v>397</v>
      </c>
      <c r="C180" t="s">
        <v>394</v>
      </c>
      <c r="D180" t="s">
        <v>395</v>
      </c>
      <c r="E180" t="s">
        <v>398</v>
      </c>
      <c r="F180" t="str">
        <f>"1421539624"</f>
        <v>1421539624</v>
      </c>
      <c r="G180" t="str">
        <f>"9781421539621"</f>
        <v>9781421539621</v>
      </c>
      <c r="H180">
        <v>5</v>
      </c>
      <c r="I180">
        <v>4.67</v>
      </c>
      <c r="J180" t="s">
        <v>399</v>
      </c>
      <c r="K180" t="s">
        <v>28</v>
      </c>
      <c r="L180">
        <v>208</v>
      </c>
      <c r="M180">
        <v>2011</v>
      </c>
      <c r="N180">
        <v>2010</v>
      </c>
      <c r="O180" s="1">
        <v>44864</v>
      </c>
      <c r="P180" s="1">
        <v>44864</v>
      </c>
      <c r="S180" t="s">
        <v>29</v>
      </c>
      <c r="W180">
        <v>1</v>
      </c>
      <c r="X180">
        <v>0</v>
      </c>
    </row>
    <row r="181" spans="1:24" x14ac:dyDescent="0.25">
      <c r="A181">
        <v>10248518</v>
      </c>
      <c r="B181" t="s">
        <v>400</v>
      </c>
      <c r="C181" t="s">
        <v>394</v>
      </c>
      <c r="D181" t="s">
        <v>395</v>
      </c>
      <c r="E181" t="s">
        <v>398</v>
      </c>
      <c r="F181" t="str">
        <f>"1421539241"</f>
        <v>1421539241</v>
      </c>
      <c r="G181" t="str">
        <f>"9781421539249"</f>
        <v>9781421539249</v>
      </c>
      <c r="H181">
        <v>5</v>
      </c>
      <c r="I181">
        <v>4.66</v>
      </c>
      <c r="J181" t="s">
        <v>27</v>
      </c>
      <c r="K181" t="s">
        <v>28</v>
      </c>
      <c r="L181">
        <v>192</v>
      </c>
      <c r="M181">
        <v>2011</v>
      </c>
      <c r="N181">
        <v>2010</v>
      </c>
      <c r="O181" s="1">
        <v>44864</v>
      </c>
      <c r="P181" s="1">
        <v>44864</v>
      </c>
      <c r="S181" t="s">
        <v>29</v>
      </c>
      <c r="W181">
        <v>1</v>
      </c>
      <c r="X181">
        <v>0</v>
      </c>
    </row>
    <row r="182" spans="1:24" x14ac:dyDescent="0.25">
      <c r="A182">
        <v>62910775</v>
      </c>
      <c r="B182" t="s">
        <v>401</v>
      </c>
      <c r="C182" t="s">
        <v>402</v>
      </c>
      <c r="D182" t="s">
        <v>403</v>
      </c>
      <c r="F182" t="str">
        <f>""</f>
        <v/>
      </c>
      <c r="G182" t="str">
        <f>""</f>
        <v/>
      </c>
      <c r="H182">
        <v>0</v>
      </c>
      <c r="I182">
        <v>4</v>
      </c>
      <c r="J182" t="s">
        <v>404</v>
      </c>
      <c r="K182" t="s">
        <v>28</v>
      </c>
      <c r="L182">
        <v>348</v>
      </c>
      <c r="M182">
        <v>2022</v>
      </c>
      <c r="P182" s="1">
        <v>44864</v>
      </c>
      <c r="Q182" t="s">
        <v>35</v>
      </c>
      <c r="R182" t="s">
        <v>405</v>
      </c>
      <c r="S182" t="s">
        <v>35</v>
      </c>
      <c r="W182">
        <v>0</v>
      </c>
      <c r="X182">
        <v>0</v>
      </c>
    </row>
    <row r="183" spans="1:24" x14ac:dyDescent="0.25">
      <c r="A183">
        <v>5898591</v>
      </c>
      <c r="B183" t="s">
        <v>406</v>
      </c>
      <c r="C183" t="s">
        <v>407</v>
      </c>
      <c r="D183" t="s">
        <v>408</v>
      </c>
      <c r="E183" t="s">
        <v>409</v>
      </c>
      <c r="F183" t="str">
        <f>""</f>
        <v/>
      </c>
      <c r="G183" t="str">
        <f>""</f>
        <v/>
      </c>
      <c r="H183">
        <v>0</v>
      </c>
      <c r="I183">
        <v>3.87</v>
      </c>
      <c r="J183" t="s">
        <v>410</v>
      </c>
      <c r="K183" t="s">
        <v>207</v>
      </c>
      <c r="L183">
        <v>287</v>
      </c>
      <c r="N183">
        <v>1947</v>
      </c>
      <c r="P183" s="1">
        <v>44864</v>
      </c>
      <c r="Q183" t="s">
        <v>35</v>
      </c>
      <c r="R183" t="s">
        <v>411</v>
      </c>
      <c r="S183" t="s">
        <v>35</v>
      </c>
      <c r="W183">
        <v>0</v>
      </c>
      <c r="X183">
        <v>0</v>
      </c>
    </row>
    <row r="184" spans="1:24" x14ac:dyDescent="0.25">
      <c r="A184">
        <v>8062063</v>
      </c>
      <c r="B184" t="s">
        <v>412</v>
      </c>
      <c r="C184" t="s">
        <v>394</v>
      </c>
      <c r="D184" t="s">
        <v>395</v>
      </c>
      <c r="E184" t="s">
        <v>398</v>
      </c>
      <c r="F184" t="str">
        <f>"1421538121"</f>
        <v>1421538121</v>
      </c>
      <c r="G184" t="str">
        <f>"9781421538129"</f>
        <v>9781421538129</v>
      </c>
      <c r="H184">
        <v>5</v>
      </c>
      <c r="I184">
        <v>4.63</v>
      </c>
      <c r="J184" t="s">
        <v>27</v>
      </c>
      <c r="K184" t="s">
        <v>28</v>
      </c>
      <c r="L184">
        <v>192</v>
      </c>
      <c r="M184">
        <v>2011</v>
      </c>
      <c r="N184">
        <v>2009</v>
      </c>
      <c r="O184" s="1">
        <v>44864</v>
      </c>
      <c r="P184" s="1">
        <v>44864</v>
      </c>
      <c r="S184" t="s">
        <v>29</v>
      </c>
      <c r="W184">
        <v>1</v>
      </c>
      <c r="X184">
        <v>0</v>
      </c>
    </row>
    <row r="185" spans="1:24" x14ac:dyDescent="0.25">
      <c r="A185">
        <v>7326879</v>
      </c>
      <c r="B185" t="s">
        <v>413</v>
      </c>
      <c r="C185" t="s">
        <v>394</v>
      </c>
      <c r="D185" t="s">
        <v>395</v>
      </c>
      <c r="E185" t="s">
        <v>398</v>
      </c>
      <c r="F185" t="str">
        <f>"1421536307"</f>
        <v>1421536307</v>
      </c>
      <c r="G185" t="str">
        <f>"9781421536309"</f>
        <v>9781421536309</v>
      </c>
      <c r="H185">
        <v>5</v>
      </c>
      <c r="I185">
        <v>4.67</v>
      </c>
      <c r="J185" t="s">
        <v>27</v>
      </c>
      <c r="K185" t="s">
        <v>28</v>
      </c>
      <c r="L185">
        <v>200</v>
      </c>
      <c r="M185">
        <v>2010</v>
      </c>
      <c r="N185">
        <v>2009</v>
      </c>
      <c r="O185" s="1">
        <v>44864</v>
      </c>
      <c r="P185" s="1">
        <v>44864</v>
      </c>
      <c r="S185" t="s">
        <v>29</v>
      </c>
      <c r="W185">
        <v>1</v>
      </c>
      <c r="X185">
        <v>0</v>
      </c>
    </row>
    <row r="186" spans="1:24" x14ac:dyDescent="0.25">
      <c r="A186">
        <v>6956554</v>
      </c>
      <c r="B186" t="s">
        <v>414</v>
      </c>
      <c r="C186" t="s">
        <v>394</v>
      </c>
      <c r="D186" t="s">
        <v>395</v>
      </c>
      <c r="E186" t="s">
        <v>398</v>
      </c>
      <c r="F186" t="str">
        <f>"1421534134"</f>
        <v>1421534134</v>
      </c>
      <c r="G186" t="str">
        <f>"9781421534138"</f>
        <v>9781421534138</v>
      </c>
      <c r="H186">
        <v>5</v>
      </c>
      <c r="I186">
        <v>4.63</v>
      </c>
      <c r="J186" t="s">
        <v>27</v>
      </c>
      <c r="K186" t="s">
        <v>28</v>
      </c>
      <c r="L186">
        <v>184</v>
      </c>
      <c r="M186">
        <v>2010</v>
      </c>
      <c r="N186">
        <v>2009</v>
      </c>
      <c r="O186" s="1">
        <v>44864</v>
      </c>
      <c r="P186" s="1">
        <v>44863</v>
      </c>
      <c r="S186" t="s">
        <v>29</v>
      </c>
      <c r="W186">
        <v>1</v>
      </c>
      <c r="X186">
        <v>0</v>
      </c>
    </row>
    <row r="187" spans="1:24" x14ac:dyDescent="0.25">
      <c r="A187">
        <v>28818950</v>
      </c>
      <c r="B187" t="s">
        <v>415</v>
      </c>
      <c r="C187" t="s">
        <v>416</v>
      </c>
      <c r="D187" t="s">
        <v>417</v>
      </c>
      <c r="E187" t="s">
        <v>418</v>
      </c>
      <c r="F187" t="str">
        <f>"1626868026"</f>
        <v>1626868026</v>
      </c>
      <c r="G187" t="str">
        <f>"9781626868021"</f>
        <v>9781626868021</v>
      </c>
      <c r="H187">
        <v>0</v>
      </c>
      <c r="I187">
        <v>4.24</v>
      </c>
      <c r="J187" t="s">
        <v>419</v>
      </c>
      <c r="K187" t="s">
        <v>420</v>
      </c>
      <c r="L187">
        <v>592</v>
      </c>
      <c r="M187">
        <v>2016</v>
      </c>
      <c r="N187">
        <v>2013</v>
      </c>
      <c r="P187" s="1">
        <v>44863</v>
      </c>
      <c r="Q187" t="s">
        <v>35</v>
      </c>
      <c r="R187" t="s">
        <v>421</v>
      </c>
      <c r="S187" t="s">
        <v>35</v>
      </c>
      <c r="W187">
        <v>0</v>
      </c>
      <c r="X187">
        <v>0</v>
      </c>
    </row>
    <row r="188" spans="1:24" x14ac:dyDescent="0.25">
      <c r="A188">
        <v>6506079</v>
      </c>
      <c r="B188" t="s">
        <v>422</v>
      </c>
      <c r="C188" t="s">
        <v>394</v>
      </c>
      <c r="D188" t="s">
        <v>395</v>
      </c>
      <c r="E188" t="s">
        <v>398</v>
      </c>
      <c r="F188" t="str">
        <f>"1421532328"</f>
        <v>1421532328</v>
      </c>
      <c r="G188" t="str">
        <f>"9781421532325"</f>
        <v>9781421532325</v>
      </c>
      <c r="H188">
        <v>5</v>
      </c>
      <c r="I188">
        <v>4.63</v>
      </c>
      <c r="J188" t="s">
        <v>27</v>
      </c>
      <c r="K188" t="s">
        <v>28</v>
      </c>
      <c r="L188">
        <v>192</v>
      </c>
      <c r="M188">
        <v>2009</v>
      </c>
      <c r="N188">
        <v>2008</v>
      </c>
      <c r="O188" s="1">
        <v>44863</v>
      </c>
      <c r="P188" s="1">
        <v>44863</v>
      </c>
      <c r="S188" t="s">
        <v>29</v>
      </c>
      <c r="W188">
        <v>1</v>
      </c>
      <c r="X188">
        <v>0</v>
      </c>
    </row>
    <row r="189" spans="1:24" x14ac:dyDescent="0.25">
      <c r="A189">
        <v>6408558</v>
      </c>
      <c r="B189" t="s">
        <v>423</v>
      </c>
      <c r="C189" t="s">
        <v>394</v>
      </c>
      <c r="D189" t="s">
        <v>395</v>
      </c>
      <c r="E189" t="s">
        <v>398</v>
      </c>
      <c r="F189" t="str">
        <f>"1421530341"</f>
        <v>1421530341</v>
      </c>
      <c r="G189" t="str">
        <f>"9781421530345"</f>
        <v>9781421530345</v>
      </c>
      <c r="H189">
        <v>5</v>
      </c>
      <c r="I189">
        <v>4.63</v>
      </c>
      <c r="J189" t="s">
        <v>27</v>
      </c>
      <c r="K189" t="s">
        <v>28</v>
      </c>
      <c r="L189">
        <v>200</v>
      </c>
      <c r="M189">
        <v>2009</v>
      </c>
      <c r="N189">
        <v>2008</v>
      </c>
      <c r="O189" s="1">
        <v>44863</v>
      </c>
      <c r="P189" s="1">
        <v>44863</v>
      </c>
      <c r="S189" t="s">
        <v>29</v>
      </c>
      <c r="W189">
        <v>1</v>
      </c>
      <c r="X189">
        <v>0</v>
      </c>
    </row>
    <row r="190" spans="1:24" x14ac:dyDescent="0.25">
      <c r="A190">
        <v>6065429</v>
      </c>
      <c r="B190" t="s">
        <v>424</v>
      </c>
      <c r="C190" t="s">
        <v>394</v>
      </c>
      <c r="D190" t="s">
        <v>395</v>
      </c>
      <c r="E190" t="s">
        <v>398</v>
      </c>
      <c r="F190" t="str">
        <f>"1421525682"</f>
        <v>1421525682</v>
      </c>
      <c r="G190" t="str">
        <f>"9781421525686"</f>
        <v>9781421525686</v>
      </c>
      <c r="H190">
        <v>5</v>
      </c>
      <c r="I190">
        <v>4.62</v>
      </c>
      <c r="J190" t="s">
        <v>27</v>
      </c>
      <c r="K190" t="s">
        <v>28</v>
      </c>
      <c r="L190">
        <v>192</v>
      </c>
      <c r="M190">
        <v>2009</v>
      </c>
      <c r="N190">
        <v>2008</v>
      </c>
      <c r="O190" s="1">
        <v>44863</v>
      </c>
      <c r="P190" s="1">
        <v>44863</v>
      </c>
      <c r="S190" t="s">
        <v>29</v>
      </c>
      <c r="W190">
        <v>1</v>
      </c>
      <c r="X190">
        <v>0</v>
      </c>
    </row>
    <row r="191" spans="1:24" x14ac:dyDescent="0.25">
      <c r="A191">
        <v>4341085</v>
      </c>
      <c r="B191" t="s">
        <v>425</v>
      </c>
      <c r="C191" t="s">
        <v>394</v>
      </c>
      <c r="D191" t="s">
        <v>395</v>
      </c>
      <c r="E191" t="s">
        <v>398</v>
      </c>
      <c r="F191" t="str">
        <f>"1421525364"</f>
        <v>1421525364</v>
      </c>
      <c r="G191" t="str">
        <f>"9781421525365"</f>
        <v>9781421525365</v>
      </c>
      <c r="H191">
        <v>5</v>
      </c>
      <c r="I191">
        <v>4.5999999999999996</v>
      </c>
      <c r="J191" t="s">
        <v>27</v>
      </c>
      <c r="K191" t="s">
        <v>28</v>
      </c>
      <c r="L191">
        <v>182</v>
      </c>
      <c r="M191">
        <v>2009</v>
      </c>
      <c r="N191">
        <v>2007</v>
      </c>
      <c r="O191" s="1">
        <v>44863</v>
      </c>
      <c r="P191" s="1">
        <v>44863</v>
      </c>
      <c r="S191" t="s">
        <v>29</v>
      </c>
      <c r="W191">
        <v>1</v>
      </c>
      <c r="X191">
        <v>0</v>
      </c>
    </row>
    <row r="192" spans="1:24" x14ac:dyDescent="0.25">
      <c r="A192">
        <v>2855165</v>
      </c>
      <c r="B192" t="s">
        <v>426</v>
      </c>
      <c r="C192" t="s">
        <v>394</v>
      </c>
      <c r="D192" t="s">
        <v>395</v>
      </c>
      <c r="E192" t="s">
        <v>398</v>
      </c>
      <c r="F192" t="str">
        <f>"142152161X"</f>
        <v>142152161X</v>
      </c>
      <c r="G192" t="str">
        <f>"9781421521619"</f>
        <v>9781421521619</v>
      </c>
      <c r="H192">
        <v>5</v>
      </c>
      <c r="I192">
        <v>4.58</v>
      </c>
      <c r="J192" t="s">
        <v>27</v>
      </c>
      <c r="K192" t="s">
        <v>28</v>
      </c>
      <c r="L192">
        <v>176</v>
      </c>
      <c r="M192">
        <v>2008</v>
      </c>
      <c r="N192">
        <v>2007</v>
      </c>
      <c r="O192" s="1">
        <v>44863</v>
      </c>
      <c r="P192" s="1">
        <v>44863</v>
      </c>
      <c r="S192" t="s">
        <v>29</v>
      </c>
      <c r="W192">
        <v>1</v>
      </c>
      <c r="X192">
        <v>0</v>
      </c>
    </row>
    <row r="193" spans="1:24" x14ac:dyDescent="0.25">
      <c r="A193">
        <v>1610998</v>
      </c>
      <c r="B193" t="s">
        <v>427</v>
      </c>
      <c r="C193" t="s">
        <v>394</v>
      </c>
      <c r="D193" t="s">
        <v>395</v>
      </c>
      <c r="E193" t="s">
        <v>398</v>
      </c>
      <c r="F193" t="str">
        <f>"1421513811"</f>
        <v>1421513811</v>
      </c>
      <c r="G193" t="str">
        <f>"9781421513812"</f>
        <v>9781421513812</v>
      </c>
      <c r="H193">
        <v>5</v>
      </c>
      <c r="I193">
        <v>4.55</v>
      </c>
      <c r="J193" t="s">
        <v>27</v>
      </c>
      <c r="K193" t="s">
        <v>28</v>
      </c>
      <c r="L193">
        <v>183</v>
      </c>
      <c r="M193">
        <v>2008</v>
      </c>
      <c r="N193">
        <v>2007</v>
      </c>
      <c r="O193" s="1">
        <v>44863</v>
      </c>
      <c r="P193" s="1">
        <v>44863</v>
      </c>
      <c r="S193" t="s">
        <v>29</v>
      </c>
      <c r="W193">
        <v>1</v>
      </c>
      <c r="X193">
        <v>0</v>
      </c>
    </row>
    <row r="194" spans="1:24" x14ac:dyDescent="0.25">
      <c r="A194">
        <v>526672</v>
      </c>
      <c r="B194" t="s">
        <v>428</v>
      </c>
      <c r="C194" t="s">
        <v>394</v>
      </c>
      <c r="D194" t="s">
        <v>395</v>
      </c>
      <c r="E194" t="s">
        <v>398</v>
      </c>
      <c r="F194" t="str">
        <f>"1421513803"</f>
        <v>1421513803</v>
      </c>
      <c r="G194" t="str">
        <f>"9781421513805"</f>
        <v>9781421513805</v>
      </c>
      <c r="H194">
        <v>5</v>
      </c>
      <c r="I194">
        <v>4.5999999999999996</v>
      </c>
      <c r="J194" t="s">
        <v>27</v>
      </c>
      <c r="K194" t="s">
        <v>28</v>
      </c>
      <c r="L194">
        <v>174</v>
      </c>
      <c r="M194">
        <v>2007</v>
      </c>
      <c r="N194">
        <v>2006</v>
      </c>
      <c r="O194" s="1">
        <v>44863</v>
      </c>
      <c r="P194" s="1">
        <v>44862</v>
      </c>
      <c r="S194" t="s">
        <v>29</v>
      </c>
      <c r="W194">
        <v>1</v>
      </c>
      <c r="X194">
        <v>0</v>
      </c>
    </row>
    <row r="195" spans="1:24" x14ac:dyDescent="0.25">
      <c r="A195">
        <v>26422</v>
      </c>
      <c r="B195" t="s">
        <v>429</v>
      </c>
      <c r="C195" t="s">
        <v>394</v>
      </c>
      <c r="D195" t="s">
        <v>395</v>
      </c>
      <c r="E195" t="s">
        <v>398</v>
      </c>
      <c r="F195" t="str">
        <f>"142151379X"</f>
        <v>142151379X</v>
      </c>
      <c r="G195" t="str">
        <f>"9781421513799"</f>
        <v>9781421513799</v>
      </c>
      <c r="H195">
        <v>5</v>
      </c>
      <c r="I195">
        <v>4.59</v>
      </c>
      <c r="J195" t="s">
        <v>27</v>
      </c>
      <c r="K195" t="s">
        <v>28</v>
      </c>
      <c r="L195">
        <v>172</v>
      </c>
      <c r="M195">
        <v>2007</v>
      </c>
      <c r="N195">
        <v>2006</v>
      </c>
      <c r="O195" s="1">
        <v>44862</v>
      </c>
      <c r="P195" s="1">
        <v>44862</v>
      </c>
      <c r="S195" t="s">
        <v>29</v>
      </c>
      <c r="W195">
        <v>1</v>
      </c>
      <c r="X195">
        <v>0</v>
      </c>
    </row>
    <row r="196" spans="1:24" x14ac:dyDescent="0.25">
      <c r="A196">
        <v>82638</v>
      </c>
      <c r="B196" t="s">
        <v>430</v>
      </c>
      <c r="C196" t="s">
        <v>394</v>
      </c>
      <c r="D196" t="s">
        <v>395</v>
      </c>
      <c r="E196" t="s">
        <v>398</v>
      </c>
      <c r="F196" t="str">
        <f>"1421511584"</f>
        <v>1421511584</v>
      </c>
      <c r="G196" t="str">
        <f>"9781421511580"</f>
        <v>9781421511580</v>
      </c>
      <c r="H196">
        <v>5</v>
      </c>
      <c r="I196">
        <v>4.62</v>
      </c>
      <c r="J196" t="s">
        <v>27</v>
      </c>
      <c r="K196" t="s">
        <v>28</v>
      </c>
      <c r="L196">
        <v>186</v>
      </c>
      <c r="M196">
        <v>2007</v>
      </c>
      <c r="N196">
        <v>2006</v>
      </c>
      <c r="O196" s="1">
        <v>44862</v>
      </c>
      <c r="P196" s="1">
        <v>44862</v>
      </c>
      <c r="S196" t="s">
        <v>29</v>
      </c>
      <c r="W196">
        <v>1</v>
      </c>
      <c r="X196">
        <v>0</v>
      </c>
    </row>
    <row r="197" spans="1:24" x14ac:dyDescent="0.25">
      <c r="A197">
        <v>26426</v>
      </c>
      <c r="B197" t="s">
        <v>431</v>
      </c>
      <c r="C197" t="s">
        <v>394</v>
      </c>
      <c r="D197" t="s">
        <v>395</v>
      </c>
      <c r="E197" t="s">
        <v>398</v>
      </c>
      <c r="F197" t="str">
        <f>"1421508397"</f>
        <v>1421508397</v>
      </c>
      <c r="G197" t="str">
        <f>"9781421508399"</f>
        <v>9781421508399</v>
      </c>
      <c r="H197">
        <v>5</v>
      </c>
      <c r="I197">
        <v>4.5999999999999996</v>
      </c>
      <c r="J197" t="s">
        <v>27</v>
      </c>
      <c r="K197" t="s">
        <v>28</v>
      </c>
      <c r="L197">
        <v>180</v>
      </c>
      <c r="M197">
        <v>2007</v>
      </c>
      <c r="N197">
        <v>2005</v>
      </c>
      <c r="O197" s="1">
        <v>44862</v>
      </c>
      <c r="P197" s="1">
        <v>44862</v>
      </c>
      <c r="S197" t="s">
        <v>29</v>
      </c>
      <c r="W197">
        <v>1</v>
      </c>
      <c r="X197">
        <v>0</v>
      </c>
    </row>
    <row r="198" spans="1:24" x14ac:dyDescent="0.25">
      <c r="A198">
        <v>23506</v>
      </c>
      <c r="B198" t="s">
        <v>432</v>
      </c>
      <c r="C198" t="s">
        <v>394</v>
      </c>
      <c r="D198" t="s">
        <v>395</v>
      </c>
      <c r="E198" t="s">
        <v>398</v>
      </c>
      <c r="F198" t="str">
        <f>"1421508389"</f>
        <v>1421508389</v>
      </c>
      <c r="G198" t="str">
        <f>"9781421508382"</f>
        <v>9781421508382</v>
      </c>
      <c r="H198">
        <v>5</v>
      </c>
      <c r="I198">
        <v>4.59</v>
      </c>
      <c r="J198" t="s">
        <v>27</v>
      </c>
      <c r="K198" t="s">
        <v>28</v>
      </c>
      <c r="L198">
        <v>182</v>
      </c>
      <c r="M198">
        <v>2007</v>
      </c>
      <c r="N198">
        <v>2005</v>
      </c>
      <c r="O198" s="1">
        <v>44862</v>
      </c>
      <c r="P198" s="1">
        <v>44862</v>
      </c>
      <c r="S198" t="s">
        <v>29</v>
      </c>
      <c r="W198">
        <v>1</v>
      </c>
      <c r="X198">
        <v>0</v>
      </c>
    </row>
    <row r="199" spans="1:24" x14ac:dyDescent="0.25">
      <c r="A199">
        <v>9325</v>
      </c>
      <c r="B199" t="s">
        <v>433</v>
      </c>
      <c r="C199" t="s">
        <v>394</v>
      </c>
      <c r="D199" t="s">
        <v>395</v>
      </c>
      <c r="E199" t="s">
        <v>398</v>
      </c>
      <c r="F199" t="str">
        <f>"1421504618"</f>
        <v>1421504618</v>
      </c>
      <c r="G199" t="str">
        <f>"9781421504612"</f>
        <v>9781421504612</v>
      </c>
      <c r="H199">
        <v>5</v>
      </c>
      <c r="I199">
        <v>4.5999999999999996</v>
      </c>
      <c r="J199" t="s">
        <v>27</v>
      </c>
      <c r="K199" t="s">
        <v>28</v>
      </c>
      <c r="L199">
        <v>184</v>
      </c>
      <c r="M199">
        <v>2006</v>
      </c>
      <c r="N199">
        <v>2005</v>
      </c>
      <c r="O199" s="1">
        <v>44862</v>
      </c>
      <c r="P199" s="1">
        <v>44862</v>
      </c>
      <c r="S199" t="s">
        <v>29</v>
      </c>
      <c r="W199">
        <v>1</v>
      </c>
      <c r="X199">
        <v>0</v>
      </c>
    </row>
    <row r="200" spans="1:24" x14ac:dyDescent="0.25">
      <c r="A200">
        <v>866</v>
      </c>
      <c r="B200" t="s">
        <v>434</v>
      </c>
      <c r="C200" t="s">
        <v>394</v>
      </c>
      <c r="D200" t="s">
        <v>395</v>
      </c>
      <c r="E200" t="s">
        <v>398</v>
      </c>
      <c r="F200" t="str">
        <f>"142150460X"</f>
        <v>142150460X</v>
      </c>
      <c r="G200" t="str">
        <f>"9781421504605"</f>
        <v>9781421504605</v>
      </c>
      <c r="H200">
        <v>5</v>
      </c>
      <c r="I200">
        <v>4.57</v>
      </c>
      <c r="J200" t="s">
        <v>27</v>
      </c>
      <c r="K200" t="s">
        <v>28</v>
      </c>
      <c r="L200">
        <v>178</v>
      </c>
      <c r="M200">
        <v>2006</v>
      </c>
      <c r="N200">
        <v>2004</v>
      </c>
      <c r="O200" s="1">
        <v>44862</v>
      </c>
      <c r="P200" s="1">
        <v>44861</v>
      </c>
      <c r="S200" t="s">
        <v>29</v>
      </c>
      <c r="W200">
        <v>1</v>
      </c>
      <c r="X200">
        <v>0</v>
      </c>
    </row>
    <row r="201" spans="1:24" x14ac:dyDescent="0.25">
      <c r="A201">
        <v>1841119</v>
      </c>
      <c r="B201" t="s">
        <v>435</v>
      </c>
      <c r="C201" t="s">
        <v>332</v>
      </c>
      <c r="D201" t="s">
        <v>333</v>
      </c>
      <c r="F201" t="str">
        <f>"1569318077"</f>
        <v>1569318077</v>
      </c>
      <c r="G201" t="str">
        <f>"9781569318072"</f>
        <v>9781569318072</v>
      </c>
      <c r="H201">
        <v>3</v>
      </c>
      <c r="I201">
        <v>4.47</v>
      </c>
      <c r="J201" t="s">
        <v>334</v>
      </c>
      <c r="K201" t="s">
        <v>28</v>
      </c>
      <c r="L201">
        <v>192</v>
      </c>
      <c r="M201">
        <v>2003</v>
      </c>
      <c r="N201">
        <v>1991</v>
      </c>
      <c r="O201" s="1">
        <v>44861</v>
      </c>
      <c r="P201" s="1">
        <v>44861</v>
      </c>
      <c r="S201" t="s">
        <v>29</v>
      </c>
      <c r="W201">
        <v>1</v>
      </c>
      <c r="X201">
        <v>0</v>
      </c>
    </row>
    <row r="202" spans="1:24" x14ac:dyDescent="0.25">
      <c r="A202">
        <v>1841120</v>
      </c>
      <c r="B202" t="s">
        <v>436</v>
      </c>
      <c r="C202" t="s">
        <v>332</v>
      </c>
      <c r="D202" t="s">
        <v>333</v>
      </c>
      <c r="F202" t="str">
        <f>"1569319391"</f>
        <v>1569319391</v>
      </c>
      <c r="G202" t="str">
        <f>"9781569319390"</f>
        <v>9781569319390</v>
      </c>
      <c r="H202">
        <v>3</v>
      </c>
      <c r="I202">
        <v>4.4400000000000004</v>
      </c>
      <c r="J202" t="s">
        <v>334</v>
      </c>
      <c r="K202" t="s">
        <v>28</v>
      </c>
      <c r="L202">
        <v>192</v>
      </c>
      <c r="M202">
        <v>2003</v>
      </c>
      <c r="N202">
        <v>1991</v>
      </c>
      <c r="O202" s="1">
        <v>44861</v>
      </c>
      <c r="P202" s="1">
        <v>44861</v>
      </c>
      <c r="S202" t="s">
        <v>29</v>
      </c>
      <c r="W202">
        <v>1</v>
      </c>
      <c r="X202">
        <v>0</v>
      </c>
    </row>
    <row r="203" spans="1:24" x14ac:dyDescent="0.25">
      <c r="A203">
        <v>1306115</v>
      </c>
      <c r="B203" t="s">
        <v>437</v>
      </c>
      <c r="C203" t="s">
        <v>332</v>
      </c>
      <c r="D203" t="s">
        <v>333</v>
      </c>
      <c r="F203" t="str">
        <f>"1569319383"</f>
        <v>1569319383</v>
      </c>
      <c r="G203" t="str">
        <f>"9781569319383"</f>
        <v>9781569319383</v>
      </c>
      <c r="H203">
        <v>3</v>
      </c>
      <c r="I203">
        <v>4.37</v>
      </c>
      <c r="J203" t="s">
        <v>334</v>
      </c>
      <c r="K203" t="s">
        <v>28</v>
      </c>
      <c r="L203">
        <v>192</v>
      </c>
      <c r="M203">
        <v>2003</v>
      </c>
      <c r="N203">
        <v>1991</v>
      </c>
      <c r="O203" s="1">
        <v>44861</v>
      </c>
      <c r="P203" s="1">
        <v>44861</v>
      </c>
      <c r="S203" t="s">
        <v>29</v>
      </c>
      <c r="W203">
        <v>1</v>
      </c>
      <c r="X203">
        <v>0</v>
      </c>
    </row>
    <row r="204" spans="1:24" x14ac:dyDescent="0.25">
      <c r="A204">
        <v>1841222</v>
      </c>
      <c r="B204" t="s">
        <v>438</v>
      </c>
      <c r="C204" t="s">
        <v>332</v>
      </c>
      <c r="D204" t="s">
        <v>333</v>
      </c>
      <c r="F204" t="str">
        <f>"1569319375"</f>
        <v>1569319375</v>
      </c>
      <c r="G204" t="str">
        <f>"9781569319376"</f>
        <v>9781569319376</v>
      </c>
      <c r="H204">
        <v>4</v>
      </c>
      <c r="I204">
        <v>4.33</v>
      </c>
      <c r="J204" t="s">
        <v>334</v>
      </c>
      <c r="K204" t="s">
        <v>28</v>
      </c>
      <c r="L204">
        <v>192</v>
      </c>
      <c r="M204">
        <v>2003</v>
      </c>
      <c r="N204">
        <v>1991</v>
      </c>
      <c r="O204" s="1">
        <v>44861</v>
      </c>
      <c r="P204" s="1">
        <v>44860</v>
      </c>
      <c r="S204" t="s">
        <v>29</v>
      </c>
      <c r="W204">
        <v>1</v>
      </c>
      <c r="X204">
        <v>0</v>
      </c>
    </row>
    <row r="205" spans="1:24" x14ac:dyDescent="0.25">
      <c r="A205">
        <v>869</v>
      </c>
      <c r="B205" t="s">
        <v>439</v>
      </c>
      <c r="C205" t="s">
        <v>394</v>
      </c>
      <c r="D205" t="s">
        <v>395</v>
      </c>
      <c r="E205" t="s">
        <v>398</v>
      </c>
      <c r="F205" t="str">
        <f>"1421504596"</f>
        <v>1421504596</v>
      </c>
      <c r="G205" t="str">
        <f>"9781421504599"</f>
        <v>9781421504599</v>
      </c>
      <c r="H205">
        <v>5</v>
      </c>
      <c r="I205">
        <v>4.5599999999999996</v>
      </c>
      <c r="J205" t="s">
        <v>27</v>
      </c>
      <c r="K205" t="s">
        <v>28</v>
      </c>
      <c r="L205">
        <v>170</v>
      </c>
      <c r="M205">
        <v>2006</v>
      </c>
      <c r="N205">
        <v>2004</v>
      </c>
      <c r="O205" s="1">
        <v>44861</v>
      </c>
      <c r="P205" s="1">
        <v>44861</v>
      </c>
      <c r="S205" t="s">
        <v>29</v>
      </c>
      <c r="W205">
        <v>1</v>
      </c>
      <c r="X205">
        <v>0</v>
      </c>
    </row>
    <row r="206" spans="1:24" x14ac:dyDescent="0.25">
      <c r="A206">
        <v>82637</v>
      </c>
      <c r="B206" t="s">
        <v>440</v>
      </c>
      <c r="C206" t="s">
        <v>394</v>
      </c>
      <c r="D206" t="s">
        <v>395</v>
      </c>
      <c r="E206" t="s">
        <v>398</v>
      </c>
      <c r="F206" t="str">
        <f>"1421504588"</f>
        <v>1421504588</v>
      </c>
      <c r="G206" t="str">
        <f>"9781421504582"</f>
        <v>9781421504582</v>
      </c>
      <c r="H206">
        <v>5</v>
      </c>
      <c r="I206">
        <v>4.5599999999999996</v>
      </c>
      <c r="J206" t="s">
        <v>27</v>
      </c>
      <c r="K206" t="s">
        <v>28</v>
      </c>
      <c r="L206">
        <v>178</v>
      </c>
      <c r="M206">
        <v>2006</v>
      </c>
      <c r="N206">
        <v>2004</v>
      </c>
      <c r="O206" s="1">
        <v>44861</v>
      </c>
      <c r="P206" s="1">
        <v>44861</v>
      </c>
      <c r="S206" t="s">
        <v>29</v>
      </c>
      <c r="W206">
        <v>1</v>
      </c>
      <c r="X206">
        <v>0</v>
      </c>
    </row>
    <row r="207" spans="1:24" x14ac:dyDescent="0.25">
      <c r="A207">
        <v>44734</v>
      </c>
      <c r="B207" t="s">
        <v>441</v>
      </c>
      <c r="C207" t="s">
        <v>394</v>
      </c>
      <c r="D207" t="s">
        <v>395</v>
      </c>
      <c r="E207" t="s">
        <v>398</v>
      </c>
      <c r="F207" t="str">
        <f>"1421503190"</f>
        <v>1421503190</v>
      </c>
      <c r="G207" t="str">
        <f>"9781421503196"</f>
        <v>9781421503196</v>
      </c>
      <c r="H207">
        <v>5</v>
      </c>
      <c r="I207">
        <v>4.58</v>
      </c>
      <c r="J207" t="s">
        <v>27</v>
      </c>
      <c r="K207" t="s">
        <v>28</v>
      </c>
      <c r="L207">
        <v>186</v>
      </c>
      <c r="M207">
        <v>2006</v>
      </c>
      <c r="N207">
        <v>2003</v>
      </c>
      <c r="O207" s="1">
        <v>44861</v>
      </c>
      <c r="P207" s="1">
        <v>44860</v>
      </c>
      <c r="S207" t="s">
        <v>29</v>
      </c>
      <c r="W207">
        <v>1</v>
      </c>
      <c r="X207">
        <v>0</v>
      </c>
    </row>
    <row r="208" spans="1:24" x14ac:dyDescent="0.25">
      <c r="A208">
        <v>41721428</v>
      </c>
      <c r="B208" t="s">
        <v>442</v>
      </c>
      <c r="C208" t="s">
        <v>443</v>
      </c>
      <c r="D208" t="s">
        <v>444</v>
      </c>
      <c r="F208" t="str">
        <f>""</f>
        <v/>
      </c>
      <c r="G208" t="str">
        <f>""</f>
        <v/>
      </c>
      <c r="H208">
        <v>3</v>
      </c>
      <c r="I208">
        <v>4.3600000000000003</v>
      </c>
      <c r="J208" t="s">
        <v>445</v>
      </c>
      <c r="K208" t="s">
        <v>133</v>
      </c>
      <c r="L208">
        <v>366</v>
      </c>
      <c r="M208">
        <v>2018</v>
      </c>
      <c r="N208">
        <v>2018</v>
      </c>
      <c r="O208" s="1">
        <v>44860</v>
      </c>
      <c r="P208" s="1">
        <v>44853</v>
      </c>
      <c r="S208" t="s">
        <v>29</v>
      </c>
      <c r="W208">
        <v>1</v>
      </c>
      <c r="X208">
        <v>0</v>
      </c>
    </row>
    <row r="209" spans="1:24" x14ac:dyDescent="0.25">
      <c r="A209">
        <v>9326</v>
      </c>
      <c r="B209" t="s">
        <v>446</v>
      </c>
      <c r="C209" t="s">
        <v>394</v>
      </c>
      <c r="D209" t="s">
        <v>395</v>
      </c>
      <c r="E209" t="s">
        <v>398</v>
      </c>
      <c r="F209" t="str">
        <f>"1421501759"</f>
        <v>1421501759</v>
      </c>
      <c r="G209" t="str">
        <f>"9781421501758"</f>
        <v>9781421501758</v>
      </c>
      <c r="H209">
        <v>5</v>
      </c>
      <c r="I209">
        <v>4.55</v>
      </c>
      <c r="J209" t="s">
        <v>27</v>
      </c>
      <c r="K209" t="s">
        <v>28</v>
      </c>
      <c r="L209">
        <v>188</v>
      </c>
      <c r="M209">
        <v>2006</v>
      </c>
      <c r="N209">
        <v>2003</v>
      </c>
      <c r="O209" s="1">
        <v>44860</v>
      </c>
      <c r="P209" s="1">
        <v>44860</v>
      </c>
      <c r="S209" t="s">
        <v>29</v>
      </c>
      <c r="W209">
        <v>1</v>
      </c>
      <c r="X209">
        <v>0</v>
      </c>
    </row>
    <row r="210" spans="1:24" x14ac:dyDescent="0.25">
      <c r="A210">
        <v>871</v>
      </c>
      <c r="B210" t="s">
        <v>447</v>
      </c>
      <c r="C210" t="s">
        <v>394</v>
      </c>
      <c r="D210" t="s">
        <v>395</v>
      </c>
      <c r="E210" t="s">
        <v>398</v>
      </c>
      <c r="F210" t="str">
        <f>"1591169291"</f>
        <v>1591169291</v>
      </c>
      <c r="G210" t="str">
        <f>"9781591169291"</f>
        <v>9781591169291</v>
      </c>
      <c r="H210">
        <v>5</v>
      </c>
      <c r="I210">
        <v>4.55</v>
      </c>
      <c r="J210" t="s">
        <v>27</v>
      </c>
      <c r="K210" t="s">
        <v>28</v>
      </c>
      <c r="L210">
        <v>184</v>
      </c>
      <c r="M210">
        <v>2005</v>
      </c>
      <c r="N210">
        <v>2003</v>
      </c>
      <c r="O210" s="1">
        <v>44860</v>
      </c>
      <c r="P210" s="1">
        <v>44853</v>
      </c>
      <c r="S210" t="s">
        <v>29</v>
      </c>
      <c r="W210">
        <v>1</v>
      </c>
      <c r="X210">
        <v>0</v>
      </c>
    </row>
    <row r="211" spans="1:24" x14ac:dyDescent="0.25">
      <c r="A211">
        <v>1841240</v>
      </c>
      <c r="B211" t="s">
        <v>448</v>
      </c>
      <c r="C211" t="s">
        <v>332</v>
      </c>
      <c r="D211" t="s">
        <v>333</v>
      </c>
      <c r="F211" t="str">
        <f>"1569316988"</f>
        <v>1569316988</v>
      </c>
      <c r="G211" t="str">
        <f>"9781569316986"</f>
        <v>9781569316986</v>
      </c>
      <c r="H211">
        <v>5</v>
      </c>
      <c r="I211">
        <v>4.32</v>
      </c>
      <c r="J211" t="s">
        <v>334</v>
      </c>
      <c r="K211" t="s">
        <v>28</v>
      </c>
      <c r="L211">
        <v>192</v>
      </c>
      <c r="M211">
        <v>2003</v>
      </c>
      <c r="N211">
        <v>1990</v>
      </c>
      <c r="O211" s="1">
        <v>44860</v>
      </c>
      <c r="P211" s="1">
        <v>44860</v>
      </c>
      <c r="S211" t="s">
        <v>29</v>
      </c>
      <c r="W211">
        <v>1</v>
      </c>
      <c r="X211">
        <v>0</v>
      </c>
    </row>
    <row r="212" spans="1:24" x14ac:dyDescent="0.25">
      <c r="A212">
        <v>66288</v>
      </c>
      <c r="B212" t="s">
        <v>449</v>
      </c>
      <c r="C212" t="s">
        <v>332</v>
      </c>
      <c r="D212" t="s">
        <v>333</v>
      </c>
      <c r="F212" t="str">
        <f>"1569319359"</f>
        <v>1569319359</v>
      </c>
      <c r="G212" t="str">
        <f>"9781569319352"</f>
        <v>9781569319352</v>
      </c>
      <c r="H212">
        <v>5</v>
      </c>
      <c r="I212">
        <v>4.29</v>
      </c>
      <c r="J212" t="s">
        <v>334</v>
      </c>
      <c r="K212" t="s">
        <v>28</v>
      </c>
      <c r="L212">
        <v>192</v>
      </c>
      <c r="M212">
        <v>2003</v>
      </c>
      <c r="N212">
        <v>1990</v>
      </c>
      <c r="O212" s="1">
        <v>44860</v>
      </c>
      <c r="P212" s="1">
        <v>44859</v>
      </c>
      <c r="S212" t="s">
        <v>29</v>
      </c>
      <c r="W212">
        <v>1</v>
      </c>
      <c r="X212">
        <v>0</v>
      </c>
    </row>
    <row r="213" spans="1:24" x14ac:dyDescent="0.25">
      <c r="A213">
        <v>32805475</v>
      </c>
      <c r="B213" t="s">
        <v>450</v>
      </c>
      <c r="C213" t="s">
        <v>451</v>
      </c>
      <c r="D213" t="s">
        <v>452</v>
      </c>
      <c r="F213" t="str">
        <f>""</f>
        <v/>
      </c>
      <c r="G213" t="str">
        <f>""</f>
        <v/>
      </c>
      <c r="H213">
        <v>0</v>
      </c>
      <c r="I213">
        <v>4.5199999999999996</v>
      </c>
      <c r="J213" t="s">
        <v>453</v>
      </c>
      <c r="K213" t="s">
        <v>28</v>
      </c>
      <c r="L213">
        <v>320</v>
      </c>
      <c r="M213">
        <v>2018</v>
      </c>
      <c r="N213">
        <v>2018</v>
      </c>
      <c r="P213" s="1">
        <v>44859</v>
      </c>
      <c r="Q213" t="s">
        <v>35</v>
      </c>
      <c r="R213" t="s">
        <v>454</v>
      </c>
      <c r="S213" t="s">
        <v>35</v>
      </c>
      <c r="W213">
        <v>0</v>
      </c>
      <c r="X213">
        <v>0</v>
      </c>
    </row>
    <row r="214" spans="1:24" x14ac:dyDescent="0.25">
      <c r="A214">
        <v>49464</v>
      </c>
      <c r="B214" t="s">
        <v>455</v>
      </c>
      <c r="C214" t="s">
        <v>456</v>
      </c>
      <c r="D214" t="s">
        <v>457</v>
      </c>
      <c r="F214" t="str">
        <f>"1932907009"</f>
        <v>1932907009</v>
      </c>
      <c r="G214" t="str">
        <f>"9781932907001"</f>
        <v>9781932907001</v>
      </c>
      <c r="H214">
        <v>0</v>
      </c>
      <c r="I214">
        <v>4.04</v>
      </c>
      <c r="J214" t="s">
        <v>458</v>
      </c>
      <c r="K214" t="s">
        <v>28</v>
      </c>
      <c r="L214">
        <v>195</v>
      </c>
      <c r="M214">
        <v>2005</v>
      </c>
      <c r="N214">
        <v>2005</v>
      </c>
      <c r="P214" s="1">
        <v>44859</v>
      </c>
      <c r="Q214" t="s">
        <v>35</v>
      </c>
      <c r="R214" t="s">
        <v>459</v>
      </c>
      <c r="S214" t="s">
        <v>35</v>
      </c>
      <c r="W214">
        <v>0</v>
      </c>
      <c r="X214">
        <v>0</v>
      </c>
    </row>
    <row r="215" spans="1:24" x14ac:dyDescent="0.25">
      <c r="A215">
        <v>43982864</v>
      </c>
      <c r="B215" t="s">
        <v>460</v>
      </c>
      <c r="C215" t="s">
        <v>461</v>
      </c>
      <c r="D215" t="s">
        <v>462</v>
      </c>
      <c r="F215" t="str">
        <f>"1484781309"</f>
        <v>1484781309</v>
      </c>
      <c r="G215" t="str">
        <f>"9781484781302"</f>
        <v>9781484781302</v>
      </c>
      <c r="H215">
        <v>0</v>
      </c>
      <c r="I215">
        <v>3.63</v>
      </c>
      <c r="J215" t="s">
        <v>391</v>
      </c>
      <c r="K215" t="s">
        <v>34</v>
      </c>
      <c r="L215">
        <v>488</v>
      </c>
      <c r="M215">
        <v>2020</v>
      </c>
      <c r="N215">
        <v>2020</v>
      </c>
      <c r="P215" s="1">
        <v>44859</v>
      </c>
      <c r="Q215" t="s">
        <v>35</v>
      </c>
      <c r="R215" t="s">
        <v>463</v>
      </c>
      <c r="S215" t="s">
        <v>35</v>
      </c>
      <c r="W215">
        <v>0</v>
      </c>
      <c r="X215">
        <v>0</v>
      </c>
    </row>
    <row r="216" spans="1:24" x14ac:dyDescent="0.25">
      <c r="A216">
        <v>12543</v>
      </c>
      <c r="B216" t="s">
        <v>464</v>
      </c>
      <c r="C216" t="s">
        <v>465</v>
      </c>
      <c r="D216" t="s">
        <v>466</v>
      </c>
      <c r="F216" t="str">
        <f>""</f>
        <v/>
      </c>
      <c r="G216" t="str">
        <f>""</f>
        <v/>
      </c>
      <c r="H216">
        <v>0</v>
      </c>
      <c r="I216">
        <v>4.2300000000000004</v>
      </c>
      <c r="J216" t="s">
        <v>467</v>
      </c>
      <c r="K216" t="s">
        <v>28</v>
      </c>
      <c r="L216">
        <v>237</v>
      </c>
      <c r="M216">
        <v>1995</v>
      </c>
      <c r="N216">
        <v>1994</v>
      </c>
      <c r="P216" s="1">
        <v>44859</v>
      </c>
      <c r="Q216" t="s">
        <v>35</v>
      </c>
      <c r="R216" t="s">
        <v>468</v>
      </c>
      <c r="S216" t="s">
        <v>35</v>
      </c>
      <c r="W216">
        <v>0</v>
      </c>
      <c r="X216">
        <v>0</v>
      </c>
    </row>
    <row r="217" spans="1:24" x14ac:dyDescent="0.25">
      <c r="A217">
        <v>44308294</v>
      </c>
      <c r="B217" t="s">
        <v>469</v>
      </c>
      <c r="C217" t="s">
        <v>470</v>
      </c>
      <c r="D217" t="s">
        <v>471</v>
      </c>
      <c r="F217" t="str">
        <f>"1509837051"</f>
        <v>1509837051</v>
      </c>
      <c r="G217" t="str">
        <f>"9781509837052"</f>
        <v>9781509837052</v>
      </c>
      <c r="H217">
        <v>0</v>
      </c>
      <c r="I217">
        <v>4.5599999999999996</v>
      </c>
      <c r="J217" t="s">
        <v>472</v>
      </c>
      <c r="K217" t="s">
        <v>28</v>
      </c>
      <c r="L217">
        <v>360</v>
      </c>
      <c r="M217">
        <v>2019</v>
      </c>
      <c r="N217">
        <v>2019</v>
      </c>
      <c r="P217" s="1">
        <v>44859</v>
      </c>
      <c r="Q217" t="s">
        <v>35</v>
      </c>
      <c r="R217" t="s">
        <v>473</v>
      </c>
      <c r="S217" t="s">
        <v>35</v>
      </c>
      <c r="W217">
        <v>0</v>
      </c>
      <c r="X217">
        <v>0</v>
      </c>
    </row>
    <row r="218" spans="1:24" x14ac:dyDescent="0.25">
      <c r="A218">
        <v>56897484</v>
      </c>
      <c r="B218" t="s">
        <v>474</v>
      </c>
      <c r="C218" t="s">
        <v>475</v>
      </c>
      <c r="D218" t="s">
        <v>476</v>
      </c>
      <c r="F218" t="str">
        <f>"1501192620"</f>
        <v>1501192620</v>
      </c>
      <c r="G218" t="str">
        <f>"9781501192623"</f>
        <v>9781501192623</v>
      </c>
      <c r="H218">
        <v>0</v>
      </c>
      <c r="I218">
        <v>4.3499999999999996</v>
      </c>
      <c r="J218" t="s">
        <v>477</v>
      </c>
      <c r="K218" t="s">
        <v>34</v>
      </c>
      <c r="L218">
        <v>368</v>
      </c>
      <c r="M218">
        <v>2021</v>
      </c>
      <c r="N218">
        <v>2021</v>
      </c>
      <c r="P218" s="1">
        <v>44859</v>
      </c>
      <c r="Q218" t="s">
        <v>35</v>
      </c>
      <c r="R218" t="s">
        <v>478</v>
      </c>
      <c r="S218" t="s">
        <v>35</v>
      </c>
      <c r="W218">
        <v>0</v>
      </c>
      <c r="X218">
        <v>0</v>
      </c>
    </row>
    <row r="219" spans="1:24" x14ac:dyDescent="0.25">
      <c r="A219">
        <v>53713066</v>
      </c>
      <c r="B219" t="s">
        <v>479</v>
      </c>
      <c r="C219" t="s">
        <v>480</v>
      </c>
      <c r="D219" t="s">
        <v>481</v>
      </c>
      <c r="F219" t="str">
        <f>"0575132485"</f>
        <v>0575132485</v>
      </c>
      <c r="G219" t="str">
        <f>"9780575132481"</f>
        <v>9780575132481</v>
      </c>
      <c r="H219">
        <v>0</v>
      </c>
      <c r="I219">
        <v>4.17</v>
      </c>
      <c r="J219" t="s">
        <v>482</v>
      </c>
      <c r="K219" t="s">
        <v>28</v>
      </c>
      <c r="L219">
        <v>357</v>
      </c>
      <c r="M219">
        <v>2020</v>
      </c>
      <c r="N219">
        <v>2013</v>
      </c>
      <c r="P219" s="1">
        <v>44859</v>
      </c>
      <c r="Q219" t="s">
        <v>35</v>
      </c>
      <c r="R219" t="s">
        <v>483</v>
      </c>
      <c r="S219" t="s">
        <v>35</v>
      </c>
      <c r="W219">
        <v>0</v>
      </c>
      <c r="X219">
        <v>0</v>
      </c>
    </row>
    <row r="220" spans="1:24" x14ac:dyDescent="0.25">
      <c r="A220">
        <v>38349421</v>
      </c>
      <c r="B220" t="s">
        <v>484</v>
      </c>
      <c r="C220" t="s">
        <v>485</v>
      </c>
      <c r="D220" t="s">
        <v>486</v>
      </c>
      <c r="F220" t="str">
        <f>"0525574344"</f>
        <v>0525574344</v>
      </c>
      <c r="G220" t="str">
        <f>"9780525574347"</f>
        <v>9780525574347</v>
      </c>
      <c r="H220">
        <v>0</v>
      </c>
      <c r="I220">
        <v>4.24</v>
      </c>
      <c r="J220" t="s">
        <v>487</v>
      </c>
      <c r="K220" t="s">
        <v>207</v>
      </c>
      <c r="L220">
        <v>608</v>
      </c>
      <c r="M220">
        <v>2018</v>
      </c>
      <c r="N220">
        <v>2011</v>
      </c>
      <c r="P220" s="1">
        <v>44859</v>
      </c>
      <c r="Q220" t="s">
        <v>35</v>
      </c>
      <c r="R220" t="s">
        <v>488</v>
      </c>
      <c r="S220" t="s">
        <v>35</v>
      </c>
      <c r="W220">
        <v>0</v>
      </c>
      <c r="X220">
        <v>0</v>
      </c>
    </row>
    <row r="221" spans="1:24" x14ac:dyDescent="0.25">
      <c r="A221">
        <v>52633956</v>
      </c>
      <c r="B221" t="s">
        <v>489</v>
      </c>
      <c r="C221" t="s">
        <v>490</v>
      </c>
      <c r="D221" t="s">
        <v>491</v>
      </c>
      <c r="F221" t="str">
        <f>"0708899420"</f>
        <v>0708899420</v>
      </c>
      <c r="G221" t="str">
        <f>"9780708899427"</f>
        <v>9780708899427</v>
      </c>
      <c r="H221">
        <v>0</v>
      </c>
      <c r="I221">
        <v>4.2699999999999996</v>
      </c>
      <c r="J221" t="s">
        <v>492</v>
      </c>
      <c r="K221" t="s">
        <v>28</v>
      </c>
      <c r="L221">
        <v>224</v>
      </c>
      <c r="M221">
        <v>2020</v>
      </c>
      <c r="N221">
        <v>2019</v>
      </c>
      <c r="P221" s="1">
        <v>44859</v>
      </c>
      <c r="Q221" t="s">
        <v>35</v>
      </c>
      <c r="R221" t="s">
        <v>493</v>
      </c>
      <c r="S221" t="s">
        <v>35</v>
      </c>
      <c r="W221">
        <v>0</v>
      </c>
      <c r="X221">
        <v>0</v>
      </c>
    </row>
    <row r="222" spans="1:24" x14ac:dyDescent="0.25">
      <c r="A222">
        <v>48503963</v>
      </c>
      <c r="B222" t="s">
        <v>494</v>
      </c>
      <c r="C222" t="s">
        <v>495</v>
      </c>
      <c r="D222" t="s">
        <v>496</v>
      </c>
      <c r="F222" t="str">
        <f>"144727878X"</f>
        <v>144727878X</v>
      </c>
      <c r="G222" t="str">
        <f>"9781447278788"</f>
        <v>9781447278788</v>
      </c>
      <c r="H222">
        <v>0</v>
      </c>
      <c r="I222">
        <v>4.38</v>
      </c>
      <c r="J222" t="s">
        <v>497</v>
      </c>
      <c r="K222" t="s">
        <v>34</v>
      </c>
      <c r="L222">
        <v>817</v>
      </c>
      <c r="M222">
        <v>2020</v>
      </c>
      <c r="N222">
        <v>2020</v>
      </c>
      <c r="P222" s="1">
        <v>44859</v>
      </c>
      <c r="Q222" t="s">
        <v>35</v>
      </c>
      <c r="R222" t="s">
        <v>498</v>
      </c>
      <c r="S222" t="s">
        <v>35</v>
      </c>
      <c r="W222">
        <v>0</v>
      </c>
      <c r="X222">
        <v>0</v>
      </c>
    </row>
    <row r="223" spans="1:24" x14ac:dyDescent="0.25">
      <c r="A223">
        <v>49485154</v>
      </c>
      <c r="B223" t="s">
        <v>499</v>
      </c>
      <c r="C223" t="s">
        <v>500</v>
      </c>
      <c r="D223" t="s">
        <v>501</v>
      </c>
      <c r="F223" t="str">
        <f>"178747755X"</f>
        <v>178747755X</v>
      </c>
      <c r="G223" t="str">
        <f>"9781787477551"</f>
        <v>9781787477551</v>
      </c>
      <c r="H223">
        <v>0</v>
      </c>
      <c r="I223">
        <v>4.21</v>
      </c>
      <c r="J223" t="s">
        <v>502</v>
      </c>
      <c r="K223" t="s">
        <v>28</v>
      </c>
      <c r="L223">
        <v>390</v>
      </c>
      <c r="M223">
        <v>2020</v>
      </c>
      <c r="N223">
        <v>2020</v>
      </c>
      <c r="P223" s="1">
        <v>44859</v>
      </c>
      <c r="Q223" t="s">
        <v>35</v>
      </c>
      <c r="R223" t="s">
        <v>503</v>
      </c>
      <c r="S223" t="s">
        <v>35</v>
      </c>
      <c r="W223">
        <v>0</v>
      </c>
      <c r="X223">
        <v>0</v>
      </c>
    </row>
    <row r="224" spans="1:24" x14ac:dyDescent="0.25">
      <c r="A224">
        <v>34567489</v>
      </c>
      <c r="B224" t="s">
        <v>504</v>
      </c>
      <c r="C224" t="s">
        <v>505</v>
      </c>
      <c r="D224" t="s">
        <v>506</v>
      </c>
      <c r="F224" t="str">
        <f>"1250144221"</f>
        <v>1250144221</v>
      </c>
      <c r="G224" t="str">
        <f>"9781250144225"</f>
        <v>9781250144225</v>
      </c>
      <c r="H224">
        <v>0</v>
      </c>
      <c r="I224">
        <v>4.01</v>
      </c>
      <c r="J224" t="s">
        <v>507</v>
      </c>
      <c r="K224" t="s">
        <v>28</v>
      </c>
      <c r="L224">
        <v>320</v>
      </c>
      <c r="M224">
        <v>2018</v>
      </c>
      <c r="N224">
        <v>2017</v>
      </c>
      <c r="P224" s="1">
        <v>44859</v>
      </c>
      <c r="Q224" t="s">
        <v>35</v>
      </c>
      <c r="R224" t="s">
        <v>508</v>
      </c>
      <c r="S224" t="s">
        <v>35</v>
      </c>
      <c r="W224">
        <v>0</v>
      </c>
      <c r="X224">
        <v>0</v>
      </c>
    </row>
    <row r="225" spans="1:24" x14ac:dyDescent="0.25">
      <c r="A225">
        <v>40864720</v>
      </c>
      <c r="B225" t="s">
        <v>509</v>
      </c>
      <c r="C225" t="s">
        <v>510</v>
      </c>
      <c r="D225" t="s">
        <v>511</v>
      </c>
      <c r="F225" t="str">
        <f>"1250308976"</f>
        <v>1250308976</v>
      </c>
      <c r="G225" t="str">
        <f>"9781250308979"</f>
        <v>9781250308979</v>
      </c>
      <c r="H225">
        <v>0</v>
      </c>
      <c r="I225">
        <v>4.21</v>
      </c>
      <c r="J225" t="s">
        <v>507</v>
      </c>
      <c r="K225" t="s">
        <v>28</v>
      </c>
      <c r="L225">
        <v>508</v>
      </c>
      <c r="M225">
        <v>2019</v>
      </c>
      <c r="N225">
        <v>2018</v>
      </c>
      <c r="P225" s="1">
        <v>44859</v>
      </c>
      <c r="Q225" t="s">
        <v>35</v>
      </c>
      <c r="R225" t="s">
        <v>512</v>
      </c>
      <c r="S225" t="s">
        <v>35</v>
      </c>
      <c r="W225">
        <v>0</v>
      </c>
      <c r="X225">
        <v>0</v>
      </c>
    </row>
    <row r="226" spans="1:24" x14ac:dyDescent="0.25">
      <c r="A226">
        <v>969279</v>
      </c>
      <c r="B226" t="s">
        <v>513</v>
      </c>
      <c r="C226" t="s">
        <v>332</v>
      </c>
      <c r="D226" t="s">
        <v>333</v>
      </c>
      <c r="F226" t="str">
        <f>"1569319340"</f>
        <v>1569319340</v>
      </c>
      <c r="G226" t="str">
        <f>"9781569319345"</f>
        <v>9781569319345</v>
      </c>
      <c r="H226">
        <v>5</v>
      </c>
      <c r="I226">
        <v>4.3099999999999996</v>
      </c>
      <c r="J226" t="s">
        <v>334</v>
      </c>
      <c r="K226" t="s">
        <v>28</v>
      </c>
      <c r="L226">
        <v>192</v>
      </c>
      <c r="M226">
        <v>2003</v>
      </c>
      <c r="N226">
        <v>1990</v>
      </c>
      <c r="O226" s="1">
        <v>44859</v>
      </c>
      <c r="P226" s="1">
        <v>44859</v>
      </c>
      <c r="S226" t="s">
        <v>29</v>
      </c>
      <c r="W226">
        <v>1</v>
      </c>
      <c r="X226">
        <v>0</v>
      </c>
    </row>
    <row r="227" spans="1:24" x14ac:dyDescent="0.25">
      <c r="A227">
        <v>1042629</v>
      </c>
      <c r="B227" t="s">
        <v>514</v>
      </c>
      <c r="C227" t="s">
        <v>332</v>
      </c>
      <c r="D227" t="s">
        <v>333</v>
      </c>
      <c r="F227" t="str">
        <f>"1569315329"</f>
        <v>1569315329</v>
      </c>
      <c r="G227" t="str">
        <f>"9781569315323"</f>
        <v>9781569315323</v>
      </c>
      <c r="H227">
        <v>5</v>
      </c>
      <c r="I227">
        <v>4.41</v>
      </c>
      <c r="J227" t="s">
        <v>515</v>
      </c>
      <c r="K227" t="s">
        <v>28</v>
      </c>
      <c r="L227">
        <v>192</v>
      </c>
      <c r="M227">
        <v>2003</v>
      </c>
      <c r="N227">
        <v>1990</v>
      </c>
      <c r="O227" s="1">
        <v>44859</v>
      </c>
      <c r="P227" s="1">
        <v>44856</v>
      </c>
      <c r="S227" t="s">
        <v>29</v>
      </c>
      <c r="W227">
        <v>1</v>
      </c>
      <c r="X227">
        <v>0</v>
      </c>
    </row>
    <row r="228" spans="1:24" x14ac:dyDescent="0.25">
      <c r="A228">
        <v>10644930</v>
      </c>
      <c r="B228" s="1">
        <v>23337</v>
      </c>
      <c r="C228" t="s">
        <v>516</v>
      </c>
      <c r="D228" t="s">
        <v>517</v>
      </c>
      <c r="F228" t="str">
        <f>"1451627289"</f>
        <v>1451627289</v>
      </c>
      <c r="G228" t="str">
        <f>"9781451627282"</f>
        <v>9781451627282</v>
      </c>
      <c r="H228">
        <v>4</v>
      </c>
      <c r="I228">
        <v>4.32</v>
      </c>
      <c r="J228" t="s">
        <v>228</v>
      </c>
      <c r="K228" t="s">
        <v>34</v>
      </c>
      <c r="L228">
        <v>849</v>
      </c>
      <c r="M228">
        <v>2011</v>
      </c>
      <c r="N228">
        <v>2011</v>
      </c>
      <c r="O228" s="1">
        <v>44858</v>
      </c>
      <c r="P228" s="1">
        <v>44257</v>
      </c>
      <c r="S228" t="s">
        <v>29</v>
      </c>
      <c r="W228">
        <v>1</v>
      </c>
      <c r="X228">
        <v>0</v>
      </c>
    </row>
    <row r="229" spans="1:24" x14ac:dyDescent="0.25">
      <c r="A229">
        <v>54537891</v>
      </c>
      <c r="B229" t="s">
        <v>518</v>
      </c>
      <c r="C229" t="s">
        <v>519</v>
      </c>
      <c r="D229" t="s">
        <v>520</v>
      </c>
      <c r="F229" t="str">
        <f>"1190153300"</f>
        <v>1190153300</v>
      </c>
      <c r="G229" t="str">
        <f>"9791190153300"</f>
        <v>9791190153300</v>
      </c>
      <c r="H229">
        <v>5</v>
      </c>
      <c r="I229">
        <v>4.58</v>
      </c>
      <c r="J229" t="s">
        <v>521</v>
      </c>
      <c r="K229" t="s">
        <v>28</v>
      </c>
      <c r="L229">
        <v>264</v>
      </c>
      <c r="M229">
        <v>2020</v>
      </c>
      <c r="N229">
        <v>2020</v>
      </c>
      <c r="O229" s="1">
        <v>44837</v>
      </c>
      <c r="P229" s="1">
        <v>44837</v>
      </c>
      <c r="S229" t="s">
        <v>29</v>
      </c>
      <c r="W229">
        <v>1</v>
      </c>
      <c r="X229">
        <v>0</v>
      </c>
    </row>
    <row r="230" spans="1:24" x14ac:dyDescent="0.25">
      <c r="A230">
        <v>1686860</v>
      </c>
      <c r="B230" t="s">
        <v>522</v>
      </c>
      <c r="C230" t="s">
        <v>332</v>
      </c>
      <c r="D230" t="s">
        <v>333</v>
      </c>
      <c r="F230" t="str">
        <f>"1569319324"</f>
        <v>1569319324</v>
      </c>
      <c r="G230" t="str">
        <f>"9781569319321"</f>
        <v>9781569319321</v>
      </c>
      <c r="H230">
        <v>5</v>
      </c>
      <c r="I230">
        <v>4.41</v>
      </c>
      <c r="J230" t="s">
        <v>334</v>
      </c>
      <c r="K230" t="s">
        <v>28</v>
      </c>
      <c r="L230">
        <v>192</v>
      </c>
      <c r="M230">
        <v>2003</v>
      </c>
      <c r="N230">
        <v>1989</v>
      </c>
      <c r="O230" s="1">
        <v>44856</v>
      </c>
      <c r="P230" s="1">
        <v>44856</v>
      </c>
      <c r="S230" t="s">
        <v>29</v>
      </c>
      <c r="W230">
        <v>1</v>
      </c>
      <c r="X230">
        <v>0</v>
      </c>
    </row>
    <row r="231" spans="1:24" x14ac:dyDescent="0.25">
      <c r="A231">
        <v>969274</v>
      </c>
      <c r="B231" t="s">
        <v>523</v>
      </c>
      <c r="C231" t="s">
        <v>332</v>
      </c>
      <c r="D231" t="s">
        <v>333</v>
      </c>
      <c r="F231" t="str">
        <f>"1569319316"</f>
        <v>1569319316</v>
      </c>
      <c r="G231" t="str">
        <f>"9781569319314"</f>
        <v>9781569319314</v>
      </c>
      <c r="H231">
        <v>5</v>
      </c>
      <c r="I231">
        <v>4.51</v>
      </c>
      <c r="J231" t="s">
        <v>334</v>
      </c>
      <c r="K231" t="s">
        <v>28</v>
      </c>
      <c r="L231">
        <v>192</v>
      </c>
      <c r="M231">
        <v>2003</v>
      </c>
      <c r="N231">
        <v>1989</v>
      </c>
      <c r="O231" s="1">
        <v>44856</v>
      </c>
      <c r="P231" s="1">
        <v>44854</v>
      </c>
      <c r="S231" t="s">
        <v>29</v>
      </c>
      <c r="W231">
        <v>1</v>
      </c>
      <c r="X231">
        <v>0</v>
      </c>
    </row>
    <row r="232" spans="1:24" x14ac:dyDescent="0.25">
      <c r="A232">
        <v>35108805</v>
      </c>
      <c r="B232" t="s">
        <v>524</v>
      </c>
      <c r="C232" t="s">
        <v>525</v>
      </c>
      <c r="D232" t="s">
        <v>526</v>
      </c>
      <c r="F232" t="str">
        <f>"1250192455"</f>
        <v>1250192455</v>
      </c>
      <c r="G232" t="str">
        <f>"9781250192455"</f>
        <v>9781250192455</v>
      </c>
      <c r="H232">
        <v>4</v>
      </c>
      <c r="I232">
        <v>4.0999999999999996</v>
      </c>
      <c r="J232" t="s">
        <v>376</v>
      </c>
      <c r="K232" t="s">
        <v>34</v>
      </c>
      <c r="L232">
        <v>290</v>
      </c>
      <c r="M232">
        <v>2018</v>
      </c>
      <c r="N232">
        <v>2018</v>
      </c>
      <c r="O232" s="1">
        <v>44855</v>
      </c>
      <c r="P232" s="1">
        <v>44854</v>
      </c>
      <c r="S232" t="s">
        <v>29</v>
      </c>
      <c r="W232">
        <v>1</v>
      </c>
      <c r="X232">
        <v>0</v>
      </c>
    </row>
    <row r="233" spans="1:24" x14ac:dyDescent="0.25">
      <c r="A233">
        <v>21531503</v>
      </c>
      <c r="B233" t="s">
        <v>527</v>
      </c>
      <c r="C233" t="s">
        <v>528</v>
      </c>
      <c r="D233" t="s">
        <v>529</v>
      </c>
      <c r="F233" t="str">
        <f>"1250054052"</f>
        <v>1250054052</v>
      </c>
      <c r="G233" t="str">
        <f>"9781250054050"</f>
        <v>9781250054050</v>
      </c>
      <c r="H233">
        <v>0</v>
      </c>
      <c r="I233">
        <v>4.1399999999999997</v>
      </c>
      <c r="J233" t="s">
        <v>376</v>
      </c>
      <c r="K233" t="s">
        <v>34</v>
      </c>
      <c r="L233">
        <v>228</v>
      </c>
      <c r="M233">
        <v>2014</v>
      </c>
      <c r="N233">
        <v>2014</v>
      </c>
      <c r="P233" s="1">
        <v>44854</v>
      </c>
      <c r="Q233" t="s">
        <v>35</v>
      </c>
      <c r="R233" t="s">
        <v>530</v>
      </c>
      <c r="S233" t="s">
        <v>35</v>
      </c>
      <c r="W233">
        <v>0</v>
      </c>
      <c r="X233">
        <v>0</v>
      </c>
    </row>
    <row r="234" spans="1:24" x14ac:dyDescent="0.25">
      <c r="A234">
        <v>53902254</v>
      </c>
      <c r="B234" t="s">
        <v>531</v>
      </c>
      <c r="C234" t="s">
        <v>532</v>
      </c>
      <c r="D234" t="s">
        <v>533</v>
      </c>
      <c r="E234" t="s">
        <v>534</v>
      </c>
      <c r="F234" t="str">
        <f>"1913183572"</f>
        <v>1913183572</v>
      </c>
      <c r="G234" t="str">
        <f>"9781913183578"</f>
        <v>9781913183578</v>
      </c>
      <c r="H234">
        <v>0</v>
      </c>
      <c r="I234">
        <v>4.2300000000000004</v>
      </c>
      <c r="J234" t="s">
        <v>535</v>
      </c>
      <c r="K234" t="s">
        <v>28</v>
      </c>
      <c r="L234">
        <v>240</v>
      </c>
      <c r="M234">
        <v>2020</v>
      </c>
      <c r="N234">
        <v>2020</v>
      </c>
      <c r="P234" s="1">
        <v>44854</v>
      </c>
      <c r="Q234" t="s">
        <v>35</v>
      </c>
      <c r="R234" t="s">
        <v>536</v>
      </c>
      <c r="S234" t="s">
        <v>35</v>
      </c>
      <c r="W234">
        <v>0</v>
      </c>
      <c r="X234">
        <v>0</v>
      </c>
    </row>
    <row r="235" spans="1:24" x14ac:dyDescent="0.25">
      <c r="A235">
        <v>51203827</v>
      </c>
      <c r="B235" t="s">
        <v>537</v>
      </c>
      <c r="C235" t="s">
        <v>538</v>
      </c>
      <c r="D235" t="s">
        <v>539</v>
      </c>
      <c r="F235" t="str">
        <f>"1538734400"</f>
        <v>1538734400</v>
      </c>
      <c r="G235" t="str">
        <f>"9781538734407"</f>
        <v>9781538734407</v>
      </c>
      <c r="H235">
        <v>0</v>
      </c>
      <c r="I235">
        <v>4.0199999999999996</v>
      </c>
      <c r="J235" t="s">
        <v>540</v>
      </c>
      <c r="K235" t="s">
        <v>28</v>
      </c>
      <c r="L235">
        <v>320</v>
      </c>
      <c r="M235">
        <v>2020</v>
      </c>
      <c r="N235">
        <v>2011</v>
      </c>
      <c r="P235" s="1">
        <v>44854</v>
      </c>
      <c r="Q235" t="s">
        <v>35</v>
      </c>
      <c r="R235" t="s">
        <v>541</v>
      </c>
      <c r="S235" t="s">
        <v>35</v>
      </c>
      <c r="W235">
        <v>0</v>
      </c>
      <c r="X235">
        <v>0</v>
      </c>
    </row>
    <row r="236" spans="1:24" x14ac:dyDescent="0.25">
      <c r="A236">
        <v>44510000</v>
      </c>
      <c r="B236" t="s">
        <v>542</v>
      </c>
      <c r="C236" t="s">
        <v>543</v>
      </c>
      <c r="D236" t="s">
        <v>544</v>
      </c>
      <c r="F236" t="str">
        <f>"1250258405"</f>
        <v>1250258405</v>
      </c>
      <c r="G236" t="str">
        <f>"9781250258403"</f>
        <v>9781250258403</v>
      </c>
      <c r="H236">
        <v>0</v>
      </c>
      <c r="I236">
        <v>4.09</v>
      </c>
      <c r="J236" t="s">
        <v>545</v>
      </c>
      <c r="K236" t="s">
        <v>28</v>
      </c>
      <c r="M236">
        <v>2019</v>
      </c>
      <c r="N236">
        <v>2017</v>
      </c>
      <c r="P236" s="1">
        <v>44854</v>
      </c>
      <c r="Q236" t="s">
        <v>35</v>
      </c>
      <c r="R236" t="s">
        <v>546</v>
      </c>
      <c r="S236" t="s">
        <v>35</v>
      </c>
      <c r="W236">
        <v>0</v>
      </c>
      <c r="X236">
        <v>0</v>
      </c>
    </row>
    <row r="237" spans="1:24" x14ac:dyDescent="0.25">
      <c r="A237">
        <v>31423478</v>
      </c>
      <c r="B237" t="s">
        <v>547</v>
      </c>
      <c r="C237" t="s">
        <v>548</v>
      </c>
      <c r="D237" t="s">
        <v>549</v>
      </c>
      <c r="F237" t="str">
        <f>"1455570249"</f>
        <v>1455570249</v>
      </c>
      <c r="G237" t="str">
        <f>"9781455570249"</f>
        <v>9781455570249</v>
      </c>
      <c r="H237">
        <v>0</v>
      </c>
      <c r="I237">
        <v>4</v>
      </c>
      <c r="J237" t="s">
        <v>540</v>
      </c>
      <c r="K237" t="s">
        <v>34</v>
      </c>
      <c r="L237">
        <v>144</v>
      </c>
      <c r="M237">
        <v>2017</v>
      </c>
      <c r="N237">
        <v>2017</v>
      </c>
      <c r="P237" s="1">
        <v>44854</v>
      </c>
      <c r="Q237" t="s">
        <v>35</v>
      </c>
      <c r="R237" t="s">
        <v>550</v>
      </c>
      <c r="S237" t="s">
        <v>35</v>
      </c>
      <c r="W237">
        <v>0</v>
      </c>
      <c r="X237">
        <v>0</v>
      </c>
    </row>
    <row r="238" spans="1:24" x14ac:dyDescent="0.25">
      <c r="A238">
        <v>50110993</v>
      </c>
      <c r="B238" t="s">
        <v>551</v>
      </c>
      <c r="C238" t="s">
        <v>552</v>
      </c>
      <c r="D238" t="s">
        <v>553</v>
      </c>
      <c r="F238" t="str">
        <f>"0751564915"</f>
        <v>0751564915</v>
      </c>
      <c r="G238" t="str">
        <f>"9780751564914"</f>
        <v>9780751564914</v>
      </c>
      <c r="H238">
        <v>0</v>
      </c>
      <c r="I238">
        <v>4.05</v>
      </c>
      <c r="J238" t="s">
        <v>554</v>
      </c>
      <c r="K238" t="s">
        <v>28</v>
      </c>
      <c r="L238">
        <v>384</v>
      </c>
      <c r="M238">
        <v>2020</v>
      </c>
      <c r="N238">
        <v>2019</v>
      </c>
      <c r="P238" s="1">
        <v>44854</v>
      </c>
      <c r="Q238" t="s">
        <v>35</v>
      </c>
      <c r="R238" t="s">
        <v>555</v>
      </c>
      <c r="S238" t="s">
        <v>35</v>
      </c>
      <c r="W238">
        <v>0</v>
      </c>
      <c r="X238">
        <v>0</v>
      </c>
    </row>
    <row r="239" spans="1:24" x14ac:dyDescent="0.25">
      <c r="A239">
        <v>58438593</v>
      </c>
      <c r="B239" t="s">
        <v>556</v>
      </c>
      <c r="C239" t="s">
        <v>557</v>
      </c>
      <c r="D239" t="s">
        <v>558</v>
      </c>
      <c r="F239" t="str">
        <f>"1982171111"</f>
        <v>1982171111</v>
      </c>
      <c r="G239" t="str">
        <f>"9781982171117"</f>
        <v>9781982171117</v>
      </c>
      <c r="H239">
        <v>0</v>
      </c>
      <c r="I239">
        <v>4.03</v>
      </c>
      <c r="J239" t="s">
        <v>559</v>
      </c>
      <c r="K239" t="s">
        <v>28</v>
      </c>
      <c r="L239">
        <v>416</v>
      </c>
      <c r="M239">
        <v>2022</v>
      </c>
      <c r="N239">
        <v>2021</v>
      </c>
      <c r="P239" s="1">
        <v>44854</v>
      </c>
      <c r="Q239" t="s">
        <v>35</v>
      </c>
      <c r="R239" t="s">
        <v>560</v>
      </c>
      <c r="S239" t="s">
        <v>35</v>
      </c>
      <c r="W239">
        <v>0</v>
      </c>
      <c r="X239">
        <v>0</v>
      </c>
    </row>
    <row r="240" spans="1:24" x14ac:dyDescent="0.25">
      <c r="A240">
        <v>15714522</v>
      </c>
      <c r="B240" t="s">
        <v>561</v>
      </c>
      <c r="C240" t="s">
        <v>562</v>
      </c>
      <c r="D240" t="s">
        <v>563</v>
      </c>
      <c r="F240" t="str">
        <f>"0345802624"</f>
        <v>0345802624</v>
      </c>
      <c r="G240" t="str">
        <f>"9780345802620"</f>
        <v>9780345802620</v>
      </c>
      <c r="H240">
        <v>0</v>
      </c>
      <c r="I240">
        <v>4.03</v>
      </c>
      <c r="J240" t="s">
        <v>564</v>
      </c>
      <c r="K240" t="s">
        <v>207</v>
      </c>
      <c r="L240">
        <v>512</v>
      </c>
      <c r="M240">
        <v>2012</v>
      </c>
      <c r="N240">
        <v>2011</v>
      </c>
      <c r="P240" s="1">
        <v>44854</v>
      </c>
      <c r="Q240" t="s">
        <v>35</v>
      </c>
      <c r="R240" t="s">
        <v>565</v>
      </c>
      <c r="S240" t="s">
        <v>35</v>
      </c>
      <c r="W240">
        <v>0</v>
      </c>
      <c r="X240">
        <v>0</v>
      </c>
    </row>
    <row r="241" spans="1:24" x14ac:dyDescent="0.25">
      <c r="A241">
        <v>41940236</v>
      </c>
      <c r="B241" t="s">
        <v>566</v>
      </c>
      <c r="C241" t="s">
        <v>567</v>
      </c>
      <c r="D241" t="s">
        <v>568</v>
      </c>
      <c r="F241" t="str">
        <f>"1250317991"</f>
        <v>1250317991</v>
      </c>
      <c r="G241" t="str">
        <f>"9781250317995"</f>
        <v>9781250317995</v>
      </c>
      <c r="H241">
        <v>0</v>
      </c>
      <c r="I241">
        <v>4.04</v>
      </c>
      <c r="J241" t="s">
        <v>569</v>
      </c>
      <c r="K241" t="s">
        <v>34</v>
      </c>
      <c r="L241">
        <v>355</v>
      </c>
      <c r="M241">
        <v>2019</v>
      </c>
      <c r="N241">
        <v>2019</v>
      </c>
      <c r="P241" s="1">
        <v>44854</v>
      </c>
      <c r="Q241" t="s">
        <v>35</v>
      </c>
      <c r="R241" t="s">
        <v>570</v>
      </c>
      <c r="S241" t="s">
        <v>35</v>
      </c>
      <c r="W241">
        <v>0</v>
      </c>
      <c r="X241">
        <v>0</v>
      </c>
    </row>
    <row r="242" spans="1:24" x14ac:dyDescent="0.25">
      <c r="A242">
        <v>48590158</v>
      </c>
      <c r="B242" t="s">
        <v>571</v>
      </c>
      <c r="C242" t="s">
        <v>572</v>
      </c>
      <c r="D242" t="s">
        <v>573</v>
      </c>
      <c r="E242" t="s">
        <v>574</v>
      </c>
      <c r="F242" t="str">
        <f>"1982146532"</f>
        <v>1982146532</v>
      </c>
      <c r="G242" t="str">
        <f>"9781982146535"</f>
        <v>9781982146535</v>
      </c>
      <c r="H242">
        <v>0</v>
      </c>
      <c r="I242">
        <v>4.04</v>
      </c>
      <c r="J242" t="s">
        <v>477</v>
      </c>
      <c r="K242" t="s">
        <v>28</v>
      </c>
      <c r="L242">
        <v>560</v>
      </c>
      <c r="M242">
        <v>2020</v>
      </c>
      <c r="N242">
        <v>2019</v>
      </c>
      <c r="P242" s="1">
        <v>44854</v>
      </c>
      <c r="Q242" t="s">
        <v>35</v>
      </c>
      <c r="R242" t="s">
        <v>575</v>
      </c>
      <c r="S242" t="s">
        <v>35</v>
      </c>
      <c r="W242">
        <v>0</v>
      </c>
      <c r="X242">
        <v>0</v>
      </c>
    </row>
    <row r="243" spans="1:24" x14ac:dyDescent="0.25">
      <c r="A243">
        <v>42780284</v>
      </c>
      <c r="B243" t="s">
        <v>576</v>
      </c>
      <c r="C243" t="s">
        <v>577</v>
      </c>
      <c r="D243" t="s">
        <v>578</v>
      </c>
      <c r="F243" t="str">
        <f>"0525535802"</f>
        <v>0525535802</v>
      </c>
      <c r="G243" t="str">
        <f>"9780525535805"</f>
        <v>9780525535805</v>
      </c>
      <c r="H243">
        <v>0</v>
      </c>
      <c r="I243">
        <v>3.82</v>
      </c>
      <c r="J243" t="s">
        <v>579</v>
      </c>
      <c r="K243" t="s">
        <v>34</v>
      </c>
      <c r="L243">
        <v>276</v>
      </c>
      <c r="M243">
        <v>2019</v>
      </c>
      <c r="N243">
        <v>2019</v>
      </c>
      <c r="P243" s="1">
        <v>44854</v>
      </c>
      <c r="Q243" t="s">
        <v>35</v>
      </c>
      <c r="R243" t="s">
        <v>580</v>
      </c>
      <c r="S243" t="s">
        <v>35</v>
      </c>
      <c r="W243">
        <v>0</v>
      </c>
      <c r="X243">
        <v>0</v>
      </c>
    </row>
    <row r="244" spans="1:24" x14ac:dyDescent="0.25">
      <c r="A244">
        <v>45360527</v>
      </c>
      <c r="B244" t="s">
        <v>581</v>
      </c>
      <c r="C244" t="s">
        <v>582</v>
      </c>
      <c r="D244" t="s">
        <v>583</v>
      </c>
      <c r="F244" t="str">
        <f>"1409181634"</f>
        <v>1409181634</v>
      </c>
      <c r="G244" t="str">
        <f>"9781409181637"</f>
        <v>9781409181637</v>
      </c>
      <c r="H244">
        <v>0</v>
      </c>
      <c r="I244">
        <v>4.17</v>
      </c>
      <c r="J244" t="s">
        <v>584</v>
      </c>
      <c r="K244" t="s">
        <v>28</v>
      </c>
      <c r="L244">
        <v>342</v>
      </c>
      <c r="M244">
        <v>2020</v>
      </c>
      <c r="N244">
        <v>2019</v>
      </c>
      <c r="P244" s="1">
        <v>44854</v>
      </c>
      <c r="Q244" t="s">
        <v>35</v>
      </c>
      <c r="R244" t="s">
        <v>585</v>
      </c>
      <c r="S244" t="s">
        <v>35</v>
      </c>
      <c r="W244">
        <v>0</v>
      </c>
      <c r="X244">
        <v>0</v>
      </c>
    </row>
    <row r="245" spans="1:24" x14ac:dyDescent="0.25">
      <c r="A245">
        <v>44421460</v>
      </c>
      <c r="B245" t="s">
        <v>586</v>
      </c>
      <c r="C245" t="s">
        <v>587</v>
      </c>
      <c r="D245" t="s">
        <v>588</v>
      </c>
      <c r="E245" t="s">
        <v>589</v>
      </c>
      <c r="F245" t="str">
        <f>"1529029589"</f>
        <v>1529029589</v>
      </c>
      <c r="G245" t="str">
        <f>"9781529029581"</f>
        <v>9781529029581</v>
      </c>
      <c r="H245">
        <v>0</v>
      </c>
      <c r="I245">
        <v>3.75</v>
      </c>
      <c r="J245" t="s">
        <v>590</v>
      </c>
      <c r="K245" t="s">
        <v>28</v>
      </c>
      <c r="L245">
        <v>213</v>
      </c>
      <c r="M245">
        <v>2019</v>
      </c>
      <c r="N245">
        <v>2015</v>
      </c>
      <c r="P245" s="1">
        <v>44854</v>
      </c>
      <c r="Q245" t="s">
        <v>35</v>
      </c>
      <c r="R245" t="s">
        <v>591</v>
      </c>
      <c r="S245" t="s">
        <v>35</v>
      </c>
      <c r="W245">
        <v>0</v>
      </c>
      <c r="X245">
        <v>0</v>
      </c>
    </row>
    <row r="246" spans="1:24" x14ac:dyDescent="0.25">
      <c r="A246">
        <v>55032195</v>
      </c>
      <c r="B246" t="s">
        <v>592</v>
      </c>
      <c r="C246" t="s">
        <v>593</v>
      </c>
      <c r="D246" t="s">
        <v>594</v>
      </c>
      <c r="F246" t="str">
        <f>""</f>
        <v/>
      </c>
      <c r="G246" t="str">
        <f>""</f>
        <v/>
      </c>
      <c r="H246">
        <v>0</v>
      </c>
      <c r="I246">
        <v>4.12</v>
      </c>
      <c r="J246" t="s">
        <v>303</v>
      </c>
      <c r="K246" t="s">
        <v>133</v>
      </c>
      <c r="L246">
        <v>288</v>
      </c>
      <c r="M246">
        <v>2021</v>
      </c>
      <c r="N246">
        <v>2021</v>
      </c>
      <c r="P246" s="1">
        <v>44854</v>
      </c>
      <c r="Q246" t="s">
        <v>35</v>
      </c>
      <c r="R246" t="s">
        <v>595</v>
      </c>
      <c r="S246" t="s">
        <v>35</v>
      </c>
      <c r="W246">
        <v>0</v>
      </c>
      <c r="X246">
        <v>0</v>
      </c>
    </row>
    <row r="247" spans="1:24" x14ac:dyDescent="0.25">
      <c r="A247">
        <v>59425361</v>
      </c>
      <c r="B247" t="s">
        <v>596</v>
      </c>
      <c r="C247" t="s">
        <v>597</v>
      </c>
      <c r="D247" t="s">
        <v>598</v>
      </c>
      <c r="F247" t="str">
        <f>"0593489330"</f>
        <v>0593489330</v>
      </c>
      <c r="G247" t="str">
        <f>"9780593489338"</f>
        <v>9780593489338</v>
      </c>
      <c r="H247">
        <v>0</v>
      </c>
      <c r="I247">
        <v>4.26</v>
      </c>
      <c r="K247" t="s">
        <v>28</v>
      </c>
      <c r="M247">
        <v>2021</v>
      </c>
      <c r="N247">
        <v>2021</v>
      </c>
      <c r="P247" s="1">
        <v>44854</v>
      </c>
      <c r="Q247" t="s">
        <v>35</v>
      </c>
      <c r="R247" t="s">
        <v>599</v>
      </c>
      <c r="S247" t="s">
        <v>35</v>
      </c>
      <c r="W247">
        <v>0</v>
      </c>
      <c r="X247">
        <v>0</v>
      </c>
    </row>
    <row r="248" spans="1:24" x14ac:dyDescent="0.25">
      <c r="A248">
        <v>50496849</v>
      </c>
      <c r="B248" t="s">
        <v>600</v>
      </c>
      <c r="C248" t="s">
        <v>601</v>
      </c>
      <c r="D248" t="s">
        <v>602</v>
      </c>
      <c r="E248" t="s">
        <v>603</v>
      </c>
      <c r="F248" t="str">
        <f>"0062895370"</f>
        <v>0062895370</v>
      </c>
      <c r="G248" t="str">
        <f>"9780062895370"</f>
        <v>9780062895370</v>
      </c>
      <c r="H248">
        <v>0</v>
      </c>
      <c r="I248">
        <v>4.21</v>
      </c>
      <c r="J248" t="s">
        <v>604</v>
      </c>
      <c r="K248" t="s">
        <v>28</v>
      </c>
      <c r="L248">
        <v>528</v>
      </c>
      <c r="M248">
        <v>2020</v>
      </c>
      <c r="N248">
        <v>2018</v>
      </c>
      <c r="P248" s="1">
        <v>44854</v>
      </c>
      <c r="Q248" t="s">
        <v>35</v>
      </c>
      <c r="R248" t="s">
        <v>605</v>
      </c>
      <c r="S248" t="s">
        <v>35</v>
      </c>
      <c r="W248">
        <v>0</v>
      </c>
      <c r="X248">
        <v>0</v>
      </c>
    </row>
    <row r="249" spans="1:24" x14ac:dyDescent="0.25">
      <c r="A249">
        <v>36487851</v>
      </c>
      <c r="B249" t="s">
        <v>606</v>
      </c>
      <c r="C249" t="s">
        <v>607</v>
      </c>
      <c r="D249" t="s">
        <v>608</v>
      </c>
      <c r="F249" t="str">
        <f>""</f>
        <v/>
      </c>
      <c r="G249" t="str">
        <f>"9780751563290"</f>
        <v>9780751563290</v>
      </c>
      <c r="H249">
        <v>0</v>
      </c>
      <c r="I249">
        <v>4.29</v>
      </c>
      <c r="K249" t="s">
        <v>609</v>
      </c>
      <c r="N249">
        <v>2016</v>
      </c>
      <c r="P249" s="1">
        <v>44854</v>
      </c>
      <c r="Q249" t="s">
        <v>35</v>
      </c>
      <c r="R249" t="s">
        <v>610</v>
      </c>
      <c r="S249" t="s">
        <v>35</v>
      </c>
      <c r="W249">
        <v>0</v>
      </c>
      <c r="X249">
        <v>0</v>
      </c>
    </row>
    <row r="250" spans="1:24" x14ac:dyDescent="0.25">
      <c r="A250">
        <v>51193620</v>
      </c>
      <c r="B250" t="s">
        <v>611</v>
      </c>
      <c r="C250" t="s">
        <v>612</v>
      </c>
      <c r="D250" t="s">
        <v>613</v>
      </c>
      <c r="F250" t="str">
        <f>"1784164240"</f>
        <v>1784164240</v>
      </c>
      <c r="G250" t="str">
        <f>"9781784164249"</f>
        <v>9781784164249</v>
      </c>
      <c r="H250">
        <v>0</v>
      </c>
      <c r="I250">
        <v>4.1100000000000003</v>
      </c>
      <c r="J250" t="s">
        <v>614</v>
      </c>
      <c r="K250" t="s">
        <v>28</v>
      </c>
      <c r="L250">
        <v>416</v>
      </c>
      <c r="M250">
        <v>2020</v>
      </c>
      <c r="N250">
        <v>2020</v>
      </c>
      <c r="P250" s="1">
        <v>44854</v>
      </c>
      <c r="Q250" t="s">
        <v>35</v>
      </c>
      <c r="R250" t="s">
        <v>615</v>
      </c>
      <c r="S250" t="s">
        <v>35</v>
      </c>
      <c r="W250">
        <v>0</v>
      </c>
      <c r="X250">
        <v>0</v>
      </c>
    </row>
    <row r="251" spans="1:24" x14ac:dyDescent="0.25">
      <c r="A251">
        <v>26236944</v>
      </c>
      <c r="B251" t="s">
        <v>616</v>
      </c>
      <c r="C251" t="s">
        <v>385</v>
      </c>
      <c r="D251" t="s">
        <v>386</v>
      </c>
      <c r="F251" t="str">
        <f>"0143108301"</f>
        <v>0143108301</v>
      </c>
      <c r="G251" t="str">
        <f>"9780143108306"</f>
        <v>9780143108306</v>
      </c>
      <c r="H251">
        <v>0</v>
      </c>
      <c r="I251">
        <v>4.0199999999999996</v>
      </c>
      <c r="J251" t="s">
        <v>617</v>
      </c>
      <c r="K251" t="s">
        <v>28</v>
      </c>
      <c r="L251">
        <v>432</v>
      </c>
      <c r="M251">
        <v>2016</v>
      </c>
      <c r="N251">
        <v>2013</v>
      </c>
      <c r="P251" s="1">
        <v>44854</v>
      </c>
      <c r="Q251" t="s">
        <v>35</v>
      </c>
      <c r="R251" t="s">
        <v>618</v>
      </c>
      <c r="S251" t="s">
        <v>35</v>
      </c>
      <c r="W251">
        <v>0</v>
      </c>
      <c r="X251">
        <v>0</v>
      </c>
    </row>
    <row r="252" spans="1:24" x14ac:dyDescent="0.25">
      <c r="A252">
        <v>28678460</v>
      </c>
      <c r="B252" t="s">
        <v>619</v>
      </c>
      <c r="C252" t="s">
        <v>385</v>
      </c>
      <c r="D252" t="s">
        <v>386</v>
      </c>
      <c r="F252" t="str">
        <f>"0241972949"</f>
        <v>0241972949</v>
      </c>
      <c r="G252" t="str">
        <f>"9780241972946"</f>
        <v>9780241972946</v>
      </c>
      <c r="H252">
        <v>0</v>
      </c>
      <c r="I252">
        <v>4.0999999999999996</v>
      </c>
      <c r="J252" t="s">
        <v>617</v>
      </c>
      <c r="K252" t="s">
        <v>28</v>
      </c>
      <c r="L252">
        <v>342</v>
      </c>
      <c r="M252">
        <v>2015</v>
      </c>
      <c r="N252">
        <v>2011</v>
      </c>
      <c r="P252" s="1">
        <v>44854</v>
      </c>
      <c r="Q252" t="s">
        <v>35</v>
      </c>
      <c r="R252" t="s">
        <v>620</v>
      </c>
      <c r="S252" t="s">
        <v>35</v>
      </c>
      <c r="W252">
        <v>0</v>
      </c>
      <c r="X252">
        <v>0</v>
      </c>
    </row>
    <row r="253" spans="1:24" x14ac:dyDescent="0.25">
      <c r="A253">
        <v>52240866</v>
      </c>
      <c r="B253" t="s">
        <v>621</v>
      </c>
      <c r="C253" t="s">
        <v>622</v>
      </c>
      <c r="D253" t="s">
        <v>623</v>
      </c>
      <c r="F253" t="str">
        <f>"0241985544"</f>
        <v>0241985544</v>
      </c>
      <c r="G253" t="str">
        <f>"9780241985540"</f>
        <v>9780241985540</v>
      </c>
      <c r="H253">
        <v>0</v>
      </c>
      <c r="I253">
        <v>4.1100000000000003</v>
      </c>
      <c r="J253" t="s">
        <v>316</v>
      </c>
      <c r="K253" t="s">
        <v>28</v>
      </c>
      <c r="L253">
        <v>291</v>
      </c>
      <c r="M253">
        <v>2020</v>
      </c>
      <c r="N253">
        <v>2019</v>
      </c>
      <c r="P253" s="1">
        <v>44854</v>
      </c>
      <c r="Q253" t="s">
        <v>35</v>
      </c>
      <c r="R253" t="s">
        <v>624</v>
      </c>
      <c r="S253" t="s">
        <v>35</v>
      </c>
      <c r="W253">
        <v>0</v>
      </c>
      <c r="X253">
        <v>0</v>
      </c>
    </row>
    <row r="254" spans="1:24" x14ac:dyDescent="0.25">
      <c r="A254">
        <v>431806</v>
      </c>
      <c r="B254" t="s">
        <v>625</v>
      </c>
      <c r="C254" t="s">
        <v>332</v>
      </c>
      <c r="D254" t="s">
        <v>333</v>
      </c>
      <c r="F254" t="str">
        <f>"1569319308"</f>
        <v>1569319308</v>
      </c>
      <c r="G254" t="str">
        <f>"9781569319307"</f>
        <v>9781569319307</v>
      </c>
      <c r="H254">
        <v>5</v>
      </c>
      <c r="I254">
        <v>4.49</v>
      </c>
      <c r="J254" t="s">
        <v>334</v>
      </c>
      <c r="K254" t="s">
        <v>28</v>
      </c>
      <c r="L254">
        <v>192</v>
      </c>
      <c r="M254">
        <v>2003</v>
      </c>
      <c r="N254">
        <v>1989</v>
      </c>
      <c r="O254" s="1">
        <v>44854</v>
      </c>
      <c r="P254" s="1">
        <v>44854</v>
      </c>
      <c r="S254" t="s">
        <v>29</v>
      </c>
      <c r="W254">
        <v>1</v>
      </c>
      <c r="X254">
        <v>0</v>
      </c>
    </row>
    <row r="255" spans="1:24" x14ac:dyDescent="0.25">
      <c r="A255">
        <v>12744030</v>
      </c>
      <c r="B255" t="s">
        <v>626</v>
      </c>
      <c r="C255" t="s">
        <v>627</v>
      </c>
      <c r="D255" t="s">
        <v>628</v>
      </c>
      <c r="F255" t="str">
        <f>""</f>
        <v/>
      </c>
      <c r="G255" t="str">
        <f>""</f>
        <v/>
      </c>
      <c r="H255">
        <v>3</v>
      </c>
      <c r="I255">
        <v>3.64</v>
      </c>
      <c r="K255" t="s">
        <v>133</v>
      </c>
      <c r="L255">
        <v>33</v>
      </c>
      <c r="M255">
        <v>2011</v>
      </c>
      <c r="N255">
        <v>2010</v>
      </c>
      <c r="O255" s="1">
        <v>44854</v>
      </c>
      <c r="P255" s="1">
        <v>44845</v>
      </c>
      <c r="S255" t="s">
        <v>29</v>
      </c>
      <c r="W255">
        <v>1</v>
      </c>
      <c r="X255">
        <v>0</v>
      </c>
    </row>
    <row r="256" spans="1:24" x14ac:dyDescent="0.25">
      <c r="A256">
        <v>7642606</v>
      </c>
      <c r="B256" t="s">
        <v>629</v>
      </c>
      <c r="C256" t="s">
        <v>630</v>
      </c>
      <c r="D256" t="s">
        <v>631</v>
      </c>
      <c r="E256" t="s">
        <v>632</v>
      </c>
      <c r="F256" t="str">
        <f>"1595825045"</f>
        <v>1595825045</v>
      </c>
      <c r="G256" t="str">
        <f>"9781595825049"</f>
        <v>9781595825049</v>
      </c>
      <c r="H256">
        <v>0</v>
      </c>
      <c r="I256">
        <v>4.54</v>
      </c>
      <c r="J256" t="s">
        <v>633</v>
      </c>
      <c r="K256" t="s">
        <v>34</v>
      </c>
      <c r="L256">
        <v>184</v>
      </c>
      <c r="M256">
        <v>2010</v>
      </c>
      <c r="N256">
        <v>2010</v>
      </c>
      <c r="P256" s="1">
        <v>44853</v>
      </c>
      <c r="Q256" t="s">
        <v>35</v>
      </c>
      <c r="R256" t="s">
        <v>634</v>
      </c>
      <c r="S256" t="s">
        <v>35</v>
      </c>
      <c r="W256">
        <v>0</v>
      </c>
      <c r="X256">
        <v>0</v>
      </c>
    </row>
    <row r="257" spans="1:24" x14ac:dyDescent="0.25">
      <c r="A257">
        <v>1267081</v>
      </c>
      <c r="B257" t="s">
        <v>635</v>
      </c>
      <c r="C257" t="s">
        <v>332</v>
      </c>
      <c r="D257" t="s">
        <v>333</v>
      </c>
      <c r="F257" t="str">
        <f>"1591164575"</f>
        <v>1591164575</v>
      </c>
      <c r="G257" t="str">
        <f>"9781591164579"</f>
        <v>9781591164579</v>
      </c>
      <c r="H257">
        <v>5</v>
      </c>
      <c r="I257">
        <v>4.4400000000000004</v>
      </c>
      <c r="J257" t="s">
        <v>334</v>
      </c>
      <c r="K257" t="s">
        <v>28</v>
      </c>
      <c r="L257">
        <v>216</v>
      </c>
      <c r="M257">
        <v>2004</v>
      </c>
      <c r="N257">
        <v>1989</v>
      </c>
      <c r="O257" s="1">
        <v>44853</v>
      </c>
      <c r="P257" s="1">
        <v>44853</v>
      </c>
      <c r="S257" t="s">
        <v>29</v>
      </c>
      <c r="W257">
        <v>1</v>
      </c>
      <c r="X257">
        <v>0</v>
      </c>
    </row>
    <row r="258" spans="1:24" x14ac:dyDescent="0.25">
      <c r="A258">
        <v>1267080</v>
      </c>
      <c r="B258" t="s">
        <v>636</v>
      </c>
      <c r="C258" t="s">
        <v>332</v>
      </c>
      <c r="D258" t="s">
        <v>333</v>
      </c>
      <c r="F258" t="str">
        <f>"1591162971"</f>
        <v>1591162971</v>
      </c>
      <c r="G258" t="str">
        <f>"9781591162971"</f>
        <v>9781591162971</v>
      </c>
      <c r="H258">
        <v>5</v>
      </c>
      <c r="I258">
        <v>4.3899999999999997</v>
      </c>
      <c r="J258" t="s">
        <v>334</v>
      </c>
      <c r="K258" t="s">
        <v>28</v>
      </c>
      <c r="L258">
        <v>192</v>
      </c>
      <c r="M258">
        <v>2004</v>
      </c>
      <c r="N258">
        <v>1988</v>
      </c>
      <c r="O258" s="1">
        <v>44853</v>
      </c>
      <c r="P258" s="1">
        <v>44853</v>
      </c>
      <c r="S258" t="s">
        <v>29</v>
      </c>
      <c r="W258">
        <v>1</v>
      </c>
      <c r="X258">
        <v>0</v>
      </c>
    </row>
    <row r="259" spans="1:24" x14ac:dyDescent="0.25">
      <c r="A259">
        <v>1267079</v>
      </c>
      <c r="B259" t="s">
        <v>637</v>
      </c>
      <c r="C259" t="s">
        <v>332</v>
      </c>
      <c r="D259" t="s">
        <v>333</v>
      </c>
      <c r="F259" t="str">
        <f>"159116169X"</f>
        <v>159116169X</v>
      </c>
      <c r="G259" t="str">
        <f>"9781591161691"</f>
        <v>9781591161691</v>
      </c>
      <c r="H259">
        <v>5</v>
      </c>
      <c r="I259">
        <v>4.4000000000000004</v>
      </c>
      <c r="J259" t="s">
        <v>334</v>
      </c>
      <c r="K259" t="s">
        <v>28</v>
      </c>
      <c r="L259">
        <v>192</v>
      </c>
      <c r="M259">
        <v>2004</v>
      </c>
      <c r="N259">
        <v>1988</v>
      </c>
      <c r="O259" s="1">
        <v>44853</v>
      </c>
      <c r="P259" s="1">
        <v>44853</v>
      </c>
      <c r="S259" t="s">
        <v>29</v>
      </c>
      <c r="W259">
        <v>1</v>
      </c>
      <c r="X259">
        <v>0</v>
      </c>
    </row>
    <row r="260" spans="1:24" x14ac:dyDescent="0.25">
      <c r="A260">
        <v>66291</v>
      </c>
      <c r="B260" t="s">
        <v>638</v>
      </c>
      <c r="C260" t="s">
        <v>332</v>
      </c>
      <c r="D260" t="s">
        <v>333</v>
      </c>
      <c r="F260" t="str">
        <f>"1591161487"</f>
        <v>1591161487</v>
      </c>
      <c r="G260" t="str">
        <f>"9781591161486"</f>
        <v>9781591161486</v>
      </c>
      <c r="H260">
        <v>4</v>
      </c>
      <c r="I260">
        <v>4.38</v>
      </c>
      <c r="J260" t="s">
        <v>334</v>
      </c>
      <c r="K260" t="s">
        <v>28</v>
      </c>
      <c r="L260">
        <v>192</v>
      </c>
      <c r="M260">
        <v>2003</v>
      </c>
      <c r="N260">
        <v>1988</v>
      </c>
      <c r="O260" s="1">
        <v>44853</v>
      </c>
      <c r="P260" s="1">
        <v>44852</v>
      </c>
      <c r="S260" t="s">
        <v>29</v>
      </c>
      <c r="W260">
        <v>1</v>
      </c>
      <c r="X260">
        <v>0</v>
      </c>
    </row>
    <row r="261" spans="1:24" x14ac:dyDescent="0.25">
      <c r="A261">
        <v>868</v>
      </c>
      <c r="B261" t="s">
        <v>639</v>
      </c>
      <c r="C261" t="s">
        <v>394</v>
      </c>
      <c r="D261" t="s">
        <v>395</v>
      </c>
      <c r="E261" t="s">
        <v>398</v>
      </c>
      <c r="F261" t="str">
        <f>"1591169259"</f>
        <v>1591169259</v>
      </c>
      <c r="G261" t="str">
        <f>"9781591169253"</f>
        <v>9781591169253</v>
      </c>
      <c r="H261">
        <v>5</v>
      </c>
      <c r="I261">
        <v>4.5599999999999996</v>
      </c>
      <c r="J261" t="s">
        <v>27</v>
      </c>
      <c r="K261" t="s">
        <v>28</v>
      </c>
      <c r="L261">
        <v>182</v>
      </c>
      <c r="M261">
        <v>2005</v>
      </c>
      <c r="N261">
        <v>2002</v>
      </c>
      <c r="O261" s="1">
        <v>44853</v>
      </c>
      <c r="P261" s="1">
        <v>44853</v>
      </c>
      <c r="S261" t="s">
        <v>29</v>
      </c>
      <c r="W261">
        <v>1</v>
      </c>
      <c r="X261">
        <v>0</v>
      </c>
    </row>
    <row r="262" spans="1:24" x14ac:dyDescent="0.25">
      <c r="A262">
        <v>23381316</v>
      </c>
      <c r="B262" t="s">
        <v>640</v>
      </c>
      <c r="C262" t="s">
        <v>641</v>
      </c>
      <c r="D262" t="s">
        <v>642</v>
      </c>
      <c r="E262" t="s">
        <v>643</v>
      </c>
      <c r="F262" t="str">
        <f>""</f>
        <v/>
      </c>
      <c r="G262" t="str">
        <f>""</f>
        <v/>
      </c>
      <c r="H262">
        <v>0</v>
      </c>
      <c r="I262">
        <v>4.24</v>
      </c>
      <c r="J262" t="s">
        <v>644</v>
      </c>
      <c r="K262" t="s">
        <v>133</v>
      </c>
      <c r="L262">
        <v>162</v>
      </c>
      <c r="M262">
        <v>2014</v>
      </c>
      <c r="N262">
        <v>2014</v>
      </c>
      <c r="P262" s="1">
        <v>44853</v>
      </c>
      <c r="Q262" t="s">
        <v>35</v>
      </c>
      <c r="R262" t="s">
        <v>645</v>
      </c>
      <c r="S262" t="s">
        <v>35</v>
      </c>
      <c r="W262">
        <v>0</v>
      </c>
      <c r="X262">
        <v>0</v>
      </c>
    </row>
    <row r="263" spans="1:24" x14ac:dyDescent="0.25">
      <c r="A263">
        <v>35624680</v>
      </c>
      <c r="B263" t="s">
        <v>646</v>
      </c>
      <c r="C263" t="s">
        <v>641</v>
      </c>
      <c r="D263" t="s">
        <v>642</v>
      </c>
      <c r="E263" t="s">
        <v>643</v>
      </c>
      <c r="F263" t="str">
        <f>"4812483808"</f>
        <v>4812483808</v>
      </c>
      <c r="G263" t="str">
        <f>"9784812483800"</f>
        <v>9784812483800</v>
      </c>
      <c r="H263">
        <v>3</v>
      </c>
      <c r="I263">
        <v>4.2</v>
      </c>
      <c r="J263" t="s">
        <v>644</v>
      </c>
      <c r="K263" t="s">
        <v>28</v>
      </c>
      <c r="L263">
        <v>153</v>
      </c>
      <c r="M263">
        <v>2013</v>
      </c>
      <c r="N263">
        <v>2013</v>
      </c>
      <c r="O263" s="1">
        <v>44853</v>
      </c>
      <c r="P263" s="1">
        <v>44852</v>
      </c>
      <c r="S263" t="s">
        <v>29</v>
      </c>
      <c r="W263">
        <v>1</v>
      </c>
      <c r="X263">
        <v>0</v>
      </c>
    </row>
    <row r="264" spans="1:24" x14ac:dyDescent="0.25">
      <c r="A264">
        <v>66287</v>
      </c>
      <c r="B264" t="s">
        <v>647</v>
      </c>
      <c r="C264" t="s">
        <v>332</v>
      </c>
      <c r="D264" t="s">
        <v>333</v>
      </c>
      <c r="F264" t="str">
        <f>"159116155X"</f>
        <v>159116155X</v>
      </c>
      <c r="G264" t="str">
        <f>"9781591161554"</f>
        <v>9781591161554</v>
      </c>
      <c r="H264">
        <v>4</v>
      </c>
      <c r="I264">
        <v>4.38</v>
      </c>
      <c r="J264" t="s">
        <v>334</v>
      </c>
      <c r="K264" t="s">
        <v>28</v>
      </c>
      <c r="L264">
        <v>200</v>
      </c>
      <c r="M264">
        <v>2003</v>
      </c>
      <c r="N264">
        <v>1988</v>
      </c>
      <c r="O264" s="1">
        <v>44852</v>
      </c>
      <c r="P264" s="1">
        <v>44852</v>
      </c>
      <c r="S264" t="s">
        <v>29</v>
      </c>
      <c r="W264">
        <v>1</v>
      </c>
      <c r="X264">
        <v>0</v>
      </c>
    </row>
    <row r="265" spans="1:24" x14ac:dyDescent="0.25">
      <c r="A265">
        <v>66289</v>
      </c>
      <c r="B265" t="s">
        <v>648</v>
      </c>
      <c r="C265" t="s">
        <v>332</v>
      </c>
      <c r="D265" t="s">
        <v>333</v>
      </c>
      <c r="F265" t="str">
        <f>"1569319197"</f>
        <v>1569319197</v>
      </c>
      <c r="G265" t="str">
        <f>"9781569319192"</f>
        <v>9781569319192</v>
      </c>
      <c r="H265">
        <v>5</v>
      </c>
      <c r="I265">
        <v>4.3899999999999997</v>
      </c>
      <c r="J265" t="s">
        <v>334</v>
      </c>
      <c r="K265" t="s">
        <v>28</v>
      </c>
      <c r="L265">
        <v>192</v>
      </c>
      <c r="M265">
        <v>2003</v>
      </c>
      <c r="N265">
        <v>1988</v>
      </c>
      <c r="O265" s="1">
        <v>44852</v>
      </c>
      <c r="P265" s="1">
        <v>44852</v>
      </c>
      <c r="S265" t="s">
        <v>29</v>
      </c>
      <c r="W265">
        <v>1</v>
      </c>
      <c r="X265">
        <v>0</v>
      </c>
    </row>
    <row r="266" spans="1:24" x14ac:dyDescent="0.25">
      <c r="A266">
        <v>1267083</v>
      </c>
      <c r="B266" t="s">
        <v>649</v>
      </c>
      <c r="C266" t="s">
        <v>332</v>
      </c>
      <c r="D266" t="s">
        <v>333</v>
      </c>
      <c r="F266" t="str">
        <f>"1569319294"</f>
        <v>1569319294</v>
      </c>
      <c r="G266" t="str">
        <f>"9781569319291"</f>
        <v>9781569319291</v>
      </c>
      <c r="H266">
        <v>5</v>
      </c>
      <c r="I266">
        <v>4.3499999999999996</v>
      </c>
      <c r="J266" t="s">
        <v>334</v>
      </c>
      <c r="K266" t="s">
        <v>28</v>
      </c>
      <c r="L266">
        <v>192</v>
      </c>
      <c r="M266">
        <v>2003</v>
      </c>
      <c r="N266">
        <v>1987</v>
      </c>
      <c r="O266" s="1">
        <v>44852</v>
      </c>
      <c r="P266" s="1">
        <v>44852</v>
      </c>
      <c r="S266" t="s">
        <v>29</v>
      </c>
      <c r="W266">
        <v>1</v>
      </c>
      <c r="X266">
        <v>0</v>
      </c>
    </row>
    <row r="267" spans="1:24" x14ac:dyDescent="0.25">
      <c r="A267">
        <v>20450626</v>
      </c>
      <c r="B267" t="s">
        <v>650</v>
      </c>
      <c r="C267" t="s">
        <v>332</v>
      </c>
      <c r="D267" t="s">
        <v>333</v>
      </c>
      <c r="F267" t="str">
        <f>""</f>
        <v/>
      </c>
      <c r="G267" t="str">
        <f>""</f>
        <v/>
      </c>
      <c r="H267">
        <v>5</v>
      </c>
      <c r="I267">
        <v>4.33</v>
      </c>
      <c r="J267" t="s">
        <v>651</v>
      </c>
      <c r="K267" t="s">
        <v>133</v>
      </c>
      <c r="L267">
        <v>192</v>
      </c>
      <c r="M267">
        <v>2011</v>
      </c>
      <c r="N267">
        <v>1987</v>
      </c>
      <c r="O267" s="1">
        <v>44852</v>
      </c>
      <c r="P267" s="1">
        <v>44852</v>
      </c>
      <c r="S267" t="s">
        <v>29</v>
      </c>
      <c r="W267">
        <v>1</v>
      </c>
      <c r="X267">
        <v>0</v>
      </c>
    </row>
    <row r="268" spans="1:24" x14ac:dyDescent="0.25">
      <c r="A268">
        <v>1267082</v>
      </c>
      <c r="B268" t="s">
        <v>652</v>
      </c>
      <c r="C268" t="s">
        <v>332</v>
      </c>
      <c r="D268" t="s">
        <v>333</v>
      </c>
      <c r="F268" t="str">
        <f>"1569319278"</f>
        <v>1569319278</v>
      </c>
      <c r="G268" t="str">
        <f>"9781569319277"</f>
        <v>9781569319277</v>
      </c>
      <c r="H268">
        <v>5</v>
      </c>
      <c r="I268">
        <v>4.33</v>
      </c>
      <c r="J268" t="s">
        <v>334</v>
      </c>
      <c r="K268" t="s">
        <v>28</v>
      </c>
      <c r="L268">
        <v>192</v>
      </c>
      <c r="M268">
        <v>2003</v>
      </c>
      <c r="N268">
        <v>1987</v>
      </c>
      <c r="O268" s="1">
        <v>44852</v>
      </c>
      <c r="P268" s="1">
        <v>44852</v>
      </c>
      <c r="S268" t="s">
        <v>29</v>
      </c>
      <c r="W268">
        <v>1</v>
      </c>
      <c r="X268">
        <v>0</v>
      </c>
    </row>
    <row r="269" spans="1:24" x14ac:dyDescent="0.25">
      <c r="A269">
        <v>1448248</v>
      </c>
      <c r="B269" t="s">
        <v>653</v>
      </c>
      <c r="C269" t="s">
        <v>332</v>
      </c>
      <c r="D269" t="s">
        <v>333</v>
      </c>
      <c r="F269" t="str">
        <f>"156931926X"</f>
        <v>156931926X</v>
      </c>
      <c r="G269" t="str">
        <f>"9781569319260"</f>
        <v>9781569319260</v>
      </c>
      <c r="H269">
        <v>5</v>
      </c>
      <c r="I269">
        <v>4.38</v>
      </c>
      <c r="J269" t="s">
        <v>334</v>
      </c>
      <c r="K269" t="s">
        <v>28</v>
      </c>
      <c r="L269">
        <v>192</v>
      </c>
      <c r="M269">
        <v>2003</v>
      </c>
      <c r="N269">
        <v>1987</v>
      </c>
      <c r="O269" s="1">
        <v>44852</v>
      </c>
      <c r="P269" s="1">
        <v>44852</v>
      </c>
      <c r="S269" t="s">
        <v>29</v>
      </c>
      <c r="W269">
        <v>1</v>
      </c>
      <c r="X269">
        <v>0</v>
      </c>
    </row>
    <row r="270" spans="1:24" x14ac:dyDescent="0.25">
      <c r="A270">
        <v>66293</v>
      </c>
      <c r="B270" t="s">
        <v>654</v>
      </c>
      <c r="C270" t="s">
        <v>332</v>
      </c>
      <c r="D270" t="s">
        <v>333</v>
      </c>
      <c r="F270" t="str">
        <f>"1569319251"</f>
        <v>1569319251</v>
      </c>
      <c r="G270" t="str">
        <f>"9781569319253"</f>
        <v>9781569319253</v>
      </c>
      <c r="H270">
        <v>5</v>
      </c>
      <c r="I270">
        <v>4.4000000000000004</v>
      </c>
      <c r="J270" t="s">
        <v>334</v>
      </c>
      <c r="K270" t="s">
        <v>28</v>
      </c>
      <c r="L270">
        <v>192</v>
      </c>
      <c r="M270">
        <v>2003</v>
      </c>
      <c r="N270">
        <v>1987</v>
      </c>
      <c r="O270" s="1">
        <v>44852</v>
      </c>
      <c r="P270" s="1">
        <v>44852</v>
      </c>
      <c r="S270" t="s">
        <v>29</v>
      </c>
      <c r="W270">
        <v>1</v>
      </c>
      <c r="X270">
        <v>0</v>
      </c>
    </row>
    <row r="271" spans="1:24" x14ac:dyDescent="0.25">
      <c r="A271">
        <v>66295</v>
      </c>
      <c r="B271" t="s">
        <v>655</v>
      </c>
      <c r="C271" t="s">
        <v>332</v>
      </c>
      <c r="D271" t="s">
        <v>333</v>
      </c>
      <c r="F271" t="str">
        <f>"1569319243"</f>
        <v>1569319243</v>
      </c>
      <c r="G271" t="str">
        <f>"9781569319246"</f>
        <v>9781569319246</v>
      </c>
      <c r="H271">
        <v>5</v>
      </c>
      <c r="I271">
        <v>4.42</v>
      </c>
      <c r="J271" t="s">
        <v>334</v>
      </c>
      <c r="K271" t="s">
        <v>28</v>
      </c>
      <c r="L271">
        <v>192</v>
      </c>
      <c r="M271">
        <v>2003</v>
      </c>
      <c r="N271">
        <v>1987</v>
      </c>
      <c r="O271" s="1">
        <v>44852</v>
      </c>
      <c r="P271" s="1">
        <v>44851</v>
      </c>
      <c r="S271" t="s">
        <v>29</v>
      </c>
      <c r="W271">
        <v>1</v>
      </c>
      <c r="X271">
        <v>0</v>
      </c>
    </row>
    <row r="272" spans="1:24" x14ac:dyDescent="0.25">
      <c r="A272">
        <v>46223297</v>
      </c>
      <c r="B272" t="s">
        <v>656</v>
      </c>
      <c r="C272" t="s">
        <v>657</v>
      </c>
      <c r="D272" t="s">
        <v>658</v>
      </c>
      <c r="F272" t="str">
        <f>"1250237238"</f>
        <v>1250237238</v>
      </c>
      <c r="G272" t="str">
        <f>"9781250237231"</f>
        <v>9781250237231</v>
      </c>
      <c r="H272">
        <v>5</v>
      </c>
      <c r="I272">
        <v>4.3099999999999996</v>
      </c>
      <c r="J272" t="s">
        <v>659</v>
      </c>
      <c r="K272" t="s">
        <v>34</v>
      </c>
      <c r="L272">
        <v>339</v>
      </c>
      <c r="M272">
        <v>2019</v>
      </c>
      <c r="N272">
        <v>2019</v>
      </c>
      <c r="O272" s="1">
        <v>44851</v>
      </c>
      <c r="P272" s="1">
        <v>44850</v>
      </c>
      <c r="S272" t="s">
        <v>29</v>
      </c>
      <c r="W272">
        <v>1</v>
      </c>
      <c r="X272">
        <v>0</v>
      </c>
    </row>
    <row r="273" spans="1:24" x14ac:dyDescent="0.25">
      <c r="A273">
        <v>66294</v>
      </c>
      <c r="B273" t="s">
        <v>660</v>
      </c>
      <c r="C273" t="s">
        <v>332</v>
      </c>
      <c r="D273" t="s">
        <v>333</v>
      </c>
      <c r="F273" t="str">
        <f>"1569319235"</f>
        <v>1569319235</v>
      </c>
      <c r="G273" t="str">
        <f>"9781569319239"</f>
        <v>9781569319239</v>
      </c>
      <c r="H273">
        <v>5</v>
      </c>
      <c r="I273">
        <v>4.46</v>
      </c>
      <c r="J273" t="s">
        <v>334</v>
      </c>
      <c r="K273" t="s">
        <v>28</v>
      </c>
      <c r="L273">
        <v>192</v>
      </c>
      <c r="M273">
        <v>2003</v>
      </c>
      <c r="N273">
        <v>1986</v>
      </c>
      <c r="O273" s="1">
        <v>44851</v>
      </c>
      <c r="P273" s="1">
        <v>44851</v>
      </c>
      <c r="S273" t="s">
        <v>29</v>
      </c>
      <c r="W273">
        <v>1</v>
      </c>
      <c r="X273">
        <v>0</v>
      </c>
    </row>
    <row r="274" spans="1:24" x14ac:dyDescent="0.25">
      <c r="A274">
        <v>1267077</v>
      </c>
      <c r="B274" t="s">
        <v>661</v>
      </c>
      <c r="C274" t="s">
        <v>332</v>
      </c>
      <c r="D274" t="s">
        <v>333</v>
      </c>
      <c r="F274" t="str">
        <f>"1569319227"</f>
        <v>1569319227</v>
      </c>
      <c r="G274" t="str">
        <f>"9781569319222"</f>
        <v>9781569319222</v>
      </c>
      <c r="H274">
        <v>5</v>
      </c>
      <c r="I274">
        <v>4.46</v>
      </c>
      <c r="J274" t="s">
        <v>334</v>
      </c>
      <c r="K274" t="s">
        <v>28</v>
      </c>
      <c r="L274">
        <v>192</v>
      </c>
      <c r="M274">
        <v>2003</v>
      </c>
      <c r="N274">
        <v>1984</v>
      </c>
      <c r="O274" s="1">
        <v>44851</v>
      </c>
      <c r="P274" s="1">
        <v>44850</v>
      </c>
      <c r="S274" t="s">
        <v>29</v>
      </c>
      <c r="W274">
        <v>1</v>
      </c>
      <c r="X274">
        <v>0</v>
      </c>
    </row>
    <row r="275" spans="1:24" x14ac:dyDescent="0.25">
      <c r="A275">
        <v>16030966</v>
      </c>
      <c r="B275" t="s">
        <v>662</v>
      </c>
      <c r="C275" t="s">
        <v>663</v>
      </c>
      <c r="D275" t="s">
        <v>664</v>
      </c>
      <c r="E275" t="s">
        <v>665</v>
      </c>
      <c r="F275" t="str">
        <f>""</f>
        <v/>
      </c>
      <c r="G275" t="str">
        <f>"9789521614729"</f>
        <v>9789521614729</v>
      </c>
      <c r="H275">
        <v>0</v>
      </c>
      <c r="I275">
        <v>4.1900000000000004</v>
      </c>
      <c r="J275" t="s">
        <v>666</v>
      </c>
      <c r="K275" t="s">
        <v>28</v>
      </c>
      <c r="L275">
        <v>162</v>
      </c>
      <c r="M275">
        <v>2012</v>
      </c>
      <c r="N275">
        <v>2009</v>
      </c>
      <c r="P275" s="1">
        <v>44851</v>
      </c>
      <c r="Q275" t="s">
        <v>35</v>
      </c>
      <c r="R275" t="s">
        <v>667</v>
      </c>
      <c r="S275" t="s">
        <v>35</v>
      </c>
      <c r="W275">
        <v>0</v>
      </c>
      <c r="X275">
        <v>0</v>
      </c>
    </row>
    <row r="276" spans="1:24" x14ac:dyDescent="0.25">
      <c r="A276">
        <v>27209341</v>
      </c>
      <c r="B276" t="s">
        <v>668</v>
      </c>
      <c r="C276" t="s">
        <v>663</v>
      </c>
      <c r="D276" t="s">
        <v>664</v>
      </c>
      <c r="F276" t="str">
        <f>"1942993323"</f>
        <v>1942993323</v>
      </c>
      <c r="G276" t="str">
        <f>"9781942993322"</f>
        <v>9781942993322</v>
      </c>
      <c r="H276">
        <v>4</v>
      </c>
      <c r="I276">
        <v>4.1399999999999997</v>
      </c>
      <c r="J276" t="s">
        <v>669</v>
      </c>
      <c r="K276" t="s">
        <v>28</v>
      </c>
      <c r="L276">
        <v>200</v>
      </c>
      <c r="M276">
        <v>2016</v>
      </c>
      <c r="N276">
        <v>2008</v>
      </c>
      <c r="O276" s="1">
        <v>44851</v>
      </c>
      <c r="P276" s="1">
        <v>44849</v>
      </c>
      <c r="S276" t="s">
        <v>29</v>
      </c>
      <c r="W276">
        <v>1</v>
      </c>
      <c r="X276">
        <v>0</v>
      </c>
    </row>
    <row r="277" spans="1:24" x14ac:dyDescent="0.25">
      <c r="A277">
        <v>873</v>
      </c>
      <c r="B277" t="s">
        <v>670</v>
      </c>
      <c r="C277" t="s">
        <v>394</v>
      </c>
      <c r="D277" t="s">
        <v>395</v>
      </c>
      <c r="E277" t="s">
        <v>398</v>
      </c>
      <c r="F277" t="str">
        <f>"1591169232"</f>
        <v>1591169232</v>
      </c>
      <c r="G277" t="str">
        <f>"9781591169239"</f>
        <v>9781591169239</v>
      </c>
      <c r="H277">
        <v>5</v>
      </c>
      <c r="I277">
        <v>4.5199999999999996</v>
      </c>
      <c r="J277" t="s">
        <v>27</v>
      </c>
      <c r="K277" t="s">
        <v>28</v>
      </c>
      <c r="L277">
        <v>182</v>
      </c>
      <c r="M277">
        <v>2005</v>
      </c>
      <c r="N277">
        <v>2002</v>
      </c>
      <c r="O277" s="1">
        <v>44850</v>
      </c>
      <c r="P277" s="1">
        <v>44849</v>
      </c>
      <c r="S277" t="s">
        <v>29</v>
      </c>
      <c r="W277">
        <v>1</v>
      </c>
      <c r="X277">
        <v>0</v>
      </c>
    </row>
    <row r="278" spans="1:24" x14ac:dyDescent="0.25">
      <c r="A278">
        <v>43587154</v>
      </c>
      <c r="B278" t="s">
        <v>671</v>
      </c>
      <c r="C278" t="s">
        <v>672</v>
      </c>
      <c r="D278" t="s">
        <v>673</v>
      </c>
      <c r="F278" t="str">
        <f>"0316440884"</f>
        <v>0316440884</v>
      </c>
      <c r="G278" t="str">
        <f>"9780316440882"</f>
        <v>9780316440882</v>
      </c>
      <c r="H278">
        <v>0</v>
      </c>
      <c r="I278">
        <v>4.1100000000000003</v>
      </c>
      <c r="J278" t="s">
        <v>674</v>
      </c>
      <c r="K278" t="s">
        <v>28</v>
      </c>
      <c r="L278">
        <v>560</v>
      </c>
      <c r="M278">
        <v>2018</v>
      </c>
      <c r="N278">
        <v>2017</v>
      </c>
      <c r="P278" s="1">
        <v>44850</v>
      </c>
      <c r="Q278" t="s">
        <v>35</v>
      </c>
      <c r="R278" t="s">
        <v>675</v>
      </c>
      <c r="S278" t="s">
        <v>35</v>
      </c>
      <c r="W278">
        <v>0</v>
      </c>
      <c r="X278">
        <v>0</v>
      </c>
    </row>
    <row r="279" spans="1:24" x14ac:dyDescent="0.25">
      <c r="A279">
        <v>35994830</v>
      </c>
      <c r="B279" t="s">
        <v>676</v>
      </c>
      <c r="C279" t="s">
        <v>677</v>
      </c>
      <c r="D279" t="s">
        <v>678</v>
      </c>
      <c r="F279" t="str">
        <f>""</f>
        <v/>
      </c>
      <c r="G279" t="str">
        <f>""</f>
        <v/>
      </c>
      <c r="H279">
        <v>0</v>
      </c>
      <c r="I279">
        <v>4.2</v>
      </c>
      <c r="J279" t="s">
        <v>677</v>
      </c>
      <c r="K279" t="s">
        <v>133</v>
      </c>
      <c r="L279">
        <v>608</v>
      </c>
      <c r="M279">
        <v>2017</v>
      </c>
      <c r="N279">
        <v>2017</v>
      </c>
      <c r="P279" s="1">
        <v>44850</v>
      </c>
      <c r="Q279" t="s">
        <v>35</v>
      </c>
      <c r="R279" t="s">
        <v>679</v>
      </c>
      <c r="S279" t="s">
        <v>35</v>
      </c>
      <c r="W279">
        <v>0</v>
      </c>
      <c r="X279">
        <v>0</v>
      </c>
    </row>
    <row r="280" spans="1:24" x14ac:dyDescent="0.25">
      <c r="A280">
        <v>511240</v>
      </c>
      <c r="B280" t="s">
        <v>680</v>
      </c>
      <c r="C280" t="s">
        <v>681</v>
      </c>
      <c r="D280" t="s">
        <v>682</v>
      </c>
      <c r="E280" t="s">
        <v>683</v>
      </c>
      <c r="F280" t="str">
        <f>"1413903177"</f>
        <v>1413903177</v>
      </c>
      <c r="G280" t="str">
        <f>"9781413903171"</f>
        <v>9781413903171</v>
      </c>
      <c r="H280">
        <v>0</v>
      </c>
      <c r="I280">
        <v>4.33</v>
      </c>
      <c r="J280" t="s">
        <v>684</v>
      </c>
      <c r="K280" t="s">
        <v>28</v>
      </c>
      <c r="L280">
        <v>224</v>
      </c>
      <c r="M280">
        <v>2005</v>
      </c>
      <c r="N280">
        <v>2003</v>
      </c>
      <c r="P280" s="1">
        <v>44850</v>
      </c>
      <c r="Q280" t="s">
        <v>35</v>
      </c>
      <c r="R280" t="s">
        <v>685</v>
      </c>
      <c r="S280" t="s">
        <v>35</v>
      </c>
      <c r="W280">
        <v>0</v>
      </c>
      <c r="X280">
        <v>0</v>
      </c>
    </row>
    <row r="281" spans="1:24" x14ac:dyDescent="0.25">
      <c r="A281">
        <v>870</v>
      </c>
      <c r="B281" t="s">
        <v>686</v>
      </c>
      <c r="C281" t="s">
        <v>394</v>
      </c>
      <c r="D281" t="s">
        <v>395</v>
      </c>
      <c r="E281" t="s">
        <v>398</v>
      </c>
      <c r="F281" t="str">
        <f>"1591169208"</f>
        <v>1591169208</v>
      </c>
      <c r="G281" t="str">
        <f>"9781591169208"</f>
        <v>9781591169208</v>
      </c>
      <c r="H281">
        <v>5</v>
      </c>
      <c r="I281">
        <v>4.5199999999999996</v>
      </c>
      <c r="J281" t="s">
        <v>27</v>
      </c>
      <c r="K281" t="s">
        <v>28</v>
      </c>
      <c r="L281">
        <v>180</v>
      </c>
      <c r="M281">
        <v>2005</v>
      </c>
      <c r="N281">
        <v>2002</v>
      </c>
      <c r="O281" s="1">
        <v>44849</v>
      </c>
      <c r="P281" s="1">
        <v>44849</v>
      </c>
      <c r="S281" t="s">
        <v>29</v>
      </c>
      <c r="W281">
        <v>1</v>
      </c>
      <c r="X281">
        <v>0</v>
      </c>
    </row>
    <row r="282" spans="1:24" x14ac:dyDescent="0.25">
      <c r="A282">
        <v>26067755</v>
      </c>
      <c r="B282" t="s">
        <v>687</v>
      </c>
      <c r="C282" t="s">
        <v>663</v>
      </c>
      <c r="D282" t="s">
        <v>664</v>
      </c>
      <c r="F282" t="str">
        <f>"1942993315"</f>
        <v>1942993315</v>
      </c>
      <c r="G282" t="str">
        <f>"9781942993315"</f>
        <v>9781942993315</v>
      </c>
      <c r="H282">
        <v>4</v>
      </c>
      <c r="I282">
        <v>4.0199999999999996</v>
      </c>
      <c r="J282" t="s">
        <v>669</v>
      </c>
      <c r="K282" t="s">
        <v>28</v>
      </c>
      <c r="L282">
        <v>200</v>
      </c>
      <c r="M282">
        <v>2016</v>
      </c>
      <c r="N282">
        <v>2007</v>
      </c>
      <c r="O282" s="1">
        <v>44849</v>
      </c>
      <c r="P282" s="1">
        <v>44847</v>
      </c>
      <c r="S282" t="s">
        <v>29</v>
      </c>
      <c r="W282">
        <v>1</v>
      </c>
      <c r="X282">
        <v>0</v>
      </c>
    </row>
    <row r="283" spans="1:24" x14ac:dyDescent="0.25">
      <c r="A283">
        <v>8695</v>
      </c>
      <c r="B283" t="s">
        <v>688</v>
      </c>
      <c r="C283" t="s">
        <v>689</v>
      </c>
      <c r="D283" t="s">
        <v>690</v>
      </c>
      <c r="F283" t="str">
        <f>""</f>
        <v/>
      </c>
      <c r="G283" t="str">
        <f>""</f>
        <v/>
      </c>
      <c r="H283">
        <v>4</v>
      </c>
      <c r="I283">
        <v>4.21</v>
      </c>
      <c r="J283" t="s">
        <v>691</v>
      </c>
      <c r="K283" t="s">
        <v>28</v>
      </c>
      <c r="L283">
        <v>250</v>
      </c>
      <c r="M283">
        <v>2005</v>
      </c>
      <c r="N283">
        <v>1980</v>
      </c>
      <c r="O283" s="1">
        <v>44848</v>
      </c>
      <c r="P283" s="1">
        <v>44847</v>
      </c>
      <c r="S283" t="s">
        <v>29</v>
      </c>
      <c r="W283">
        <v>1</v>
      </c>
      <c r="X283">
        <v>0</v>
      </c>
    </row>
    <row r="284" spans="1:24" x14ac:dyDescent="0.25">
      <c r="A284">
        <v>1267078</v>
      </c>
      <c r="B284" t="s">
        <v>692</v>
      </c>
      <c r="C284" t="s">
        <v>332</v>
      </c>
      <c r="D284" t="s">
        <v>333</v>
      </c>
      <c r="F284" t="str">
        <f>"1569319219"</f>
        <v>1569319219</v>
      </c>
      <c r="G284" t="str">
        <f>"9781569319215"</f>
        <v>9781569319215</v>
      </c>
      <c r="H284">
        <v>5</v>
      </c>
      <c r="I284">
        <v>4.4400000000000004</v>
      </c>
      <c r="J284" t="s">
        <v>334</v>
      </c>
      <c r="K284" t="s">
        <v>28</v>
      </c>
      <c r="L284">
        <v>192</v>
      </c>
      <c r="M284">
        <v>2003</v>
      </c>
      <c r="N284">
        <v>1986</v>
      </c>
      <c r="O284" s="1">
        <v>44847</v>
      </c>
      <c r="P284" s="1">
        <v>44837</v>
      </c>
      <c r="S284" t="s">
        <v>29</v>
      </c>
      <c r="W284">
        <v>1</v>
      </c>
      <c r="X284">
        <v>0</v>
      </c>
    </row>
    <row r="285" spans="1:24" x14ac:dyDescent="0.25">
      <c r="A285">
        <v>13501745</v>
      </c>
      <c r="B285" t="s">
        <v>693</v>
      </c>
      <c r="C285" t="s">
        <v>663</v>
      </c>
      <c r="D285" t="s">
        <v>664</v>
      </c>
      <c r="E285" t="s">
        <v>665</v>
      </c>
      <c r="F285" t="str">
        <f>""</f>
        <v/>
      </c>
      <c r="G285" t="str">
        <f>"9789521614699"</f>
        <v>9789521614699</v>
      </c>
      <c r="H285">
        <v>3</v>
      </c>
      <c r="I285">
        <v>3.87</v>
      </c>
      <c r="J285" t="s">
        <v>666</v>
      </c>
      <c r="K285" t="s">
        <v>28</v>
      </c>
      <c r="L285">
        <v>178</v>
      </c>
      <c r="M285">
        <v>2012</v>
      </c>
      <c r="N285">
        <v>2007</v>
      </c>
      <c r="O285" s="1">
        <v>44847</v>
      </c>
      <c r="P285" s="1">
        <v>44847</v>
      </c>
      <c r="S285" t="s">
        <v>29</v>
      </c>
      <c r="W285">
        <v>1</v>
      </c>
      <c r="X285">
        <v>0</v>
      </c>
    </row>
    <row r="286" spans="1:24" x14ac:dyDescent="0.25">
      <c r="A286">
        <v>22438200</v>
      </c>
      <c r="B286" t="s">
        <v>694</v>
      </c>
      <c r="C286" t="s">
        <v>137</v>
      </c>
      <c r="D286" t="s">
        <v>138</v>
      </c>
      <c r="F286" t="str">
        <f>"4063632849"</f>
        <v>4063632849</v>
      </c>
      <c r="G286" t="str">
        <f>"9784063632842"</f>
        <v>9784063632842</v>
      </c>
      <c r="H286">
        <v>4</v>
      </c>
      <c r="I286">
        <v>4.34</v>
      </c>
      <c r="J286" t="s">
        <v>139</v>
      </c>
      <c r="K286" t="s">
        <v>28</v>
      </c>
      <c r="L286">
        <v>184</v>
      </c>
      <c r="M286">
        <v>2003</v>
      </c>
      <c r="N286">
        <v>2003</v>
      </c>
      <c r="O286" s="1">
        <v>44834</v>
      </c>
      <c r="P286" s="1">
        <v>44835</v>
      </c>
      <c r="S286" t="s">
        <v>29</v>
      </c>
      <c r="W286">
        <v>1</v>
      </c>
      <c r="X286">
        <v>0</v>
      </c>
    </row>
    <row r="287" spans="1:24" x14ac:dyDescent="0.25">
      <c r="A287">
        <v>27362503</v>
      </c>
      <c r="B287" t="s">
        <v>695</v>
      </c>
      <c r="C287" t="s">
        <v>696</v>
      </c>
      <c r="D287" t="s">
        <v>697</v>
      </c>
      <c r="F287" t="str">
        <f>""</f>
        <v/>
      </c>
      <c r="G287" t="str">
        <f>""</f>
        <v/>
      </c>
      <c r="H287">
        <v>0</v>
      </c>
      <c r="I287">
        <v>4.3499999999999996</v>
      </c>
      <c r="J287" t="s">
        <v>698</v>
      </c>
      <c r="K287" t="s">
        <v>133</v>
      </c>
      <c r="L287">
        <v>386</v>
      </c>
      <c r="M287">
        <v>2016</v>
      </c>
      <c r="N287">
        <v>2016</v>
      </c>
      <c r="P287" s="1">
        <v>44846</v>
      </c>
      <c r="Q287" t="s">
        <v>35</v>
      </c>
      <c r="R287" t="s">
        <v>699</v>
      </c>
      <c r="S287" t="s">
        <v>35</v>
      </c>
      <c r="W287">
        <v>0</v>
      </c>
      <c r="X287">
        <v>0</v>
      </c>
    </row>
    <row r="288" spans="1:24" x14ac:dyDescent="0.25">
      <c r="A288">
        <v>52500766</v>
      </c>
      <c r="B288" t="s">
        <v>700</v>
      </c>
      <c r="C288" t="s">
        <v>701</v>
      </c>
      <c r="D288" t="s">
        <v>702</v>
      </c>
      <c r="F288" t="str">
        <f>"1538717956"</f>
        <v>1538717956</v>
      </c>
      <c r="G288" t="str">
        <f>"9781538717950"</f>
        <v>9781538717950</v>
      </c>
      <c r="H288">
        <v>0</v>
      </c>
      <c r="I288">
        <v>4.38</v>
      </c>
      <c r="J288" t="s">
        <v>540</v>
      </c>
      <c r="K288" t="s">
        <v>34</v>
      </c>
      <c r="L288">
        <v>256</v>
      </c>
      <c r="M288">
        <v>2020</v>
      </c>
      <c r="N288">
        <v>2020</v>
      </c>
      <c r="P288" s="1">
        <v>44846</v>
      </c>
      <c r="Q288" t="s">
        <v>35</v>
      </c>
      <c r="R288" t="s">
        <v>703</v>
      </c>
      <c r="S288" t="s">
        <v>35</v>
      </c>
      <c r="W288">
        <v>0</v>
      </c>
      <c r="X288">
        <v>0</v>
      </c>
    </row>
    <row r="289" spans="1:24" x14ac:dyDescent="0.25">
      <c r="A289">
        <v>54062375</v>
      </c>
      <c r="B289" t="s">
        <v>704</v>
      </c>
      <c r="C289" t="s">
        <v>705</v>
      </c>
      <c r="D289" t="s">
        <v>706</v>
      </c>
      <c r="E289" t="s">
        <v>707</v>
      </c>
      <c r="F289" t="str">
        <f>""</f>
        <v/>
      </c>
      <c r="G289" t="str">
        <f>""</f>
        <v/>
      </c>
      <c r="H289">
        <v>5</v>
      </c>
      <c r="I289">
        <v>4.47</v>
      </c>
      <c r="K289" t="s">
        <v>609</v>
      </c>
      <c r="L289">
        <v>564</v>
      </c>
      <c r="M289">
        <v>2017</v>
      </c>
      <c r="O289" s="1">
        <v>44846</v>
      </c>
      <c r="P289" s="1">
        <v>44846</v>
      </c>
      <c r="S289" t="s">
        <v>29</v>
      </c>
      <c r="W289">
        <v>1</v>
      </c>
      <c r="X289">
        <v>0</v>
      </c>
    </row>
    <row r="290" spans="1:24" x14ac:dyDescent="0.25">
      <c r="A290">
        <v>54062364</v>
      </c>
      <c r="B290" t="s">
        <v>708</v>
      </c>
      <c r="C290" t="s">
        <v>705</v>
      </c>
      <c r="D290" t="s">
        <v>706</v>
      </c>
      <c r="E290" t="s">
        <v>707</v>
      </c>
      <c r="F290" t="str">
        <f>""</f>
        <v/>
      </c>
      <c r="G290" t="str">
        <f>""</f>
        <v/>
      </c>
      <c r="H290">
        <v>5</v>
      </c>
      <c r="I290">
        <v>4.4000000000000004</v>
      </c>
      <c r="K290" t="s">
        <v>609</v>
      </c>
      <c r="L290">
        <v>564</v>
      </c>
      <c r="M290">
        <v>2017</v>
      </c>
      <c r="O290" s="1">
        <v>44846</v>
      </c>
      <c r="P290" s="1">
        <v>44846</v>
      </c>
      <c r="S290" t="s">
        <v>29</v>
      </c>
      <c r="W290">
        <v>1</v>
      </c>
      <c r="X290">
        <v>0</v>
      </c>
    </row>
    <row r="291" spans="1:24" x14ac:dyDescent="0.25">
      <c r="A291">
        <v>54062350</v>
      </c>
      <c r="B291" t="s">
        <v>709</v>
      </c>
      <c r="C291" t="s">
        <v>705</v>
      </c>
      <c r="D291" t="s">
        <v>706</v>
      </c>
      <c r="E291" t="s">
        <v>707</v>
      </c>
      <c r="F291" t="str">
        <f>""</f>
        <v/>
      </c>
      <c r="G291" t="str">
        <f>""</f>
        <v/>
      </c>
      <c r="H291">
        <v>5</v>
      </c>
      <c r="I291">
        <v>4.42</v>
      </c>
      <c r="K291" t="s">
        <v>609</v>
      </c>
      <c r="L291">
        <v>564</v>
      </c>
      <c r="M291">
        <v>2017</v>
      </c>
      <c r="O291" s="1">
        <v>44846</v>
      </c>
      <c r="P291" s="1">
        <v>44846</v>
      </c>
      <c r="S291" t="s">
        <v>29</v>
      </c>
      <c r="W291">
        <v>1</v>
      </c>
      <c r="X291">
        <v>0</v>
      </c>
    </row>
    <row r="292" spans="1:24" x14ac:dyDescent="0.25">
      <c r="A292">
        <v>54062335</v>
      </c>
      <c r="B292" t="s">
        <v>710</v>
      </c>
      <c r="C292" t="s">
        <v>705</v>
      </c>
      <c r="D292" t="s">
        <v>706</v>
      </c>
      <c r="E292" t="s">
        <v>707</v>
      </c>
      <c r="F292" t="str">
        <f>""</f>
        <v/>
      </c>
      <c r="G292" t="str">
        <f>""</f>
        <v/>
      </c>
      <c r="H292">
        <v>5</v>
      </c>
      <c r="I292">
        <v>4.3899999999999997</v>
      </c>
      <c r="K292" t="s">
        <v>609</v>
      </c>
      <c r="L292">
        <v>564</v>
      </c>
      <c r="M292">
        <v>2017</v>
      </c>
      <c r="O292" s="1">
        <v>44846</v>
      </c>
      <c r="P292" s="1">
        <v>44845</v>
      </c>
      <c r="S292" t="s">
        <v>29</v>
      </c>
      <c r="W292">
        <v>1</v>
      </c>
      <c r="X292">
        <v>0</v>
      </c>
    </row>
    <row r="293" spans="1:24" x14ac:dyDescent="0.25">
      <c r="A293">
        <v>49628</v>
      </c>
      <c r="B293" t="s">
        <v>711</v>
      </c>
      <c r="C293" t="s">
        <v>712</v>
      </c>
      <c r="D293" t="s">
        <v>713</v>
      </c>
      <c r="F293" t="str">
        <f>"0375507256"</f>
        <v>0375507256</v>
      </c>
      <c r="G293" t="str">
        <f>"9780375507250"</f>
        <v>9780375507250</v>
      </c>
      <c r="H293">
        <v>0</v>
      </c>
      <c r="I293">
        <v>4.01</v>
      </c>
      <c r="J293" t="s">
        <v>714</v>
      </c>
      <c r="K293" t="s">
        <v>28</v>
      </c>
      <c r="L293">
        <v>509</v>
      </c>
      <c r="M293">
        <v>2004</v>
      </c>
      <c r="N293">
        <v>2004</v>
      </c>
      <c r="P293" s="1">
        <v>44845</v>
      </c>
      <c r="Q293" t="s">
        <v>35</v>
      </c>
      <c r="R293" t="s">
        <v>715</v>
      </c>
      <c r="S293" t="s">
        <v>35</v>
      </c>
      <c r="W293">
        <v>0</v>
      </c>
      <c r="X293">
        <v>0</v>
      </c>
    </row>
    <row r="294" spans="1:24" x14ac:dyDescent="0.25">
      <c r="A294">
        <v>54062302</v>
      </c>
      <c r="B294" t="s">
        <v>716</v>
      </c>
      <c r="C294" t="s">
        <v>705</v>
      </c>
      <c r="D294" t="s">
        <v>706</v>
      </c>
      <c r="E294" t="s">
        <v>707</v>
      </c>
      <c r="F294" t="str">
        <f>""</f>
        <v/>
      </c>
      <c r="G294" t="str">
        <f>""</f>
        <v/>
      </c>
      <c r="H294">
        <v>5</v>
      </c>
      <c r="I294">
        <v>4.4000000000000004</v>
      </c>
      <c r="K294" t="s">
        <v>28</v>
      </c>
      <c r="L294">
        <v>564</v>
      </c>
      <c r="M294">
        <v>2017</v>
      </c>
      <c r="N294">
        <v>2017</v>
      </c>
      <c r="O294" s="1">
        <v>44845</v>
      </c>
      <c r="P294" s="1">
        <v>44845</v>
      </c>
      <c r="S294" t="s">
        <v>29</v>
      </c>
      <c r="W294">
        <v>1</v>
      </c>
      <c r="X294">
        <v>0</v>
      </c>
    </row>
    <row r="295" spans="1:24" x14ac:dyDescent="0.25">
      <c r="A295">
        <v>40604658</v>
      </c>
      <c r="B295" t="s">
        <v>717</v>
      </c>
      <c r="C295" t="s">
        <v>718</v>
      </c>
      <c r="D295" t="s">
        <v>719</v>
      </c>
      <c r="F295" t="str">
        <f>""</f>
        <v/>
      </c>
      <c r="G295" t="str">
        <f>""</f>
        <v/>
      </c>
      <c r="H295">
        <v>0</v>
      </c>
      <c r="I295">
        <v>4.08</v>
      </c>
      <c r="J295" t="s">
        <v>720</v>
      </c>
      <c r="K295" t="s">
        <v>133</v>
      </c>
      <c r="L295">
        <v>466</v>
      </c>
      <c r="M295">
        <v>2012</v>
      </c>
      <c r="N295">
        <v>1990</v>
      </c>
      <c r="P295" s="1">
        <v>44844</v>
      </c>
      <c r="Q295" t="s">
        <v>35</v>
      </c>
      <c r="R295" t="s">
        <v>721</v>
      </c>
      <c r="S295" t="s">
        <v>35</v>
      </c>
      <c r="W295">
        <v>0</v>
      </c>
      <c r="X295">
        <v>0</v>
      </c>
    </row>
    <row r="296" spans="1:24" x14ac:dyDescent="0.25">
      <c r="A296">
        <v>60850767</v>
      </c>
      <c r="B296" t="s">
        <v>722</v>
      </c>
      <c r="C296" t="s">
        <v>723</v>
      </c>
      <c r="D296" t="s">
        <v>724</v>
      </c>
      <c r="F296" t="str">
        <f>""</f>
        <v/>
      </c>
      <c r="G296" t="str">
        <f>""</f>
        <v/>
      </c>
      <c r="H296">
        <v>0</v>
      </c>
      <c r="I296">
        <v>4.1900000000000004</v>
      </c>
      <c r="J296" t="s">
        <v>725</v>
      </c>
      <c r="K296" t="s">
        <v>133</v>
      </c>
      <c r="L296">
        <v>486</v>
      </c>
      <c r="M296">
        <v>2022</v>
      </c>
      <c r="N296">
        <v>2023</v>
      </c>
      <c r="P296" s="1">
        <v>44844</v>
      </c>
      <c r="Q296" t="s">
        <v>35</v>
      </c>
      <c r="R296" t="s">
        <v>726</v>
      </c>
      <c r="S296" t="s">
        <v>35</v>
      </c>
      <c r="W296">
        <v>0</v>
      </c>
      <c r="X296">
        <v>0</v>
      </c>
    </row>
    <row r="297" spans="1:24" x14ac:dyDescent="0.25">
      <c r="A297">
        <v>40376072</v>
      </c>
      <c r="B297" t="s">
        <v>727</v>
      </c>
      <c r="C297" t="s">
        <v>723</v>
      </c>
      <c r="D297" t="s">
        <v>724</v>
      </c>
      <c r="E297" t="s">
        <v>728</v>
      </c>
      <c r="F297" t="str">
        <f>""</f>
        <v/>
      </c>
      <c r="G297" t="str">
        <f>""</f>
        <v/>
      </c>
      <c r="H297">
        <v>0</v>
      </c>
      <c r="I297">
        <v>4.0599999999999996</v>
      </c>
      <c r="J297" t="s">
        <v>729</v>
      </c>
      <c r="K297" t="s">
        <v>730</v>
      </c>
      <c r="L297">
        <v>15</v>
      </c>
      <c r="M297">
        <v>2019</v>
      </c>
      <c r="N297">
        <v>2019</v>
      </c>
      <c r="P297" s="1">
        <v>44844</v>
      </c>
      <c r="Q297" t="s">
        <v>35</v>
      </c>
      <c r="R297" t="s">
        <v>731</v>
      </c>
      <c r="S297" t="s">
        <v>35</v>
      </c>
      <c r="W297">
        <v>0</v>
      </c>
      <c r="X297">
        <v>0</v>
      </c>
    </row>
    <row r="298" spans="1:24" x14ac:dyDescent="0.25">
      <c r="A298">
        <v>25499718</v>
      </c>
      <c r="B298" t="s">
        <v>732</v>
      </c>
      <c r="C298" t="s">
        <v>723</v>
      </c>
      <c r="D298" t="s">
        <v>724</v>
      </c>
      <c r="F298" t="str">
        <f>"1447273281"</f>
        <v>1447273281</v>
      </c>
      <c r="G298" t="str">
        <f>"9781447273288"</f>
        <v>9781447273288</v>
      </c>
      <c r="H298">
        <v>0</v>
      </c>
      <c r="I298">
        <v>4.29</v>
      </c>
      <c r="J298" t="s">
        <v>733</v>
      </c>
      <c r="K298" t="s">
        <v>34</v>
      </c>
      <c r="L298">
        <v>600</v>
      </c>
      <c r="M298">
        <v>2015</v>
      </c>
      <c r="N298">
        <v>2015</v>
      </c>
      <c r="P298" s="1">
        <v>44844</v>
      </c>
      <c r="Q298" t="s">
        <v>35</v>
      </c>
      <c r="R298" t="s">
        <v>734</v>
      </c>
      <c r="S298" t="s">
        <v>35</v>
      </c>
      <c r="W298">
        <v>0</v>
      </c>
      <c r="X298">
        <v>0</v>
      </c>
    </row>
    <row r="299" spans="1:24" x14ac:dyDescent="0.25">
      <c r="A299">
        <v>40940649</v>
      </c>
      <c r="B299" t="s">
        <v>735</v>
      </c>
      <c r="C299" t="s">
        <v>736</v>
      </c>
      <c r="D299" t="s">
        <v>737</v>
      </c>
      <c r="F299" t="str">
        <f>""</f>
        <v/>
      </c>
      <c r="G299" t="str">
        <f>""</f>
        <v/>
      </c>
      <c r="H299">
        <v>0</v>
      </c>
      <c r="I299">
        <v>4.0599999999999996</v>
      </c>
      <c r="J299" t="s">
        <v>738</v>
      </c>
      <c r="K299" t="s">
        <v>133</v>
      </c>
      <c r="L299">
        <v>162</v>
      </c>
      <c r="M299">
        <v>2011</v>
      </c>
      <c r="N299">
        <v>1954</v>
      </c>
      <c r="P299" s="1">
        <v>44844</v>
      </c>
      <c r="Q299" t="s">
        <v>35</v>
      </c>
      <c r="R299" t="s">
        <v>739</v>
      </c>
      <c r="S299" t="s">
        <v>35</v>
      </c>
      <c r="W299">
        <v>0</v>
      </c>
      <c r="X299">
        <v>0</v>
      </c>
    </row>
    <row r="300" spans="1:24" x14ac:dyDescent="0.25">
      <c r="A300">
        <v>61352767</v>
      </c>
      <c r="B300" t="s">
        <v>740</v>
      </c>
      <c r="C300" t="s">
        <v>519</v>
      </c>
      <c r="D300" t="s">
        <v>520</v>
      </c>
      <c r="F300" t="str">
        <f>""</f>
        <v/>
      </c>
      <c r="G300" t="str">
        <f>""</f>
        <v/>
      </c>
      <c r="H300">
        <v>2</v>
      </c>
      <c r="I300">
        <v>4.12</v>
      </c>
      <c r="O300" s="1">
        <v>44844</v>
      </c>
      <c r="P300" s="1">
        <v>44844</v>
      </c>
      <c r="S300" t="s">
        <v>29</v>
      </c>
      <c r="W300">
        <v>1</v>
      </c>
      <c r="X300">
        <v>0</v>
      </c>
    </row>
    <row r="301" spans="1:24" x14ac:dyDescent="0.25">
      <c r="A301">
        <v>61352763</v>
      </c>
      <c r="B301" t="s">
        <v>741</v>
      </c>
      <c r="C301" t="s">
        <v>519</v>
      </c>
      <c r="D301" t="s">
        <v>520</v>
      </c>
      <c r="F301" t="str">
        <f>""</f>
        <v/>
      </c>
      <c r="G301" t="str">
        <f>""</f>
        <v/>
      </c>
      <c r="H301">
        <v>2</v>
      </c>
      <c r="I301">
        <v>4.22</v>
      </c>
      <c r="O301" s="1">
        <v>44844</v>
      </c>
      <c r="P301" s="1">
        <v>44844</v>
      </c>
      <c r="S301" t="s">
        <v>29</v>
      </c>
      <c r="W301">
        <v>1</v>
      </c>
      <c r="X301">
        <v>0</v>
      </c>
    </row>
    <row r="302" spans="1:24" x14ac:dyDescent="0.25">
      <c r="A302">
        <v>61352762</v>
      </c>
      <c r="B302" t="s">
        <v>742</v>
      </c>
      <c r="C302" t="s">
        <v>519</v>
      </c>
      <c r="D302" t="s">
        <v>520</v>
      </c>
      <c r="F302" t="str">
        <f>""</f>
        <v/>
      </c>
      <c r="G302" t="str">
        <f>""</f>
        <v/>
      </c>
      <c r="H302">
        <v>2</v>
      </c>
      <c r="I302">
        <v>4.22</v>
      </c>
      <c r="O302" s="1">
        <v>44844</v>
      </c>
      <c r="P302" s="1">
        <v>44844</v>
      </c>
      <c r="S302" t="s">
        <v>29</v>
      </c>
      <c r="W302">
        <v>1</v>
      </c>
      <c r="X302">
        <v>0</v>
      </c>
    </row>
    <row r="303" spans="1:24" x14ac:dyDescent="0.25">
      <c r="A303">
        <v>61352761</v>
      </c>
      <c r="B303" t="s">
        <v>743</v>
      </c>
      <c r="C303" t="s">
        <v>519</v>
      </c>
      <c r="D303" t="s">
        <v>520</v>
      </c>
      <c r="F303" t="str">
        <f>""</f>
        <v/>
      </c>
      <c r="G303" t="str">
        <f>""</f>
        <v/>
      </c>
      <c r="H303">
        <v>3</v>
      </c>
      <c r="I303">
        <v>4.12</v>
      </c>
      <c r="O303" s="1">
        <v>44844</v>
      </c>
      <c r="P303" s="1">
        <v>44844</v>
      </c>
      <c r="S303" t="s">
        <v>29</v>
      </c>
      <c r="W303">
        <v>1</v>
      </c>
      <c r="X303">
        <v>0</v>
      </c>
    </row>
    <row r="304" spans="1:24" x14ac:dyDescent="0.25">
      <c r="A304">
        <v>61352760</v>
      </c>
      <c r="B304" t="s">
        <v>744</v>
      </c>
      <c r="C304" t="s">
        <v>519</v>
      </c>
      <c r="D304" t="s">
        <v>520</v>
      </c>
      <c r="F304" t="str">
        <f>""</f>
        <v/>
      </c>
      <c r="G304" t="str">
        <f>""</f>
        <v/>
      </c>
      <c r="H304">
        <v>4</v>
      </c>
      <c r="I304">
        <v>4.25</v>
      </c>
      <c r="O304" s="1">
        <v>44844</v>
      </c>
      <c r="P304" s="1">
        <v>44844</v>
      </c>
      <c r="S304" t="s">
        <v>29</v>
      </c>
      <c r="W304">
        <v>1</v>
      </c>
      <c r="X304">
        <v>0</v>
      </c>
    </row>
    <row r="305" spans="1:24" x14ac:dyDescent="0.25">
      <c r="A305">
        <v>61352758</v>
      </c>
      <c r="B305" t="s">
        <v>745</v>
      </c>
      <c r="C305" t="s">
        <v>519</v>
      </c>
      <c r="D305" t="s">
        <v>520</v>
      </c>
      <c r="F305" t="str">
        <f>""</f>
        <v/>
      </c>
      <c r="G305" t="str">
        <f>""</f>
        <v/>
      </c>
      <c r="H305">
        <v>3</v>
      </c>
      <c r="I305">
        <v>4.22</v>
      </c>
      <c r="O305" s="1">
        <v>44844</v>
      </c>
      <c r="P305" s="1">
        <v>44844</v>
      </c>
      <c r="S305" t="s">
        <v>29</v>
      </c>
      <c r="W305">
        <v>1</v>
      </c>
      <c r="X305">
        <v>0</v>
      </c>
    </row>
    <row r="306" spans="1:24" x14ac:dyDescent="0.25">
      <c r="A306">
        <v>61352756</v>
      </c>
      <c r="B306" t="s">
        <v>746</v>
      </c>
      <c r="C306" t="s">
        <v>519</v>
      </c>
      <c r="D306" t="s">
        <v>520</v>
      </c>
      <c r="F306" t="str">
        <f>""</f>
        <v/>
      </c>
      <c r="G306" t="str">
        <f>""</f>
        <v/>
      </c>
      <c r="H306">
        <v>3</v>
      </c>
      <c r="I306">
        <v>4.12</v>
      </c>
      <c r="O306" s="1">
        <v>44844</v>
      </c>
      <c r="P306" s="1">
        <v>44844</v>
      </c>
      <c r="S306" t="s">
        <v>29</v>
      </c>
      <c r="W306">
        <v>1</v>
      </c>
      <c r="X306">
        <v>0</v>
      </c>
    </row>
    <row r="307" spans="1:24" x14ac:dyDescent="0.25">
      <c r="A307">
        <v>61352753</v>
      </c>
      <c r="B307" t="s">
        <v>747</v>
      </c>
      <c r="C307" t="s">
        <v>519</v>
      </c>
      <c r="D307" t="s">
        <v>520</v>
      </c>
      <c r="F307" t="str">
        <f>""</f>
        <v/>
      </c>
      <c r="G307" t="str">
        <f>""</f>
        <v/>
      </c>
      <c r="H307">
        <v>3</v>
      </c>
      <c r="I307">
        <v>4</v>
      </c>
      <c r="O307" s="1">
        <v>44844</v>
      </c>
      <c r="P307" s="1">
        <v>44843</v>
      </c>
      <c r="S307" t="s">
        <v>29</v>
      </c>
      <c r="W307">
        <v>1</v>
      </c>
      <c r="X307">
        <v>0</v>
      </c>
    </row>
    <row r="308" spans="1:24" x14ac:dyDescent="0.25">
      <c r="A308">
        <v>61352749</v>
      </c>
      <c r="B308" t="s">
        <v>748</v>
      </c>
      <c r="C308" t="s">
        <v>519</v>
      </c>
      <c r="D308" t="s">
        <v>520</v>
      </c>
      <c r="F308" t="str">
        <f>""</f>
        <v/>
      </c>
      <c r="G308" t="str">
        <f>""</f>
        <v/>
      </c>
      <c r="H308">
        <v>3</v>
      </c>
      <c r="I308">
        <v>4.12</v>
      </c>
      <c r="O308" s="1">
        <v>44843</v>
      </c>
      <c r="P308" s="1">
        <v>44843</v>
      </c>
      <c r="S308" t="s">
        <v>29</v>
      </c>
      <c r="W308">
        <v>1</v>
      </c>
      <c r="X308">
        <v>0</v>
      </c>
    </row>
    <row r="309" spans="1:24" x14ac:dyDescent="0.25">
      <c r="A309">
        <v>61352747</v>
      </c>
      <c r="B309" t="s">
        <v>749</v>
      </c>
      <c r="C309" t="s">
        <v>519</v>
      </c>
      <c r="D309" t="s">
        <v>520</v>
      </c>
      <c r="F309" t="str">
        <f>""</f>
        <v/>
      </c>
      <c r="G309" t="str">
        <f>""</f>
        <v/>
      </c>
      <c r="H309">
        <v>5</v>
      </c>
      <c r="I309">
        <v>4.5</v>
      </c>
      <c r="O309" s="1">
        <v>44843</v>
      </c>
      <c r="P309" s="1">
        <v>44843</v>
      </c>
      <c r="S309" t="s">
        <v>29</v>
      </c>
      <c r="W309">
        <v>1</v>
      </c>
      <c r="X309">
        <v>0</v>
      </c>
    </row>
    <row r="310" spans="1:24" x14ac:dyDescent="0.25">
      <c r="A310">
        <v>61352744</v>
      </c>
      <c r="B310" t="s">
        <v>750</v>
      </c>
      <c r="C310" t="s">
        <v>519</v>
      </c>
      <c r="D310" t="s">
        <v>520</v>
      </c>
      <c r="F310" t="str">
        <f>""</f>
        <v/>
      </c>
      <c r="G310" t="str">
        <f>""</f>
        <v/>
      </c>
      <c r="H310">
        <v>5</v>
      </c>
      <c r="I310">
        <v>4.5</v>
      </c>
      <c r="O310" s="1">
        <v>44843</v>
      </c>
      <c r="P310" s="1">
        <v>44843</v>
      </c>
      <c r="S310" t="s">
        <v>29</v>
      </c>
      <c r="W310">
        <v>1</v>
      </c>
      <c r="X310">
        <v>0</v>
      </c>
    </row>
    <row r="311" spans="1:24" x14ac:dyDescent="0.25">
      <c r="A311">
        <v>61352741</v>
      </c>
      <c r="B311" t="s">
        <v>751</v>
      </c>
      <c r="C311" t="s">
        <v>519</v>
      </c>
      <c r="D311" t="s">
        <v>520</v>
      </c>
      <c r="F311" t="str">
        <f>""</f>
        <v/>
      </c>
      <c r="G311" t="str">
        <f>""</f>
        <v/>
      </c>
      <c r="H311">
        <v>5</v>
      </c>
      <c r="I311">
        <v>4.38</v>
      </c>
      <c r="O311" s="1">
        <v>44843</v>
      </c>
      <c r="P311" s="1">
        <v>44843</v>
      </c>
      <c r="S311" t="s">
        <v>29</v>
      </c>
      <c r="W311">
        <v>1</v>
      </c>
      <c r="X311">
        <v>0</v>
      </c>
    </row>
    <row r="312" spans="1:24" x14ac:dyDescent="0.25">
      <c r="A312">
        <v>61352740</v>
      </c>
      <c r="B312" t="s">
        <v>752</v>
      </c>
      <c r="C312" t="s">
        <v>519</v>
      </c>
      <c r="D312" t="s">
        <v>520</v>
      </c>
      <c r="F312" t="str">
        <f>""</f>
        <v/>
      </c>
      <c r="G312" t="str">
        <f>""</f>
        <v/>
      </c>
      <c r="H312">
        <v>4</v>
      </c>
      <c r="I312">
        <v>4.25</v>
      </c>
      <c r="O312" s="1">
        <v>44843</v>
      </c>
      <c r="P312" s="1">
        <v>44842</v>
      </c>
      <c r="S312" t="s">
        <v>29</v>
      </c>
      <c r="W312">
        <v>1</v>
      </c>
      <c r="X312">
        <v>0</v>
      </c>
    </row>
    <row r="313" spans="1:24" x14ac:dyDescent="0.25">
      <c r="A313">
        <v>61344881</v>
      </c>
      <c r="B313" t="s">
        <v>753</v>
      </c>
      <c r="C313" t="s">
        <v>519</v>
      </c>
      <c r="D313" t="s">
        <v>520</v>
      </c>
      <c r="F313" t="str">
        <f>""</f>
        <v/>
      </c>
      <c r="G313" t="str">
        <f>""</f>
        <v/>
      </c>
      <c r="H313">
        <v>4</v>
      </c>
      <c r="I313">
        <v>4.38</v>
      </c>
      <c r="O313" s="1">
        <v>44842</v>
      </c>
      <c r="P313" s="1">
        <v>44842</v>
      </c>
      <c r="S313" t="s">
        <v>29</v>
      </c>
      <c r="W313">
        <v>1</v>
      </c>
      <c r="X313">
        <v>0</v>
      </c>
    </row>
    <row r="314" spans="1:24" x14ac:dyDescent="0.25">
      <c r="A314">
        <v>61344865</v>
      </c>
      <c r="B314" t="s">
        <v>754</v>
      </c>
      <c r="C314" t="s">
        <v>519</v>
      </c>
      <c r="D314" t="s">
        <v>520</v>
      </c>
      <c r="F314" t="str">
        <f>""</f>
        <v/>
      </c>
      <c r="G314" t="str">
        <f>""</f>
        <v/>
      </c>
      <c r="H314">
        <v>4</v>
      </c>
      <c r="I314">
        <v>4.38</v>
      </c>
      <c r="O314" s="1">
        <v>44842</v>
      </c>
      <c r="P314" s="1">
        <v>44842</v>
      </c>
      <c r="S314" t="s">
        <v>29</v>
      </c>
      <c r="W314">
        <v>1</v>
      </c>
      <c r="X314">
        <v>0</v>
      </c>
    </row>
    <row r="315" spans="1:24" x14ac:dyDescent="0.25">
      <c r="A315">
        <v>61344864</v>
      </c>
      <c r="B315" t="s">
        <v>755</v>
      </c>
      <c r="C315" t="s">
        <v>519</v>
      </c>
      <c r="D315" t="s">
        <v>520</v>
      </c>
      <c r="F315" t="str">
        <f>""</f>
        <v/>
      </c>
      <c r="G315" t="str">
        <f>""</f>
        <v/>
      </c>
      <c r="H315">
        <v>5</v>
      </c>
      <c r="I315">
        <v>4.57</v>
      </c>
      <c r="O315" s="1">
        <v>44842</v>
      </c>
      <c r="P315" s="1">
        <v>44841</v>
      </c>
      <c r="S315" t="s">
        <v>29</v>
      </c>
      <c r="W315">
        <v>1</v>
      </c>
      <c r="X315">
        <v>0</v>
      </c>
    </row>
    <row r="316" spans="1:24" x14ac:dyDescent="0.25">
      <c r="A316">
        <v>61344860</v>
      </c>
      <c r="B316" t="s">
        <v>756</v>
      </c>
      <c r="C316" t="s">
        <v>519</v>
      </c>
      <c r="D316" t="s">
        <v>520</v>
      </c>
      <c r="F316" t="str">
        <f>""</f>
        <v/>
      </c>
      <c r="G316" t="str">
        <f>""</f>
        <v/>
      </c>
      <c r="H316">
        <v>4</v>
      </c>
      <c r="I316">
        <v>4.25</v>
      </c>
      <c r="O316" s="1">
        <v>44841</v>
      </c>
      <c r="P316" s="1">
        <v>44841</v>
      </c>
      <c r="S316" t="s">
        <v>29</v>
      </c>
      <c r="W316">
        <v>1</v>
      </c>
      <c r="X316">
        <v>0</v>
      </c>
    </row>
    <row r="317" spans="1:24" x14ac:dyDescent="0.25">
      <c r="A317">
        <v>61344853</v>
      </c>
      <c r="B317" t="s">
        <v>757</v>
      </c>
      <c r="C317" t="s">
        <v>519</v>
      </c>
      <c r="D317" t="s">
        <v>520</v>
      </c>
      <c r="F317" t="str">
        <f>""</f>
        <v/>
      </c>
      <c r="G317" t="str">
        <f>""</f>
        <v/>
      </c>
      <c r="H317">
        <v>4</v>
      </c>
      <c r="I317">
        <v>4.1399999999999997</v>
      </c>
      <c r="O317" s="1">
        <v>44841</v>
      </c>
      <c r="P317" s="1">
        <v>44841</v>
      </c>
      <c r="S317" t="s">
        <v>29</v>
      </c>
      <c r="W317">
        <v>1</v>
      </c>
      <c r="X317">
        <v>0</v>
      </c>
    </row>
    <row r="318" spans="1:24" x14ac:dyDescent="0.25">
      <c r="A318">
        <v>61344850</v>
      </c>
      <c r="B318" t="s">
        <v>758</v>
      </c>
      <c r="C318" t="s">
        <v>519</v>
      </c>
      <c r="D318" t="s">
        <v>520</v>
      </c>
      <c r="F318" t="str">
        <f>""</f>
        <v/>
      </c>
      <c r="G318" t="str">
        <f>""</f>
        <v/>
      </c>
      <c r="H318">
        <v>4</v>
      </c>
      <c r="I318">
        <v>4.3</v>
      </c>
      <c r="O318" s="1">
        <v>44841</v>
      </c>
      <c r="P318" s="1">
        <v>44840</v>
      </c>
      <c r="S318" t="s">
        <v>29</v>
      </c>
      <c r="W318">
        <v>1</v>
      </c>
      <c r="X318">
        <v>0</v>
      </c>
    </row>
    <row r="319" spans="1:24" x14ac:dyDescent="0.25">
      <c r="A319">
        <v>61344848</v>
      </c>
      <c r="B319" t="s">
        <v>759</v>
      </c>
      <c r="C319" t="s">
        <v>519</v>
      </c>
      <c r="D319" t="s">
        <v>520</v>
      </c>
      <c r="F319" t="str">
        <f>""</f>
        <v/>
      </c>
      <c r="G319" t="str">
        <f>""</f>
        <v/>
      </c>
      <c r="H319">
        <v>4</v>
      </c>
      <c r="I319">
        <v>4.3600000000000003</v>
      </c>
      <c r="O319" s="1">
        <v>44840</v>
      </c>
      <c r="P319" s="1">
        <v>44839</v>
      </c>
      <c r="S319" t="s">
        <v>29</v>
      </c>
      <c r="W319">
        <v>1</v>
      </c>
      <c r="X319">
        <v>0</v>
      </c>
    </row>
    <row r="320" spans="1:24" x14ac:dyDescent="0.25">
      <c r="A320">
        <v>61344847</v>
      </c>
      <c r="B320" t="s">
        <v>760</v>
      </c>
      <c r="C320" t="s">
        <v>519</v>
      </c>
      <c r="D320" t="s">
        <v>520</v>
      </c>
      <c r="F320" t="str">
        <f>""</f>
        <v/>
      </c>
      <c r="G320" t="str">
        <f>""</f>
        <v/>
      </c>
      <c r="H320">
        <v>5</v>
      </c>
      <c r="I320">
        <v>4.42</v>
      </c>
      <c r="O320" s="1">
        <v>44839</v>
      </c>
      <c r="P320" s="1">
        <v>44839</v>
      </c>
      <c r="S320" t="s">
        <v>29</v>
      </c>
      <c r="W320">
        <v>1</v>
      </c>
      <c r="X320">
        <v>0</v>
      </c>
    </row>
    <row r="321" spans="1:24" x14ac:dyDescent="0.25">
      <c r="A321">
        <v>61344844</v>
      </c>
      <c r="B321" t="s">
        <v>761</v>
      </c>
      <c r="C321" t="s">
        <v>519</v>
      </c>
      <c r="D321" t="s">
        <v>520</v>
      </c>
      <c r="F321" t="str">
        <f>""</f>
        <v/>
      </c>
      <c r="G321" t="str">
        <f>""</f>
        <v/>
      </c>
      <c r="H321">
        <v>5</v>
      </c>
      <c r="I321">
        <v>4.3600000000000003</v>
      </c>
      <c r="O321" s="1">
        <v>44839</v>
      </c>
      <c r="P321" s="1">
        <v>44838</v>
      </c>
      <c r="S321" t="s">
        <v>29</v>
      </c>
      <c r="W321">
        <v>1</v>
      </c>
      <c r="X321">
        <v>0</v>
      </c>
    </row>
    <row r="322" spans="1:24" x14ac:dyDescent="0.25">
      <c r="A322">
        <v>61344841</v>
      </c>
      <c r="B322" t="s">
        <v>762</v>
      </c>
      <c r="C322" t="s">
        <v>519</v>
      </c>
      <c r="D322" t="s">
        <v>520</v>
      </c>
      <c r="F322" t="str">
        <f>""</f>
        <v/>
      </c>
      <c r="G322" t="str">
        <f>""</f>
        <v/>
      </c>
      <c r="H322">
        <v>5</v>
      </c>
      <c r="I322">
        <v>4.2699999999999996</v>
      </c>
      <c r="O322" s="1">
        <v>44838</v>
      </c>
      <c r="P322" s="1">
        <v>44837</v>
      </c>
      <c r="S322" t="s">
        <v>29</v>
      </c>
      <c r="W322">
        <v>1</v>
      </c>
      <c r="X322">
        <v>0</v>
      </c>
    </row>
    <row r="323" spans="1:24" x14ac:dyDescent="0.25">
      <c r="A323">
        <v>61317599</v>
      </c>
      <c r="B323" t="s">
        <v>763</v>
      </c>
      <c r="C323" t="s">
        <v>519</v>
      </c>
      <c r="D323" t="s">
        <v>520</v>
      </c>
      <c r="F323" t="str">
        <f>""</f>
        <v/>
      </c>
      <c r="G323" t="str">
        <f>""</f>
        <v/>
      </c>
      <c r="H323">
        <v>5</v>
      </c>
      <c r="I323">
        <v>4.29</v>
      </c>
      <c r="O323" s="1">
        <v>44837</v>
      </c>
      <c r="P323" s="1">
        <v>44837</v>
      </c>
      <c r="S323" t="s">
        <v>29</v>
      </c>
      <c r="W323">
        <v>1</v>
      </c>
      <c r="X323">
        <v>0</v>
      </c>
    </row>
    <row r="324" spans="1:24" x14ac:dyDescent="0.25">
      <c r="A324">
        <v>969275</v>
      </c>
      <c r="B324" t="s">
        <v>764</v>
      </c>
      <c r="C324" t="s">
        <v>332</v>
      </c>
      <c r="D324" t="s">
        <v>333</v>
      </c>
      <c r="F324" t="str">
        <f>"0575077352"</f>
        <v>0575077352</v>
      </c>
      <c r="G324" t="str">
        <f>"9780575077355"</f>
        <v>9780575077355</v>
      </c>
      <c r="H324">
        <v>5</v>
      </c>
      <c r="I324">
        <v>4.4400000000000004</v>
      </c>
      <c r="J324" t="s">
        <v>334</v>
      </c>
      <c r="K324" t="s">
        <v>28</v>
      </c>
      <c r="L324">
        <v>192</v>
      </c>
      <c r="M324">
        <v>2003</v>
      </c>
      <c r="N324">
        <v>1985</v>
      </c>
      <c r="O324" s="1">
        <v>44837</v>
      </c>
      <c r="P324" s="1">
        <v>44834</v>
      </c>
      <c r="S324" t="s">
        <v>29</v>
      </c>
      <c r="W324">
        <v>1</v>
      </c>
      <c r="X324">
        <v>0</v>
      </c>
    </row>
    <row r="325" spans="1:24" x14ac:dyDescent="0.25">
      <c r="A325">
        <v>61196177</v>
      </c>
      <c r="B325" t="s">
        <v>765</v>
      </c>
      <c r="C325" t="s">
        <v>519</v>
      </c>
      <c r="D325" t="s">
        <v>520</v>
      </c>
      <c r="F325" t="str">
        <f>"1167790731"</f>
        <v>1167790731</v>
      </c>
      <c r="G325" t="str">
        <f>"9791167790736"</f>
        <v>9791167790736</v>
      </c>
      <c r="H325">
        <v>5</v>
      </c>
      <c r="I325">
        <v>4.57</v>
      </c>
      <c r="J325" t="s">
        <v>766</v>
      </c>
      <c r="L325">
        <v>288</v>
      </c>
      <c r="M325">
        <v>2022</v>
      </c>
      <c r="O325" s="1">
        <v>44837</v>
      </c>
      <c r="P325" s="1">
        <v>44837</v>
      </c>
      <c r="S325" t="s">
        <v>29</v>
      </c>
      <c r="W325">
        <v>1</v>
      </c>
      <c r="X325">
        <v>0</v>
      </c>
    </row>
    <row r="326" spans="1:24" x14ac:dyDescent="0.25">
      <c r="A326">
        <v>22459743</v>
      </c>
      <c r="B326" t="s">
        <v>767</v>
      </c>
      <c r="C326" t="s">
        <v>519</v>
      </c>
      <c r="D326" t="s">
        <v>520</v>
      </c>
      <c r="F326" t="str">
        <f>""</f>
        <v/>
      </c>
      <c r="G326" t="str">
        <f>""</f>
        <v/>
      </c>
      <c r="H326">
        <v>5</v>
      </c>
      <c r="I326">
        <v>4.5599999999999996</v>
      </c>
      <c r="K326" t="s">
        <v>28</v>
      </c>
      <c r="L326">
        <v>337</v>
      </c>
      <c r="N326">
        <v>2019</v>
      </c>
      <c r="O326" s="1">
        <v>44837</v>
      </c>
      <c r="P326" s="1">
        <v>44837</v>
      </c>
      <c r="S326" t="s">
        <v>29</v>
      </c>
      <c r="W326">
        <v>1</v>
      </c>
      <c r="X326">
        <v>0</v>
      </c>
    </row>
    <row r="327" spans="1:24" x14ac:dyDescent="0.25">
      <c r="A327">
        <v>56755757</v>
      </c>
      <c r="B327" t="s">
        <v>768</v>
      </c>
      <c r="C327" t="s">
        <v>519</v>
      </c>
      <c r="D327" t="s">
        <v>520</v>
      </c>
      <c r="F327" t="str">
        <f>""</f>
        <v/>
      </c>
      <c r="G327" t="str">
        <f>""</f>
        <v/>
      </c>
      <c r="H327">
        <v>5</v>
      </c>
      <c r="I327">
        <v>4.45</v>
      </c>
      <c r="J327" t="s">
        <v>769</v>
      </c>
      <c r="K327" t="s">
        <v>28</v>
      </c>
      <c r="L327">
        <v>288</v>
      </c>
      <c r="M327">
        <v>2021</v>
      </c>
      <c r="O327" s="1">
        <v>44837</v>
      </c>
      <c r="P327" s="1">
        <v>44837</v>
      </c>
      <c r="S327" t="s">
        <v>29</v>
      </c>
      <c r="W327">
        <v>1</v>
      </c>
      <c r="X327">
        <v>0</v>
      </c>
    </row>
    <row r="328" spans="1:24" x14ac:dyDescent="0.25">
      <c r="A328">
        <v>56755805</v>
      </c>
      <c r="B328" t="s">
        <v>770</v>
      </c>
      <c r="C328" t="s">
        <v>519</v>
      </c>
      <c r="D328" t="s">
        <v>520</v>
      </c>
      <c r="F328" t="str">
        <f>""</f>
        <v/>
      </c>
      <c r="G328" t="str">
        <f>""</f>
        <v/>
      </c>
      <c r="H328">
        <v>5</v>
      </c>
      <c r="I328">
        <v>4.5</v>
      </c>
      <c r="J328" t="s">
        <v>769</v>
      </c>
      <c r="K328" t="s">
        <v>28</v>
      </c>
      <c r="L328">
        <v>288</v>
      </c>
      <c r="M328">
        <v>2021</v>
      </c>
      <c r="O328" s="1">
        <v>44837</v>
      </c>
      <c r="P328" s="1">
        <v>44837</v>
      </c>
      <c r="S328" t="s">
        <v>29</v>
      </c>
      <c r="W328">
        <v>1</v>
      </c>
      <c r="X328">
        <v>0</v>
      </c>
    </row>
    <row r="329" spans="1:24" x14ac:dyDescent="0.25">
      <c r="A329">
        <v>59582050</v>
      </c>
      <c r="B329" t="s">
        <v>771</v>
      </c>
      <c r="C329" t="s">
        <v>519</v>
      </c>
      <c r="D329" t="s">
        <v>520</v>
      </c>
      <c r="F329" t="str">
        <f>""</f>
        <v/>
      </c>
      <c r="G329" t="str">
        <f>"9791190153942"</f>
        <v>9791190153942</v>
      </c>
      <c r="H329">
        <v>5</v>
      </c>
      <c r="I329">
        <v>4.53</v>
      </c>
      <c r="O329" s="1">
        <v>44837</v>
      </c>
      <c r="P329" s="1">
        <v>44837</v>
      </c>
      <c r="S329" t="s">
        <v>29</v>
      </c>
      <c r="W329">
        <v>1</v>
      </c>
      <c r="X329">
        <v>0</v>
      </c>
    </row>
    <row r="330" spans="1:24" x14ac:dyDescent="0.25">
      <c r="A330">
        <v>59582041</v>
      </c>
      <c r="B330" t="s">
        <v>772</v>
      </c>
      <c r="C330" t="s">
        <v>519</v>
      </c>
      <c r="D330" t="s">
        <v>520</v>
      </c>
      <c r="F330" t="str">
        <f>""</f>
        <v/>
      </c>
      <c r="G330" t="str">
        <f>"9791190153935"</f>
        <v>9791190153935</v>
      </c>
      <c r="H330">
        <v>5</v>
      </c>
      <c r="I330">
        <v>4.41</v>
      </c>
      <c r="O330" s="1">
        <v>44837</v>
      </c>
      <c r="P330" s="1">
        <v>44836</v>
      </c>
      <c r="S330" t="s">
        <v>29</v>
      </c>
      <c r="W330">
        <v>1</v>
      </c>
      <c r="X330">
        <v>0</v>
      </c>
    </row>
    <row r="331" spans="1:24" x14ac:dyDescent="0.25">
      <c r="A331">
        <v>44564801</v>
      </c>
      <c r="B331" t="s">
        <v>773</v>
      </c>
      <c r="C331" t="s">
        <v>519</v>
      </c>
      <c r="D331" t="s">
        <v>520</v>
      </c>
      <c r="F331" t="str">
        <f>""</f>
        <v/>
      </c>
      <c r="G331" t="str">
        <f>""</f>
        <v/>
      </c>
      <c r="H331">
        <v>5</v>
      </c>
      <c r="I331">
        <v>4.5599999999999996</v>
      </c>
      <c r="K331" t="s">
        <v>609</v>
      </c>
      <c r="L331">
        <v>280</v>
      </c>
      <c r="N331">
        <v>2018</v>
      </c>
      <c r="O331" s="1">
        <v>44836</v>
      </c>
      <c r="P331" s="1">
        <v>44836</v>
      </c>
      <c r="S331" t="s">
        <v>29</v>
      </c>
      <c r="W331">
        <v>1</v>
      </c>
      <c r="X331">
        <v>0</v>
      </c>
    </row>
    <row r="332" spans="1:24" x14ac:dyDescent="0.25">
      <c r="A332">
        <v>60653006</v>
      </c>
      <c r="B332" t="s">
        <v>774</v>
      </c>
      <c r="C332" t="s">
        <v>519</v>
      </c>
      <c r="D332" t="s">
        <v>520</v>
      </c>
      <c r="F332" t="str">
        <f>"1990259901"</f>
        <v>1990259901</v>
      </c>
      <c r="G332" t="str">
        <f>"9781990259906"</f>
        <v>9781990259906</v>
      </c>
      <c r="H332">
        <v>5</v>
      </c>
      <c r="I332">
        <v>4.4400000000000004</v>
      </c>
      <c r="J332" t="s">
        <v>775</v>
      </c>
      <c r="K332" t="s">
        <v>28</v>
      </c>
      <c r="L332">
        <v>288</v>
      </c>
      <c r="M332">
        <v>2022</v>
      </c>
      <c r="N332">
        <v>2022</v>
      </c>
      <c r="O332" s="1">
        <v>44836</v>
      </c>
      <c r="P332" s="1">
        <v>44836</v>
      </c>
      <c r="S332" t="s">
        <v>29</v>
      </c>
      <c r="W332">
        <v>1</v>
      </c>
      <c r="X332">
        <v>0</v>
      </c>
    </row>
    <row r="333" spans="1:24" x14ac:dyDescent="0.25">
      <c r="A333">
        <v>34964072</v>
      </c>
      <c r="B333" t="s">
        <v>776</v>
      </c>
      <c r="C333" t="s">
        <v>777</v>
      </c>
      <c r="D333" t="s">
        <v>778</v>
      </c>
      <c r="F333" t="str">
        <f>""</f>
        <v/>
      </c>
      <c r="G333" t="str">
        <f>""</f>
        <v/>
      </c>
      <c r="H333">
        <v>5</v>
      </c>
      <c r="I333">
        <v>4.4400000000000004</v>
      </c>
      <c r="J333" t="s">
        <v>779</v>
      </c>
      <c r="K333" t="s">
        <v>28</v>
      </c>
      <c r="L333">
        <v>477</v>
      </c>
      <c r="M333">
        <v>2017</v>
      </c>
      <c r="N333">
        <v>2017</v>
      </c>
      <c r="O333" s="1">
        <v>44835</v>
      </c>
      <c r="P333" s="1">
        <v>44834</v>
      </c>
      <c r="S333" t="s">
        <v>29</v>
      </c>
      <c r="W333">
        <v>1</v>
      </c>
      <c r="X333">
        <v>0</v>
      </c>
    </row>
    <row r="334" spans="1:24" x14ac:dyDescent="0.25">
      <c r="A334">
        <v>22438146</v>
      </c>
      <c r="B334" t="s">
        <v>780</v>
      </c>
      <c r="C334" t="s">
        <v>137</v>
      </c>
      <c r="D334" t="s">
        <v>138</v>
      </c>
      <c r="F334" t="str">
        <f>"4063632466"</f>
        <v>4063632466</v>
      </c>
      <c r="G334" t="str">
        <f>"9784063632460"</f>
        <v>9784063632460</v>
      </c>
      <c r="H334">
        <v>4</v>
      </c>
      <c r="I334">
        <v>4.2699999999999996</v>
      </c>
      <c r="J334" t="s">
        <v>139</v>
      </c>
      <c r="K334" t="s">
        <v>28</v>
      </c>
      <c r="L334">
        <v>192</v>
      </c>
      <c r="M334">
        <v>2003</v>
      </c>
      <c r="N334">
        <v>2003</v>
      </c>
      <c r="O334" s="1">
        <v>44835</v>
      </c>
      <c r="P334" s="1">
        <v>44835</v>
      </c>
      <c r="S334" t="s">
        <v>29</v>
      </c>
      <c r="W334">
        <v>1</v>
      </c>
      <c r="X334">
        <v>0</v>
      </c>
    </row>
    <row r="335" spans="1:24" x14ac:dyDescent="0.25">
      <c r="A335">
        <v>22438145</v>
      </c>
      <c r="B335" t="s">
        <v>781</v>
      </c>
      <c r="C335" t="s">
        <v>137</v>
      </c>
      <c r="D335" t="s">
        <v>138</v>
      </c>
      <c r="F335" t="str">
        <f>"4063632113"</f>
        <v>4063632113</v>
      </c>
      <c r="G335" t="str">
        <f>"9784063632118"</f>
        <v>9784063632118</v>
      </c>
      <c r="H335">
        <v>5</v>
      </c>
      <c r="I335">
        <v>4.33</v>
      </c>
      <c r="J335" t="s">
        <v>139</v>
      </c>
      <c r="K335" t="s">
        <v>28</v>
      </c>
      <c r="L335">
        <v>192</v>
      </c>
      <c r="M335">
        <v>2003</v>
      </c>
      <c r="N335">
        <v>2003</v>
      </c>
      <c r="O335" s="1">
        <v>44835</v>
      </c>
      <c r="P335" s="1">
        <v>44835</v>
      </c>
      <c r="S335" t="s">
        <v>29</v>
      </c>
      <c r="W335">
        <v>1</v>
      </c>
      <c r="X335">
        <v>0</v>
      </c>
    </row>
    <row r="336" spans="1:24" x14ac:dyDescent="0.25">
      <c r="A336">
        <v>22438139</v>
      </c>
      <c r="B336" t="s">
        <v>782</v>
      </c>
      <c r="C336" t="s">
        <v>137</v>
      </c>
      <c r="D336" t="s">
        <v>138</v>
      </c>
      <c r="F336" t="str">
        <f>"4063631761"</f>
        <v>4063631761</v>
      </c>
      <c r="G336" t="str">
        <f>"9784063631760"</f>
        <v>9784063631760</v>
      </c>
      <c r="H336">
        <v>5</v>
      </c>
      <c r="I336">
        <v>4.2300000000000004</v>
      </c>
      <c r="J336" t="s">
        <v>139</v>
      </c>
      <c r="K336" t="s">
        <v>28</v>
      </c>
      <c r="L336">
        <v>192</v>
      </c>
      <c r="M336">
        <v>2002</v>
      </c>
      <c r="N336">
        <v>2002</v>
      </c>
      <c r="O336" s="1">
        <v>44835</v>
      </c>
      <c r="P336" s="1">
        <v>44834</v>
      </c>
      <c r="S336" t="s">
        <v>29</v>
      </c>
      <c r="W336">
        <v>1</v>
      </c>
      <c r="X336">
        <v>0</v>
      </c>
    </row>
    <row r="337" spans="1:24" x14ac:dyDescent="0.25">
      <c r="A337">
        <v>34724883</v>
      </c>
      <c r="B337" t="s">
        <v>783</v>
      </c>
      <c r="C337" t="s">
        <v>784</v>
      </c>
      <c r="D337" t="s">
        <v>785</v>
      </c>
      <c r="F337" t="str">
        <f>"4091893791"</f>
        <v>4091893791</v>
      </c>
      <c r="G337" t="str">
        <f>"9784091893796"</f>
        <v>9784091893796</v>
      </c>
      <c r="H337">
        <v>2</v>
      </c>
      <c r="I337">
        <v>3.35</v>
      </c>
      <c r="K337" t="s">
        <v>28</v>
      </c>
      <c r="L337">
        <v>272</v>
      </c>
      <c r="M337">
        <v>2017</v>
      </c>
      <c r="O337" s="1">
        <v>44834</v>
      </c>
      <c r="P337" s="1">
        <v>44834</v>
      </c>
      <c r="S337" t="s">
        <v>29</v>
      </c>
      <c r="W337">
        <v>1</v>
      </c>
      <c r="X337">
        <v>0</v>
      </c>
    </row>
    <row r="338" spans="1:24" x14ac:dyDescent="0.25">
      <c r="A338">
        <v>34724860</v>
      </c>
      <c r="B338" t="s">
        <v>786</v>
      </c>
      <c r="C338" t="s">
        <v>784</v>
      </c>
      <c r="D338" t="s">
        <v>785</v>
      </c>
      <c r="F338" t="str">
        <f>"4091892213"</f>
        <v>4091892213</v>
      </c>
      <c r="G338" t="str">
        <f>"9784091892218"</f>
        <v>9784091892218</v>
      </c>
      <c r="H338">
        <v>2</v>
      </c>
      <c r="I338">
        <v>3.56</v>
      </c>
      <c r="K338" t="s">
        <v>28</v>
      </c>
      <c r="L338">
        <v>176</v>
      </c>
      <c r="M338">
        <v>2016</v>
      </c>
      <c r="N338">
        <v>2016</v>
      </c>
      <c r="O338" s="1">
        <v>44834</v>
      </c>
      <c r="P338" s="1">
        <v>44834</v>
      </c>
      <c r="S338" t="s">
        <v>29</v>
      </c>
      <c r="W338">
        <v>1</v>
      </c>
      <c r="X338">
        <v>0</v>
      </c>
    </row>
    <row r="339" spans="1:24" x14ac:dyDescent="0.25">
      <c r="A339">
        <v>30372915</v>
      </c>
      <c r="B339" t="s">
        <v>787</v>
      </c>
      <c r="C339" t="s">
        <v>784</v>
      </c>
      <c r="D339" t="s">
        <v>785</v>
      </c>
      <c r="F339" t="str">
        <f>""</f>
        <v/>
      </c>
      <c r="G339" t="str">
        <f>""</f>
        <v/>
      </c>
      <c r="H339">
        <v>2</v>
      </c>
      <c r="I339">
        <v>3.69</v>
      </c>
      <c r="J339" t="s">
        <v>788</v>
      </c>
      <c r="K339" t="s">
        <v>133</v>
      </c>
      <c r="M339">
        <v>2016</v>
      </c>
      <c r="N339">
        <v>2016</v>
      </c>
      <c r="O339" s="1">
        <v>44834</v>
      </c>
      <c r="P339" s="1">
        <v>44834</v>
      </c>
      <c r="S339" t="s">
        <v>29</v>
      </c>
      <c r="W339">
        <v>1</v>
      </c>
      <c r="X339">
        <v>0</v>
      </c>
    </row>
    <row r="340" spans="1:24" x14ac:dyDescent="0.25">
      <c r="A340">
        <v>32061773</v>
      </c>
      <c r="B340" t="s">
        <v>789</v>
      </c>
      <c r="C340" t="s">
        <v>784</v>
      </c>
      <c r="D340" t="s">
        <v>785</v>
      </c>
      <c r="E340" t="s">
        <v>790</v>
      </c>
      <c r="F340" t="str">
        <f>""</f>
        <v/>
      </c>
      <c r="G340" t="str">
        <f>"9784091874702"</f>
        <v>9784091874702</v>
      </c>
      <c r="H340">
        <v>2</v>
      </c>
      <c r="I340">
        <v>3.91</v>
      </c>
      <c r="K340" t="s">
        <v>28</v>
      </c>
      <c r="L340">
        <v>216</v>
      </c>
      <c r="M340">
        <v>2016</v>
      </c>
      <c r="O340" s="1">
        <v>44834</v>
      </c>
      <c r="P340" s="1">
        <v>44833</v>
      </c>
      <c r="S340" t="s">
        <v>29</v>
      </c>
      <c r="W340">
        <v>1</v>
      </c>
      <c r="X340">
        <v>0</v>
      </c>
    </row>
    <row r="341" spans="1:24" x14ac:dyDescent="0.25">
      <c r="A341">
        <v>22438140</v>
      </c>
      <c r="B341" t="s">
        <v>791</v>
      </c>
      <c r="C341" t="s">
        <v>137</v>
      </c>
      <c r="D341" t="s">
        <v>138</v>
      </c>
      <c r="F341" t="str">
        <f>"4063631435"</f>
        <v>4063631435</v>
      </c>
      <c r="G341" t="str">
        <f>"9784063631432"</f>
        <v>9784063631432</v>
      </c>
      <c r="H341">
        <v>3</v>
      </c>
      <c r="I341">
        <v>4.1900000000000004</v>
      </c>
      <c r="J341" t="s">
        <v>139</v>
      </c>
      <c r="K341" t="s">
        <v>28</v>
      </c>
      <c r="L341">
        <v>192</v>
      </c>
      <c r="M341">
        <v>2002</v>
      </c>
      <c r="N341">
        <v>2002</v>
      </c>
      <c r="O341" s="1">
        <v>44834</v>
      </c>
      <c r="P341" s="1">
        <v>44832</v>
      </c>
      <c r="S341" t="s">
        <v>29</v>
      </c>
      <c r="W341">
        <v>1</v>
      </c>
      <c r="X341">
        <v>0</v>
      </c>
    </row>
    <row r="342" spans="1:24" x14ac:dyDescent="0.25">
      <c r="A342">
        <v>27789519</v>
      </c>
      <c r="B342" t="s">
        <v>792</v>
      </c>
      <c r="C342" t="s">
        <v>784</v>
      </c>
      <c r="D342" t="s">
        <v>785</v>
      </c>
      <c r="F342" t="str">
        <f>"409187309X"</f>
        <v>409187309X</v>
      </c>
      <c r="G342" t="str">
        <f>"9784091873095"</f>
        <v>9784091873095</v>
      </c>
      <c r="H342">
        <v>2</v>
      </c>
      <c r="I342">
        <v>3.81</v>
      </c>
      <c r="J342" t="s">
        <v>793</v>
      </c>
      <c r="K342" t="s">
        <v>28</v>
      </c>
      <c r="L342">
        <v>200</v>
      </c>
      <c r="M342">
        <v>2015</v>
      </c>
      <c r="O342" s="1">
        <v>44833</v>
      </c>
      <c r="P342" s="1">
        <v>44833</v>
      </c>
      <c r="S342" t="s">
        <v>29</v>
      </c>
      <c r="W342">
        <v>1</v>
      </c>
      <c r="X342">
        <v>0</v>
      </c>
    </row>
    <row r="343" spans="1:24" x14ac:dyDescent="0.25">
      <c r="A343">
        <v>29554766</v>
      </c>
      <c r="B343" t="s">
        <v>794</v>
      </c>
      <c r="C343" t="s">
        <v>784</v>
      </c>
      <c r="D343" t="s">
        <v>785</v>
      </c>
      <c r="E343" t="s">
        <v>790</v>
      </c>
      <c r="F343" t="str">
        <f>""</f>
        <v/>
      </c>
      <c r="G343" t="str">
        <f>"9784091870209"</f>
        <v>9784091870209</v>
      </c>
      <c r="H343">
        <v>2</v>
      </c>
      <c r="I343">
        <v>3.62</v>
      </c>
      <c r="J343" t="s">
        <v>793</v>
      </c>
      <c r="K343" t="s">
        <v>28</v>
      </c>
      <c r="L343">
        <v>248</v>
      </c>
      <c r="M343">
        <v>2015</v>
      </c>
      <c r="N343">
        <v>2015</v>
      </c>
      <c r="O343" s="1">
        <v>44833</v>
      </c>
      <c r="P343" s="1">
        <v>44833</v>
      </c>
      <c r="S343" t="s">
        <v>29</v>
      </c>
      <c r="W343">
        <v>1</v>
      </c>
      <c r="X343">
        <v>0</v>
      </c>
    </row>
    <row r="344" spans="1:24" x14ac:dyDescent="0.25">
      <c r="A344">
        <v>23490407</v>
      </c>
      <c r="B344" t="s">
        <v>795</v>
      </c>
      <c r="C344" t="s">
        <v>784</v>
      </c>
      <c r="D344" t="s">
        <v>785</v>
      </c>
      <c r="E344" t="s">
        <v>790</v>
      </c>
      <c r="F344" t="str">
        <f>""</f>
        <v/>
      </c>
      <c r="G344" t="str">
        <f>"9784091866684"</f>
        <v>9784091866684</v>
      </c>
      <c r="H344">
        <v>3</v>
      </c>
      <c r="I344">
        <v>3.95</v>
      </c>
      <c r="J344" t="s">
        <v>793</v>
      </c>
      <c r="K344" t="s">
        <v>28</v>
      </c>
      <c r="L344">
        <v>208</v>
      </c>
      <c r="M344">
        <v>2014</v>
      </c>
      <c r="N344">
        <v>2014</v>
      </c>
      <c r="O344" s="1">
        <v>44833</v>
      </c>
      <c r="P344" s="1">
        <v>44833</v>
      </c>
      <c r="S344" t="s">
        <v>29</v>
      </c>
      <c r="W344">
        <v>1</v>
      </c>
      <c r="X344">
        <v>0</v>
      </c>
    </row>
    <row r="345" spans="1:24" x14ac:dyDescent="0.25">
      <c r="A345">
        <v>22887479</v>
      </c>
      <c r="B345" t="s">
        <v>796</v>
      </c>
      <c r="C345" t="s">
        <v>784</v>
      </c>
      <c r="D345" t="s">
        <v>785</v>
      </c>
      <c r="E345" t="s">
        <v>790</v>
      </c>
      <c r="F345" t="str">
        <f>""</f>
        <v/>
      </c>
      <c r="G345" t="str">
        <f>"9784091862846"</f>
        <v>9784091862846</v>
      </c>
      <c r="H345">
        <v>3</v>
      </c>
      <c r="I345">
        <v>3.96</v>
      </c>
      <c r="J345" t="s">
        <v>797</v>
      </c>
      <c r="K345" t="s">
        <v>28</v>
      </c>
      <c r="M345">
        <v>2014</v>
      </c>
      <c r="N345">
        <v>2014</v>
      </c>
      <c r="O345" s="1">
        <v>44833</v>
      </c>
      <c r="P345" s="1">
        <v>44832</v>
      </c>
      <c r="S345" t="s">
        <v>29</v>
      </c>
      <c r="W345">
        <v>1</v>
      </c>
      <c r="X345">
        <v>0</v>
      </c>
    </row>
    <row r="346" spans="1:24" x14ac:dyDescent="0.25">
      <c r="A346">
        <v>22062469</v>
      </c>
      <c r="B346" t="s">
        <v>798</v>
      </c>
      <c r="C346" t="s">
        <v>784</v>
      </c>
      <c r="D346" t="s">
        <v>785</v>
      </c>
      <c r="F346" t="str">
        <f>""</f>
        <v/>
      </c>
      <c r="G346" t="str">
        <f>"9784091858771"</f>
        <v>9784091858771</v>
      </c>
      <c r="H346">
        <v>3</v>
      </c>
      <c r="I346">
        <v>3.96</v>
      </c>
      <c r="J346" t="s">
        <v>793</v>
      </c>
      <c r="K346" t="s">
        <v>28</v>
      </c>
      <c r="L346">
        <v>208</v>
      </c>
      <c r="M346">
        <v>2014</v>
      </c>
      <c r="N346">
        <v>2014</v>
      </c>
      <c r="O346" s="1">
        <v>44833</v>
      </c>
      <c r="P346" s="1">
        <v>44832</v>
      </c>
      <c r="S346" t="s">
        <v>29</v>
      </c>
      <c r="W346">
        <v>1</v>
      </c>
      <c r="X346">
        <v>0</v>
      </c>
    </row>
    <row r="347" spans="1:24" x14ac:dyDescent="0.25">
      <c r="A347">
        <v>22011499</v>
      </c>
      <c r="B347" t="s">
        <v>799</v>
      </c>
      <c r="C347" t="s">
        <v>784</v>
      </c>
      <c r="D347" t="s">
        <v>785</v>
      </c>
      <c r="F347" t="str">
        <f>""</f>
        <v/>
      </c>
      <c r="G347" t="str">
        <f>"9784091855749"</f>
        <v>9784091855749</v>
      </c>
      <c r="H347">
        <v>3</v>
      </c>
      <c r="I347">
        <v>3.9</v>
      </c>
      <c r="J347" t="s">
        <v>797</v>
      </c>
      <c r="K347" t="s">
        <v>28</v>
      </c>
      <c r="L347">
        <v>248</v>
      </c>
      <c r="M347">
        <v>2013</v>
      </c>
      <c r="N347">
        <v>2013</v>
      </c>
      <c r="O347" s="1">
        <v>44833</v>
      </c>
      <c r="P347" s="1">
        <v>44833</v>
      </c>
      <c r="S347" t="s">
        <v>29</v>
      </c>
      <c r="W347">
        <v>1</v>
      </c>
      <c r="X347">
        <v>0</v>
      </c>
    </row>
    <row r="348" spans="1:24" x14ac:dyDescent="0.25">
      <c r="A348">
        <v>18160446</v>
      </c>
      <c r="B348" t="s">
        <v>800</v>
      </c>
      <c r="C348" t="s">
        <v>784</v>
      </c>
      <c r="D348" t="s">
        <v>785</v>
      </c>
      <c r="E348" t="s">
        <v>790</v>
      </c>
      <c r="F348" t="str">
        <f>"4091852408"</f>
        <v>4091852408</v>
      </c>
      <c r="G348" t="str">
        <f>"9784091852403"</f>
        <v>9784091852403</v>
      </c>
      <c r="H348">
        <v>3</v>
      </c>
      <c r="I348">
        <v>3.93</v>
      </c>
      <c r="J348" t="s">
        <v>793</v>
      </c>
      <c r="K348" t="s">
        <v>801</v>
      </c>
      <c r="L348">
        <v>189</v>
      </c>
      <c r="M348">
        <v>2013</v>
      </c>
      <c r="N348">
        <v>2013</v>
      </c>
      <c r="O348" s="1">
        <v>44833</v>
      </c>
      <c r="P348" s="1">
        <v>44833</v>
      </c>
      <c r="S348" t="s">
        <v>29</v>
      </c>
      <c r="W348">
        <v>1</v>
      </c>
      <c r="X348">
        <v>0</v>
      </c>
    </row>
    <row r="349" spans="1:24" x14ac:dyDescent="0.25">
      <c r="A349">
        <v>17997366</v>
      </c>
      <c r="B349" t="s">
        <v>802</v>
      </c>
      <c r="C349" t="s">
        <v>784</v>
      </c>
      <c r="D349" t="s">
        <v>785</v>
      </c>
      <c r="E349" t="s">
        <v>790</v>
      </c>
      <c r="F349" t="str">
        <f>""</f>
        <v/>
      </c>
      <c r="G349" t="str">
        <f>""</f>
        <v/>
      </c>
      <c r="H349">
        <v>2</v>
      </c>
      <c r="I349">
        <v>3.76</v>
      </c>
      <c r="J349" t="s">
        <v>803</v>
      </c>
      <c r="K349" t="s">
        <v>28</v>
      </c>
      <c r="L349">
        <v>212</v>
      </c>
      <c r="M349">
        <v>2013</v>
      </c>
      <c r="N349">
        <v>2013</v>
      </c>
      <c r="O349" s="1">
        <v>44833</v>
      </c>
      <c r="P349" s="1">
        <v>44832</v>
      </c>
      <c r="S349" t="s">
        <v>29</v>
      </c>
      <c r="W349">
        <v>1</v>
      </c>
      <c r="X349">
        <v>0</v>
      </c>
    </row>
    <row r="350" spans="1:24" x14ac:dyDescent="0.25">
      <c r="A350">
        <v>16174785</v>
      </c>
      <c r="B350" t="s">
        <v>804</v>
      </c>
      <c r="C350" t="s">
        <v>784</v>
      </c>
      <c r="D350" t="s">
        <v>785</v>
      </c>
      <c r="E350" t="s">
        <v>790</v>
      </c>
      <c r="F350" t="str">
        <f>""</f>
        <v/>
      </c>
      <c r="G350" t="str">
        <f>"9784091847294"</f>
        <v>9784091847294</v>
      </c>
      <c r="H350">
        <v>3</v>
      </c>
      <c r="I350">
        <v>3.95</v>
      </c>
      <c r="J350" t="s">
        <v>793</v>
      </c>
      <c r="K350" t="s">
        <v>28</v>
      </c>
      <c r="L350">
        <v>212</v>
      </c>
      <c r="M350">
        <v>2012</v>
      </c>
      <c r="N350">
        <v>2012</v>
      </c>
      <c r="O350" s="1">
        <v>44832</v>
      </c>
      <c r="P350" s="1">
        <v>44832</v>
      </c>
      <c r="S350" t="s">
        <v>29</v>
      </c>
      <c r="W350">
        <v>1</v>
      </c>
      <c r="X350">
        <v>0</v>
      </c>
    </row>
    <row r="351" spans="1:24" x14ac:dyDescent="0.25">
      <c r="A351">
        <v>15944074</v>
      </c>
      <c r="B351" t="s">
        <v>805</v>
      </c>
      <c r="C351" t="s">
        <v>784</v>
      </c>
      <c r="D351" t="s">
        <v>785</v>
      </c>
      <c r="E351" t="s">
        <v>790</v>
      </c>
      <c r="F351" t="str">
        <f>""</f>
        <v/>
      </c>
      <c r="G351" t="str">
        <f>"9784091845122"</f>
        <v>9784091845122</v>
      </c>
      <c r="H351">
        <v>3</v>
      </c>
      <c r="I351">
        <v>3.93</v>
      </c>
      <c r="J351" t="s">
        <v>793</v>
      </c>
      <c r="K351" t="s">
        <v>28</v>
      </c>
      <c r="L351">
        <v>228</v>
      </c>
      <c r="M351">
        <v>2012</v>
      </c>
      <c r="N351">
        <v>2012</v>
      </c>
      <c r="O351" s="1">
        <v>44832</v>
      </c>
      <c r="P351" s="1">
        <v>44832</v>
      </c>
      <c r="S351" t="s">
        <v>29</v>
      </c>
      <c r="W351">
        <v>1</v>
      </c>
      <c r="X351">
        <v>0</v>
      </c>
    </row>
    <row r="352" spans="1:24" x14ac:dyDescent="0.25">
      <c r="A352">
        <v>22438144</v>
      </c>
      <c r="B352" t="s">
        <v>806</v>
      </c>
      <c r="C352" t="s">
        <v>137</v>
      </c>
      <c r="D352" t="s">
        <v>138</v>
      </c>
      <c r="F352" t="str">
        <f>"4063631036"</f>
        <v>4063631036</v>
      </c>
      <c r="G352" t="str">
        <f>"9784063631036"</f>
        <v>9784063631036</v>
      </c>
      <c r="H352">
        <v>3</v>
      </c>
      <c r="I352">
        <v>4.2300000000000004</v>
      </c>
      <c r="J352" t="s">
        <v>139</v>
      </c>
      <c r="K352" t="s">
        <v>28</v>
      </c>
      <c r="L352">
        <v>192</v>
      </c>
      <c r="M352">
        <v>2002</v>
      </c>
      <c r="N352">
        <v>2002</v>
      </c>
      <c r="O352" s="1">
        <v>44832</v>
      </c>
      <c r="P352" s="1">
        <v>44832</v>
      </c>
      <c r="S352" t="s">
        <v>29</v>
      </c>
      <c r="W352">
        <v>1</v>
      </c>
      <c r="X352">
        <v>0</v>
      </c>
    </row>
    <row r="353" spans="1:24" x14ac:dyDescent="0.25">
      <c r="A353">
        <v>22438142</v>
      </c>
      <c r="B353" t="s">
        <v>807</v>
      </c>
      <c r="C353" t="s">
        <v>137</v>
      </c>
      <c r="D353" t="s">
        <v>138</v>
      </c>
      <c r="F353" t="str">
        <f>"406313072X"</f>
        <v>406313072X</v>
      </c>
      <c r="G353" t="str">
        <f>"9784063130720"</f>
        <v>9784063130720</v>
      </c>
      <c r="H353">
        <v>5</v>
      </c>
      <c r="I353">
        <v>4.28</v>
      </c>
      <c r="J353" t="s">
        <v>139</v>
      </c>
      <c r="K353" t="s">
        <v>28</v>
      </c>
      <c r="L353">
        <v>184</v>
      </c>
      <c r="M353">
        <v>2002</v>
      </c>
      <c r="N353">
        <v>2002</v>
      </c>
      <c r="O353" s="1">
        <v>44832</v>
      </c>
      <c r="P353" s="1">
        <v>44832</v>
      </c>
      <c r="S353" t="s">
        <v>29</v>
      </c>
      <c r="W353">
        <v>1</v>
      </c>
      <c r="X353">
        <v>0</v>
      </c>
    </row>
    <row r="354" spans="1:24" x14ac:dyDescent="0.25">
      <c r="A354">
        <v>15705866</v>
      </c>
      <c r="B354" t="s">
        <v>808</v>
      </c>
      <c r="C354" t="s">
        <v>784</v>
      </c>
      <c r="D354" t="s">
        <v>785</v>
      </c>
      <c r="E354" t="s">
        <v>790</v>
      </c>
      <c r="F354" t="str">
        <f>"4091842461"</f>
        <v>4091842461</v>
      </c>
      <c r="G354" t="str">
        <f>"9784091842466"</f>
        <v>9784091842466</v>
      </c>
      <c r="H354">
        <v>4</v>
      </c>
      <c r="I354">
        <v>4.1100000000000003</v>
      </c>
      <c r="J354" t="s">
        <v>809</v>
      </c>
      <c r="K354" t="s">
        <v>28</v>
      </c>
      <c r="L354">
        <v>228</v>
      </c>
      <c r="M354">
        <v>2012</v>
      </c>
      <c r="N354">
        <v>2012</v>
      </c>
      <c r="O354" s="1">
        <v>44832</v>
      </c>
      <c r="P354" s="1">
        <v>44832</v>
      </c>
      <c r="S354" t="s">
        <v>29</v>
      </c>
      <c r="W354">
        <v>1</v>
      </c>
      <c r="X354">
        <v>0</v>
      </c>
    </row>
    <row r="355" spans="1:24" x14ac:dyDescent="0.25">
      <c r="A355">
        <v>15705854</v>
      </c>
      <c r="B355" t="s">
        <v>810</v>
      </c>
      <c r="C355" t="s">
        <v>784</v>
      </c>
      <c r="D355" t="s">
        <v>785</v>
      </c>
      <c r="F355" t="str">
        <f>"4091840507"</f>
        <v>4091840507</v>
      </c>
      <c r="G355" t="str">
        <f>"9784091840509"</f>
        <v>9784091840509</v>
      </c>
      <c r="H355">
        <v>4</v>
      </c>
      <c r="I355">
        <v>4.04</v>
      </c>
      <c r="J355" t="s">
        <v>809</v>
      </c>
      <c r="K355" t="s">
        <v>28</v>
      </c>
      <c r="L355">
        <v>242</v>
      </c>
      <c r="M355">
        <v>2011</v>
      </c>
      <c r="N355">
        <v>2011</v>
      </c>
      <c r="O355" s="1">
        <v>44832</v>
      </c>
      <c r="P355" s="1">
        <v>44832</v>
      </c>
      <c r="S355" t="s">
        <v>29</v>
      </c>
      <c r="W355">
        <v>1</v>
      </c>
      <c r="X355">
        <v>0</v>
      </c>
    </row>
    <row r="356" spans="1:24" x14ac:dyDescent="0.25">
      <c r="A356">
        <v>11968985</v>
      </c>
      <c r="B356" t="s">
        <v>811</v>
      </c>
      <c r="C356" t="s">
        <v>784</v>
      </c>
      <c r="D356" t="s">
        <v>785</v>
      </c>
      <c r="E356" t="s">
        <v>790</v>
      </c>
      <c r="F356" t="str">
        <f>"4091838278"</f>
        <v>4091838278</v>
      </c>
      <c r="G356" t="str">
        <f>"9784091838278"</f>
        <v>9784091838278</v>
      </c>
      <c r="H356">
        <v>4</v>
      </c>
      <c r="I356">
        <v>4.04</v>
      </c>
      <c r="J356" t="s">
        <v>797</v>
      </c>
      <c r="K356" t="s">
        <v>28</v>
      </c>
      <c r="L356">
        <v>216</v>
      </c>
      <c r="M356">
        <v>2011</v>
      </c>
      <c r="N356">
        <v>2011</v>
      </c>
      <c r="O356" s="1">
        <v>44832</v>
      </c>
      <c r="P356" s="1">
        <v>44832</v>
      </c>
      <c r="S356" t="s">
        <v>29</v>
      </c>
      <c r="W356">
        <v>1</v>
      </c>
      <c r="X356">
        <v>0</v>
      </c>
    </row>
    <row r="357" spans="1:24" x14ac:dyDescent="0.25">
      <c r="A357">
        <v>10815030</v>
      </c>
      <c r="B357" t="s">
        <v>812</v>
      </c>
      <c r="C357" t="s">
        <v>784</v>
      </c>
      <c r="D357" t="s">
        <v>785</v>
      </c>
      <c r="E357" t="s">
        <v>790</v>
      </c>
      <c r="F357" t="str">
        <f>"4091835341"</f>
        <v>4091835341</v>
      </c>
      <c r="G357" t="str">
        <f>"9784091835345"</f>
        <v>9784091835345</v>
      </c>
      <c r="H357">
        <v>3</v>
      </c>
      <c r="I357">
        <v>3.99</v>
      </c>
      <c r="J357" t="s">
        <v>797</v>
      </c>
      <c r="K357" t="s">
        <v>28</v>
      </c>
      <c r="L357">
        <v>208</v>
      </c>
      <c r="M357">
        <v>2010</v>
      </c>
      <c r="N357">
        <v>2010</v>
      </c>
      <c r="O357" s="1">
        <v>44832</v>
      </c>
      <c r="P357" s="1">
        <v>44831</v>
      </c>
      <c r="S357" t="s">
        <v>29</v>
      </c>
      <c r="W357">
        <v>1</v>
      </c>
      <c r="X357">
        <v>0</v>
      </c>
    </row>
    <row r="358" spans="1:24" x14ac:dyDescent="0.25">
      <c r="A358">
        <v>22438083</v>
      </c>
      <c r="B358" t="s">
        <v>813</v>
      </c>
      <c r="C358" t="s">
        <v>137</v>
      </c>
      <c r="D358" t="s">
        <v>138</v>
      </c>
      <c r="F358" t="str">
        <f>"4063130517"</f>
        <v>4063130517</v>
      </c>
      <c r="G358" t="str">
        <f>"9784063130515"</f>
        <v>9784063130515</v>
      </c>
      <c r="H358">
        <v>5</v>
      </c>
      <c r="I358">
        <v>4.32</v>
      </c>
      <c r="J358" t="s">
        <v>139</v>
      </c>
      <c r="K358" t="s">
        <v>28</v>
      </c>
      <c r="L358">
        <v>184</v>
      </c>
      <c r="M358">
        <v>2001</v>
      </c>
      <c r="N358">
        <v>2001</v>
      </c>
      <c r="O358" s="1">
        <v>44832</v>
      </c>
      <c r="P358" s="1">
        <v>44832</v>
      </c>
      <c r="S358" t="s">
        <v>29</v>
      </c>
      <c r="W358">
        <v>1</v>
      </c>
      <c r="X358">
        <v>0</v>
      </c>
    </row>
    <row r="359" spans="1:24" x14ac:dyDescent="0.25">
      <c r="A359">
        <v>22438086</v>
      </c>
      <c r="B359" t="s">
        <v>814</v>
      </c>
      <c r="C359" t="s">
        <v>137</v>
      </c>
      <c r="D359" t="s">
        <v>138</v>
      </c>
      <c r="F359" t="str">
        <f>"4063130177"</f>
        <v>4063130177</v>
      </c>
      <c r="G359" t="str">
        <f>"9784063130171"</f>
        <v>9784063130171</v>
      </c>
      <c r="H359">
        <v>4</v>
      </c>
      <c r="I359">
        <v>4.25</v>
      </c>
      <c r="J359" t="s">
        <v>139</v>
      </c>
      <c r="K359" t="s">
        <v>28</v>
      </c>
      <c r="L359">
        <v>192</v>
      </c>
      <c r="M359">
        <v>2001</v>
      </c>
      <c r="N359">
        <v>2001</v>
      </c>
      <c r="O359" s="1">
        <v>44832</v>
      </c>
      <c r="P359" s="1">
        <v>44832</v>
      </c>
      <c r="S359" t="s">
        <v>29</v>
      </c>
      <c r="W359">
        <v>1</v>
      </c>
      <c r="X359">
        <v>0</v>
      </c>
    </row>
    <row r="360" spans="1:24" x14ac:dyDescent="0.25">
      <c r="A360">
        <v>28877</v>
      </c>
      <c r="B360" t="s">
        <v>815</v>
      </c>
      <c r="C360" t="s">
        <v>816</v>
      </c>
      <c r="D360" t="s">
        <v>817</v>
      </c>
      <c r="F360" t="str">
        <f>""</f>
        <v/>
      </c>
      <c r="G360" t="str">
        <f>""</f>
        <v/>
      </c>
      <c r="H360">
        <v>0</v>
      </c>
      <c r="I360">
        <v>4.05</v>
      </c>
      <c r="J360" t="s">
        <v>818</v>
      </c>
      <c r="K360" t="s">
        <v>34</v>
      </c>
      <c r="L360">
        <v>454</v>
      </c>
      <c r="M360">
        <v>2000</v>
      </c>
      <c r="N360">
        <v>1981</v>
      </c>
      <c r="P360" s="1">
        <v>44746</v>
      </c>
      <c r="Q360" t="s">
        <v>35</v>
      </c>
      <c r="R360" t="s">
        <v>819</v>
      </c>
      <c r="S360" t="s">
        <v>35</v>
      </c>
      <c r="W360">
        <v>0</v>
      </c>
      <c r="X360">
        <v>0</v>
      </c>
    </row>
    <row r="361" spans="1:24" x14ac:dyDescent="0.25">
      <c r="A361">
        <v>10815035</v>
      </c>
      <c r="B361" t="s">
        <v>820</v>
      </c>
      <c r="C361" t="s">
        <v>784</v>
      </c>
      <c r="D361" t="s">
        <v>785</v>
      </c>
      <c r="E361" t="s">
        <v>790</v>
      </c>
      <c r="F361" t="str">
        <f>"4091833772"</f>
        <v>4091833772</v>
      </c>
      <c r="G361" t="str">
        <f>"9784091833778"</f>
        <v>9784091833778</v>
      </c>
      <c r="H361">
        <v>4</v>
      </c>
      <c r="I361">
        <v>3.91</v>
      </c>
      <c r="J361" t="s">
        <v>797</v>
      </c>
      <c r="K361" t="s">
        <v>28</v>
      </c>
      <c r="L361">
        <v>230</v>
      </c>
      <c r="M361">
        <v>2010</v>
      </c>
      <c r="N361">
        <v>2010</v>
      </c>
      <c r="O361" s="1">
        <v>44831</v>
      </c>
      <c r="P361" s="1">
        <v>44831</v>
      </c>
      <c r="S361" t="s">
        <v>29</v>
      </c>
      <c r="W361">
        <v>1</v>
      </c>
      <c r="X361">
        <v>0</v>
      </c>
    </row>
    <row r="362" spans="1:24" x14ac:dyDescent="0.25">
      <c r="A362">
        <v>10569</v>
      </c>
      <c r="B362" t="s">
        <v>821</v>
      </c>
      <c r="C362" t="s">
        <v>516</v>
      </c>
      <c r="D362" t="s">
        <v>517</v>
      </c>
      <c r="F362" t="str">
        <f>"0743455967"</f>
        <v>0743455967</v>
      </c>
      <c r="G362" t="str">
        <f>"9780743455961"</f>
        <v>9780743455961</v>
      </c>
      <c r="H362">
        <v>5</v>
      </c>
      <c r="I362">
        <v>4.33</v>
      </c>
      <c r="J362" t="s">
        <v>822</v>
      </c>
      <c r="K362" t="s">
        <v>207</v>
      </c>
      <c r="L362">
        <v>320</v>
      </c>
      <c r="M362">
        <v>2002</v>
      </c>
      <c r="N362">
        <v>2000</v>
      </c>
      <c r="O362" s="1">
        <v>44831</v>
      </c>
      <c r="P362" s="1">
        <v>44829</v>
      </c>
      <c r="S362" t="s">
        <v>29</v>
      </c>
      <c r="W362">
        <v>1</v>
      </c>
      <c r="X362">
        <v>0</v>
      </c>
    </row>
    <row r="363" spans="1:24" x14ac:dyDescent="0.25">
      <c r="A363">
        <v>11968986</v>
      </c>
      <c r="B363" t="s">
        <v>823</v>
      </c>
      <c r="C363" t="s">
        <v>784</v>
      </c>
      <c r="D363" t="s">
        <v>785</v>
      </c>
      <c r="F363" t="str">
        <f>"4091831575"</f>
        <v>4091831575</v>
      </c>
      <c r="G363" t="str">
        <f>"9784091831576"</f>
        <v>9784091831576</v>
      </c>
      <c r="H363">
        <v>4</v>
      </c>
      <c r="I363">
        <v>3.85</v>
      </c>
      <c r="J363" t="s">
        <v>824</v>
      </c>
      <c r="K363" t="s">
        <v>28</v>
      </c>
      <c r="L363">
        <v>224</v>
      </c>
      <c r="M363">
        <v>2010</v>
      </c>
      <c r="N363">
        <v>2010</v>
      </c>
      <c r="O363" s="1">
        <v>44831</v>
      </c>
      <c r="P363" s="1">
        <v>44831</v>
      </c>
      <c r="S363" t="s">
        <v>29</v>
      </c>
      <c r="W363">
        <v>1</v>
      </c>
      <c r="X363">
        <v>0</v>
      </c>
    </row>
    <row r="364" spans="1:24" x14ac:dyDescent="0.25">
      <c r="A364">
        <v>7401917</v>
      </c>
      <c r="B364" t="s">
        <v>825</v>
      </c>
      <c r="C364" t="s">
        <v>784</v>
      </c>
      <c r="D364" t="s">
        <v>785</v>
      </c>
      <c r="F364" t="str">
        <f>"4091827799"</f>
        <v>4091827799</v>
      </c>
      <c r="G364" t="str">
        <f>"9784091827791"</f>
        <v>9784091827791</v>
      </c>
      <c r="H364">
        <v>4</v>
      </c>
      <c r="I364">
        <v>3.84</v>
      </c>
      <c r="J364" t="s">
        <v>797</v>
      </c>
      <c r="K364" t="s">
        <v>28</v>
      </c>
      <c r="L364">
        <v>208</v>
      </c>
      <c r="M364">
        <v>2009</v>
      </c>
      <c r="N364">
        <v>2009</v>
      </c>
      <c r="O364" s="1">
        <v>44831</v>
      </c>
      <c r="P364" s="1">
        <v>44831</v>
      </c>
      <c r="S364" t="s">
        <v>29</v>
      </c>
      <c r="W364">
        <v>1</v>
      </c>
      <c r="X364">
        <v>0</v>
      </c>
    </row>
    <row r="365" spans="1:24" x14ac:dyDescent="0.25">
      <c r="A365">
        <v>7077122</v>
      </c>
      <c r="B365" t="s">
        <v>826</v>
      </c>
      <c r="C365" t="s">
        <v>137</v>
      </c>
      <c r="D365" t="s">
        <v>138</v>
      </c>
      <c r="F365" t="str">
        <f>"4063129780"</f>
        <v>4063129780</v>
      </c>
      <c r="G365" t="str">
        <f>"9784063129786"</f>
        <v>9784063129786</v>
      </c>
      <c r="H365">
        <v>4</v>
      </c>
      <c r="I365">
        <v>4.2699999999999996</v>
      </c>
      <c r="J365" t="s">
        <v>827</v>
      </c>
      <c r="K365" t="s">
        <v>28</v>
      </c>
      <c r="L365">
        <v>192</v>
      </c>
      <c r="M365">
        <v>2001</v>
      </c>
      <c r="N365">
        <v>2001</v>
      </c>
      <c r="O365" s="1">
        <v>44831</v>
      </c>
      <c r="P365" s="1">
        <v>44831</v>
      </c>
      <c r="S365" t="s">
        <v>29</v>
      </c>
      <c r="W365">
        <v>1</v>
      </c>
      <c r="X365">
        <v>0</v>
      </c>
    </row>
    <row r="366" spans="1:24" x14ac:dyDescent="0.25">
      <c r="A366">
        <v>15138450</v>
      </c>
      <c r="B366" t="s">
        <v>828</v>
      </c>
      <c r="C366" t="s">
        <v>784</v>
      </c>
      <c r="D366" t="s">
        <v>785</v>
      </c>
      <c r="E366" t="s">
        <v>790</v>
      </c>
      <c r="F366" t="str">
        <f>"409182580X"</f>
        <v>409182580X</v>
      </c>
      <c r="G366" t="str">
        <f>"9784091825803"</f>
        <v>9784091825803</v>
      </c>
      <c r="H366">
        <v>4</v>
      </c>
      <c r="I366">
        <v>3.76</v>
      </c>
      <c r="J366" t="s">
        <v>793</v>
      </c>
      <c r="K366" t="s">
        <v>28</v>
      </c>
      <c r="L366">
        <v>248</v>
      </c>
      <c r="M366">
        <v>2009</v>
      </c>
      <c r="N366">
        <v>2009</v>
      </c>
      <c r="O366" s="1">
        <v>44831</v>
      </c>
      <c r="P366" s="1">
        <v>44831</v>
      </c>
      <c r="S366" t="s">
        <v>29</v>
      </c>
      <c r="W366">
        <v>1</v>
      </c>
      <c r="X366">
        <v>0</v>
      </c>
    </row>
    <row r="367" spans="1:24" x14ac:dyDescent="0.25">
      <c r="A367">
        <v>22438103</v>
      </c>
      <c r="B367" t="s">
        <v>829</v>
      </c>
      <c r="C367" t="s">
        <v>137</v>
      </c>
      <c r="D367" t="s">
        <v>138</v>
      </c>
      <c r="F367" t="str">
        <f>"4063129446"</f>
        <v>4063129446</v>
      </c>
      <c r="G367" t="str">
        <f>"9784063129441"</f>
        <v>9784063129441</v>
      </c>
      <c r="H367">
        <v>3</v>
      </c>
      <c r="I367">
        <v>4.3</v>
      </c>
      <c r="J367" t="s">
        <v>139</v>
      </c>
      <c r="K367" t="s">
        <v>28</v>
      </c>
      <c r="L367">
        <v>184</v>
      </c>
      <c r="M367">
        <v>2001</v>
      </c>
      <c r="N367">
        <v>2001</v>
      </c>
      <c r="O367" s="1">
        <v>44831</v>
      </c>
      <c r="P367" s="1">
        <v>44830</v>
      </c>
      <c r="S367" t="s">
        <v>29</v>
      </c>
      <c r="W367">
        <v>1</v>
      </c>
      <c r="X367">
        <v>0</v>
      </c>
    </row>
    <row r="368" spans="1:24" x14ac:dyDescent="0.25">
      <c r="A368">
        <v>50991527</v>
      </c>
      <c r="B368" t="s">
        <v>830</v>
      </c>
      <c r="C368" t="s">
        <v>831</v>
      </c>
      <c r="D368" t="s">
        <v>832</v>
      </c>
      <c r="E368" t="s">
        <v>833</v>
      </c>
      <c r="F368" t="str">
        <f>""</f>
        <v/>
      </c>
      <c r="G368" t="str">
        <f>""</f>
        <v/>
      </c>
      <c r="H368">
        <v>2</v>
      </c>
      <c r="I368">
        <v>3.95</v>
      </c>
      <c r="J368" t="s">
        <v>55</v>
      </c>
      <c r="K368" t="s">
        <v>609</v>
      </c>
      <c r="L368">
        <v>87</v>
      </c>
      <c r="M368">
        <v>2020</v>
      </c>
      <c r="N368">
        <v>2020</v>
      </c>
      <c r="O368" s="1">
        <v>44831</v>
      </c>
      <c r="P368" s="1">
        <v>44830</v>
      </c>
      <c r="S368" t="s">
        <v>29</v>
      </c>
      <c r="W368">
        <v>1</v>
      </c>
      <c r="X368">
        <v>0</v>
      </c>
    </row>
    <row r="369" spans="1:24" x14ac:dyDescent="0.25">
      <c r="A369">
        <v>33514</v>
      </c>
      <c r="B369" t="s">
        <v>834</v>
      </c>
      <c r="C369" t="s">
        <v>835</v>
      </c>
      <c r="D369" t="s">
        <v>836</v>
      </c>
      <c r="E369" t="s">
        <v>837</v>
      </c>
      <c r="F369" t="str">
        <f>""</f>
        <v/>
      </c>
      <c r="G369" t="str">
        <f>""</f>
        <v/>
      </c>
      <c r="H369">
        <v>0</v>
      </c>
      <c r="I369">
        <v>4.17</v>
      </c>
      <c r="J369" t="s">
        <v>838</v>
      </c>
      <c r="K369" t="s">
        <v>34</v>
      </c>
      <c r="L369">
        <v>105</v>
      </c>
      <c r="M369">
        <v>1999</v>
      </c>
      <c r="N369">
        <v>1918</v>
      </c>
      <c r="P369" s="1">
        <v>44830</v>
      </c>
      <c r="Q369" t="s">
        <v>35</v>
      </c>
      <c r="R369" t="s">
        <v>839</v>
      </c>
      <c r="S369" t="s">
        <v>35</v>
      </c>
      <c r="W369">
        <v>0</v>
      </c>
      <c r="X369">
        <v>0</v>
      </c>
    </row>
    <row r="370" spans="1:24" x14ac:dyDescent="0.25">
      <c r="A370">
        <v>22438105</v>
      </c>
      <c r="B370" t="s">
        <v>840</v>
      </c>
      <c r="C370" t="s">
        <v>137</v>
      </c>
      <c r="D370" t="s">
        <v>138</v>
      </c>
      <c r="F370" t="str">
        <f>"406312911X"</f>
        <v>406312911X</v>
      </c>
      <c r="G370" t="str">
        <f>"9784063129113"</f>
        <v>9784063129113</v>
      </c>
      <c r="H370">
        <v>5</v>
      </c>
      <c r="I370">
        <v>4.3899999999999997</v>
      </c>
      <c r="J370" t="s">
        <v>139</v>
      </c>
      <c r="K370" t="s">
        <v>28</v>
      </c>
      <c r="L370">
        <v>184</v>
      </c>
      <c r="M370">
        <v>2000</v>
      </c>
      <c r="N370">
        <v>2000</v>
      </c>
      <c r="O370" s="1">
        <v>44830</v>
      </c>
      <c r="P370" s="1">
        <v>44830</v>
      </c>
      <c r="S370" t="s">
        <v>29</v>
      </c>
      <c r="W370">
        <v>1</v>
      </c>
      <c r="X370">
        <v>0</v>
      </c>
    </row>
    <row r="371" spans="1:24" x14ac:dyDescent="0.25">
      <c r="A371">
        <v>22438094</v>
      </c>
      <c r="B371" t="s">
        <v>841</v>
      </c>
      <c r="C371" t="s">
        <v>137</v>
      </c>
      <c r="D371" t="s">
        <v>138</v>
      </c>
      <c r="F371" t="str">
        <f>"4063128792"</f>
        <v>4063128792</v>
      </c>
      <c r="G371" t="str">
        <f>"9784063128796"</f>
        <v>9784063128796</v>
      </c>
      <c r="H371">
        <v>5</v>
      </c>
      <c r="I371">
        <v>4.3099999999999996</v>
      </c>
      <c r="J371" t="s">
        <v>139</v>
      </c>
      <c r="K371" t="s">
        <v>28</v>
      </c>
      <c r="L371">
        <v>192</v>
      </c>
      <c r="M371">
        <v>2000</v>
      </c>
      <c r="N371">
        <v>2000</v>
      </c>
      <c r="O371" s="1">
        <v>44830</v>
      </c>
      <c r="P371" s="1">
        <v>44830</v>
      </c>
      <c r="S371" t="s">
        <v>29</v>
      </c>
      <c r="W371">
        <v>1</v>
      </c>
      <c r="X371">
        <v>0</v>
      </c>
    </row>
    <row r="372" spans="1:24" x14ac:dyDescent="0.25">
      <c r="A372">
        <v>22438095</v>
      </c>
      <c r="B372" t="s">
        <v>842</v>
      </c>
      <c r="C372" t="s">
        <v>137</v>
      </c>
      <c r="D372" t="s">
        <v>138</v>
      </c>
      <c r="F372" t="str">
        <f>"4063128571"</f>
        <v>4063128571</v>
      </c>
      <c r="G372" t="str">
        <f>"9784063128574"</f>
        <v>9784063128574</v>
      </c>
      <c r="H372">
        <v>4</v>
      </c>
      <c r="I372">
        <v>4.3099999999999996</v>
      </c>
      <c r="J372" t="s">
        <v>139</v>
      </c>
      <c r="K372" t="s">
        <v>28</v>
      </c>
      <c r="L372">
        <v>224</v>
      </c>
      <c r="M372">
        <v>2000</v>
      </c>
      <c r="N372">
        <v>2000</v>
      </c>
      <c r="O372" s="1">
        <v>44830</v>
      </c>
      <c r="P372" s="1">
        <v>44830</v>
      </c>
      <c r="S372" t="s">
        <v>29</v>
      </c>
      <c r="W372">
        <v>1</v>
      </c>
      <c r="X372">
        <v>0</v>
      </c>
    </row>
    <row r="373" spans="1:24" x14ac:dyDescent="0.25">
      <c r="A373">
        <v>22438114</v>
      </c>
      <c r="B373" t="s">
        <v>843</v>
      </c>
      <c r="C373" t="s">
        <v>137</v>
      </c>
      <c r="D373" t="s">
        <v>138</v>
      </c>
      <c r="F373" t="str">
        <f>"4063128377"</f>
        <v>4063128377</v>
      </c>
      <c r="G373" t="str">
        <f>"9784063128376"</f>
        <v>9784063128376</v>
      </c>
      <c r="H373">
        <v>4</v>
      </c>
      <c r="I373">
        <v>4.2699999999999996</v>
      </c>
      <c r="J373" t="s">
        <v>139</v>
      </c>
      <c r="K373" t="s">
        <v>28</v>
      </c>
      <c r="L373">
        <v>192</v>
      </c>
      <c r="M373">
        <v>2000</v>
      </c>
      <c r="N373">
        <v>2000</v>
      </c>
      <c r="O373" s="1">
        <v>44830</v>
      </c>
      <c r="P373" s="1">
        <v>44829</v>
      </c>
      <c r="S373" t="s">
        <v>29</v>
      </c>
      <c r="W373">
        <v>1</v>
      </c>
      <c r="X373">
        <v>0</v>
      </c>
    </row>
    <row r="374" spans="1:24" x14ac:dyDescent="0.25">
      <c r="A374">
        <v>36153987</v>
      </c>
      <c r="B374" t="s">
        <v>844</v>
      </c>
      <c r="C374" t="s">
        <v>845</v>
      </c>
      <c r="D374" t="s">
        <v>846</v>
      </c>
      <c r="F374" t="str">
        <f>"163236607X"</f>
        <v>163236607X</v>
      </c>
      <c r="G374" t="str">
        <f>"9781632366078"</f>
        <v>9781632366078</v>
      </c>
      <c r="H374">
        <v>2</v>
      </c>
      <c r="I374">
        <v>3.8</v>
      </c>
      <c r="J374" t="s">
        <v>847</v>
      </c>
      <c r="K374" t="s">
        <v>28</v>
      </c>
      <c r="L374">
        <v>200</v>
      </c>
      <c r="M374">
        <v>2017</v>
      </c>
      <c r="N374">
        <v>2017</v>
      </c>
      <c r="O374" s="1">
        <v>44830</v>
      </c>
      <c r="P374" s="1">
        <v>44830</v>
      </c>
      <c r="S374" t="s">
        <v>29</v>
      </c>
      <c r="W374">
        <v>1</v>
      </c>
      <c r="X374">
        <v>0</v>
      </c>
    </row>
    <row r="375" spans="1:24" x14ac:dyDescent="0.25">
      <c r="A375">
        <v>36153986</v>
      </c>
      <c r="B375" t="s">
        <v>848</v>
      </c>
      <c r="C375" t="s">
        <v>845</v>
      </c>
      <c r="D375" t="s">
        <v>846</v>
      </c>
      <c r="F375" t="str">
        <f>"1632365545"</f>
        <v>1632365545</v>
      </c>
      <c r="G375" t="str">
        <f>"9781632365545"</f>
        <v>9781632365545</v>
      </c>
      <c r="H375">
        <v>2</v>
      </c>
      <c r="I375">
        <v>3.75</v>
      </c>
      <c r="J375" t="s">
        <v>847</v>
      </c>
      <c r="K375" t="s">
        <v>28</v>
      </c>
      <c r="L375">
        <v>192</v>
      </c>
      <c r="M375">
        <v>2017</v>
      </c>
      <c r="N375">
        <v>2017</v>
      </c>
      <c r="O375" s="1">
        <v>44830</v>
      </c>
      <c r="P375" s="1">
        <v>44830</v>
      </c>
      <c r="S375" t="s">
        <v>29</v>
      </c>
      <c r="W375">
        <v>1</v>
      </c>
      <c r="X375">
        <v>0</v>
      </c>
    </row>
    <row r="376" spans="1:24" x14ac:dyDescent="0.25">
      <c r="A376">
        <v>33946342</v>
      </c>
      <c r="B376" t="s">
        <v>849</v>
      </c>
      <c r="C376" t="s">
        <v>845</v>
      </c>
      <c r="D376" t="s">
        <v>846</v>
      </c>
      <c r="F376" t="str">
        <f>"1632364891"</f>
        <v>1632364891</v>
      </c>
      <c r="G376" t="str">
        <f>"9781632364890"</f>
        <v>9781632364890</v>
      </c>
      <c r="H376">
        <v>3</v>
      </c>
      <c r="I376">
        <v>3.77</v>
      </c>
      <c r="J376" t="s">
        <v>847</v>
      </c>
      <c r="K376" t="s">
        <v>28</v>
      </c>
      <c r="L376">
        <v>191</v>
      </c>
      <c r="M376">
        <v>2017</v>
      </c>
      <c r="N376">
        <v>2017</v>
      </c>
      <c r="O376" s="1">
        <v>44830</v>
      </c>
      <c r="P376" s="1">
        <v>44830</v>
      </c>
      <c r="S376" t="s">
        <v>29</v>
      </c>
      <c r="W376">
        <v>1</v>
      </c>
      <c r="X376">
        <v>0</v>
      </c>
    </row>
    <row r="377" spans="1:24" x14ac:dyDescent="0.25">
      <c r="A377">
        <v>32445731</v>
      </c>
      <c r="B377" t="s">
        <v>850</v>
      </c>
      <c r="C377" t="s">
        <v>845</v>
      </c>
      <c r="D377" t="s">
        <v>846</v>
      </c>
      <c r="F377" t="str">
        <f>"1632364360"</f>
        <v>1632364360</v>
      </c>
      <c r="G377" t="str">
        <f>"9781632364364"</f>
        <v>9781632364364</v>
      </c>
      <c r="H377">
        <v>3</v>
      </c>
      <c r="I377">
        <v>3.89</v>
      </c>
      <c r="J377" t="s">
        <v>847</v>
      </c>
      <c r="K377" t="s">
        <v>28</v>
      </c>
      <c r="L377">
        <v>199</v>
      </c>
      <c r="M377">
        <v>2017</v>
      </c>
      <c r="N377">
        <v>2016</v>
      </c>
      <c r="O377" s="1">
        <v>44830</v>
      </c>
      <c r="P377" s="1">
        <v>44830</v>
      </c>
      <c r="S377" t="s">
        <v>29</v>
      </c>
      <c r="W377">
        <v>1</v>
      </c>
      <c r="X377">
        <v>0</v>
      </c>
    </row>
    <row r="378" spans="1:24" x14ac:dyDescent="0.25">
      <c r="A378">
        <v>30194446</v>
      </c>
      <c r="B378" t="s">
        <v>851</v>
      </c>
      <c r="C378" t="s">
        <v>845</v>
      </c>
      <c r="D378" t="s">
        <v>846</v>
      </c>
      <c r="F378" t="str">
        <f>"4063546160"</f>
        <v>4063546160</v>
      </c>
      <c r="G378" t="str">
        <f>"9784063546163"</f>
        <v>9784063546163</v>
      </c>
      <c r="H378">
        <v>4</v>
      </c>
      <c r="I378">
        <v>3.82</v>
      </c>
      <c r="J378" t="s">
        <v>852</v>
      </c>
      <c r="K378" t="s">
        <v>28</v>
      </c>
      <c r="L378">
        <v>194</v>
      </c>
      <c r="M378">
        <v>2016</v>
      </c>
      <c r="N378">
        <v>2016</v>
      </c>
      <c r="O378" s="1">
        <v>44830</v>
      </c>
      <c r="P378" s="1">
        <v>44830</v>
      </c>
      <c r="S378" t="s">
        <v>29</v>
      </c>
      <c r="W378">
        <v>1</v>
      </c>
      <c r="X378">
        <v>0</v>
      </c>
    </row>
    <row r="379" spans="1:24" x14ac:dyDescent="0.25">
      <c r="A379">
        <v>28687036</v>
      </c>
      <c r="B379" t="s">
        <v>853</v>
      </c>
      <c r="C379" t="s">
        <v>845</v>
      </c>
      <c r="D379" t="s">
        <v>846</v>
      </c>
      <c r="E379" t="s">
        <v>854</v>
      </c>
      <c r="F379" t="str">
        <f>"163236297X"</f>
        <v>163236297X</v>
      </c>
      <c r="G379" t="str">
        <f>"9781632362971"</f>
        <v>9781632362971</v>
      </c>
      <c r="H379">
        <v>4</v>
      </c>
      <c r="I379">
        <v>3.91</v>
      </c>
      <c r="J379" t="s">
        <v>847</v>
      </c>
      <c r="K379" t="s">
        <v>28</v>
      </c>
      <c r="L379">
        <v>196</v>
      </c>
      <c r="M379">
        <v>2016</v>
      </c>
      <c r="N379">
        <v>2015</v>
      </c>
      <c r="O379" s="1">
        <v>44830</v>
      </c>
      <c r="P379" s="1">
        <v>44830</v>
      </c>
      <c r="S379" t="s">
        <v>29</v>
      </c>
      <c r="W379">
        <v>1</v>
      </c>
      <c r="X379">
        <v>0</v>
      </c>
    </row>
    <row r="380" spans="1:24" x14ac:dyDescent="0.25">
      <c r="A380">
        <v>27833733</v>
      </c>
      <c r="B380" t="s">
        <v>855</v>
      </c>
      <c r="C380" t="s">
        <v>845</v>
      </c>
      <c r="D380" t="s">
        <v>846</v>
      </c>
      <c r="F380" t="str">
        <f>"1632362635"</f>
        <v>1632362635</v>
      </c>
      <c r="G380" t="str">
        <f>"9781632362636"</f>
        <v>9781632362636</v>
      </c>
      <c r="H380">
        <v>4</v>
      </c>
      <c r="I380">
        <v>3.89</v>
      </c>
      <c r="J380" t="s">
        <v>847</v>
      </c>
      <c r="K380" t="s">
        <v>28</v>
      </c>
      <c r="L380">
        <v>192</v>
      </c>
      <c r="M380">
        <v>2016</v>
      </c>
      <c r="N380">
        <v>2015</v>
      </c>
      <c r="O380" s="1">
        <v>44830</v>
      </c>
      <c r="P380" s="1">
        <v>44830</v>
      </c>
      <c r="S380" t="s">
        <v>29</v>
      </c>
      <c r="W380">
        <v>1</v>
      </c>
      <c r="X380">
        <v>0</v>
      </c>
    </row>
    <row r="381" spans="1:24" x14ac:dyDescent="0.25">
      <c r="A381">
        <v>25810267</v>
      </c>
      <c r="B381" t="s">
        <v>856</v>
      </c>
      <c r="C381" t="s">
        <v>845</v>
      </c>
      <c r="D381" t="s">
        <v>846</v>
      </c>
      <c r="F381" t="str">
        <f>"1632362058"</f>
        <v>1632362058</v>
      </c>
      <c r="G381" t="str">
        <f>"9781632362056"</f>
        <v>9781632362056</v>
      </c>
      <c r="H381">
        <v>4</v>
      </c>
      <c r="I381">
        <v>3.82</v>
      </c>
      <c r="J381" t="s">
        <v>847</v>
      </c>
      <c r="K381" t="s">
        <v>28</v>
      </c>
      <c r="L381">
        <v>192</v>
      </c>
      <c r="M381">
        <v>2016</v>
      </c>
      <c r="N381">
        <v>2015</v>
      </c>
      <c r="O381" s="1">
        <v>44830</v>
      </c>
      <c r="P381" s="1">
        <v>44830</v>
      </c>
      <c r="S381" t="s">
        <v>29</v>
      </c>
      <c r="W381">
        <v>1</v>
      </c>
      <c r="X381">
        <v>0</v>
      </c>
    </row>
    <row r="382" spans="1:24" x14ac:dyDescent="0.25">
      <c r="A382">
        <v>25810260</v>
      </c>
      <c r="B382" t="s">
        <v>857</v>
      </c>
      <c r="C382" t="s">
        <v>845</v>
      </c>
      <c r="D382" t="s">
        <v>846</v>
      </c>
      <c r="F382" t="str">
        <f>"1632361310"</f>
        <v>1632361310</v>
      </c>
      <c r="G382" t="str">
        <f>"9781632361318"</f>
        <v>9781632361318</v>
      </c>
      <c r="H382">
        <v>5</v>
      </c>
      <c r="I382">
        <v>3.91</v>
      </c>
      <c r="J382" t="s">
        <v>847</v>
      </c>
      <c r="K382" t="s">
        <v>28</v>
      </c>
      <c r="L382">
        <v>192</v>
      </c>
      <c r="M382">
        <v>2015</v>
      </c>
      <c r="N382">
        <v>2014</v>
      </c>
      <c r="O382" s="1">
        <v>44830</v>
      </c>
      <c r="P382" s="1">
        <v>44830</v>
      </c>
      <c r="S382" t="s">
        <v>29</v>
      </c>
      <c r="W382">
        <v>1</v>
      </c>
      <c r="X382">
        <v>0</v>
      </c>
    </row>
    <row r="383" spans="1:24" x14ac:dyDescent="0.25">
      <c r="A383">
        <v>23995514</v>
      </c>
      <c r="B383" t="s">
        <v>858</v>
      </c>
      <c r="C383" t="s">
        <v>845</v>
      </c>
      <c r="D383" t="s">
        <v>846</v>
      </c>
      <c r="F383" t="str">
        <f>"1632361213"</f>
        <v>1632361213</v>
      </c>
      <c r="G383" t="str">
        <f>"9781632361219"</f>
        <v>9781632361219</v>
      </c>
      <c r="H383">
        <v>5</v>
      </c>
      <c r="I383">
        <v>3.9</v>
      </c>
      <c r="J383" t="s">
        <v>847</v>
      </c>
      <c r="K383" t="s">
        <v>28</v>
      </c>
      <c r="L383">
        <v>200</v>
      </c>
      <c r="M383">
        <v>2015</v>
      </c>
      <c r="N383">
        <v>2014</v>
      </c>
      <c r="O383" s="1">
        <v>44830</v>
      </c>
      <c r="P383" s="1">
        <v>44812</v>
      </c>
      <c r="S383" t="s">
        <v>29</v>
      </c>
      <c r="W383">
        <v>1</v>
      </c>
      <c r="X383">
        <v>0</v>
      </c>
    </row>
    <row r="384" spans="1:24" x14ac:dyDescent="0.25">
      <c r="A384">
        <v>22438036</v>
      </c>
      <c r="B384" t="s">
        <v>859</v>
      </c>
      <c r="C384" t="s">
        <v>137</v>
      </c>
      <c r="D384" t="s">
        <v>138</v>
      </c>
      <c r="F384" t="str">
        <f>"4063127990"</f>
        <v>4063127990</v>
      </c>
      <c r="G384" t="str">
        <f>"9784063127997"</f>
        <v>9784063127997</v>
      </c>
      <c r="H384">
        <v>4</v>
      </c>
      <c r="I384">
        <v>4.3099999999999996</v>
      </c>
      <c r="J384" t="s">
        <v>139</v>
      </c>
      <c r="K384" t="s">
        <v>28</v>
      </c>
      <c r="L384">
        <v>200</v>
      </c>
      <c r="M384">
        <v>2000</v>
      </c>
      <c r="N384">
        <v>2000</v>
      </c>
      <c r="O384" s="1">
        <v>44829</v>
      </c>
      <c r="P384" s="1">
        <v>44829</v>
      </c>
      <c r="S384" t="s">
        <v>29</v>
      </c>
      <c r="W384">
        <v>1</v>
      </c>
      <c r="X384">
        <v>0</v>
      </c>
    </row>
    <row r="385" spans="1:24" x14ac:dyDescent="0.25">
      <c r="A385">
        <v>22438033</v>
      </c>
      <c r="B385" t="s">
        <v>860</v>
      </c>
      <c r="C385" t="s">
        <v>137</v>
      </c>
      <c r="D385" t="s">
        <v>138</v>
      </c>
      <c r="F385" t="str">
        <f>"4063127443"</f>
        <v>4063127443</v>
      </c>
      <c r="G385" t="str">
        <f>"9784063127447"</f>
        <v>9784063127447</v>
      </c>
      <c r="H385">
        <v>4</v>
      </c>
      <c r="I385">
        <v>4.2699999999999996</v>
      </c>
      <c r="J385" t="s">
        <v>139</v>
      </c>
      <c r="K385" t="s">
        <v>28</v>
      </c>
      <c r="L385">
        <v>193</v>
      </c>
      <c r="M385">
        <v>1999</v>
      </c>
      <c r="N385">
        <v>1999</v>
      </c>
      <c r="O385" s="1">
        <v>44829</v>
      </c>
      <c r="P385" s="1">
        <v>44829</v>
      </c>
      <c r="S385" t="s">
        <v>29</v>
      </c>
      <c r="W385">
        <v>1</v>
      </c>
      <c r="X385">
        <v>0</v>
      </c>
    </row>
    <row r="386" spans="1:24" x14ac:dyDescent="0.25">
      <c r="A386">
        <v>35522033</v>
      </c>
      <c r="B386" t="s">
        <v>861</v>
      </c>
      <c r="C386" t="s">
        <v>862</v>
      </c>
      <c r="D386" t="s">
        <v>863</v>
      </c>
      <c r="F386" t="str">
        <f>""</f>
        <v/>
      </c>
      <c r="G386" t="str">
        <f>""</f>
        <v/>
      </c>
      <c r="H386">
        <v>0</v>
      </c>
      <c r="I386">
        <v>4.16</v>
      </c>
      <c r="J386" t="s">
        <v>864</v>
      </c>
      <c r="K386" t="s">
        <v>133</v>
      </c>
      <c r="L386">
        <v>149</v>
      </c>
      <c r="M386">
        <v>2017</v>
      </c>
      <c r="N386">
        <v>2017</v>
      </c>
      <c r="P386" s="1">
        <v>44829</v>
      </c>
      <c r="Q386" t="s">
        <v>35</v>
      </c>
      <c r="R386" t="s">
        <v>865</v>
      </c>
      <c r="S386" t="s">
        <v>35</v>
      </c>
      <c r="W386">
        <v>0</v>
      </c>
      <c r="X386">
        <v>0</v>
      </c>
    </row>
    <row r="387" spans="1:24" x14ac:dyDescent="0.25">
      <c r="A387">
        <v>22438028</v>
      </c>
      <c r="B387" t="s">
        <v>866</v>
      </c>
      <c r="C387" t="s">
        <v>137</v>
      </c>
      <c r="D387" t="s">
        <v>138</v>
      </c>
      <c r="F387" t="str">
        <f>"4063127230"</f>
        <v>4063127230</v>
      </c>
      <c r="G387" t="str">
        <f>"9784063127232"</f>
        <v>9784063127232</v>
      </c>
      <c r="H387">
        <v>4</v>
      </c>
      <c r="I387">
        <v>4.28</v>
      </c>
      <c r="J387" t="s">
        <v>139</v>
      </c>
      <c r="K387" t="s">
        <v>28</v>
      </c>
      <c r="L387">
        <v>183</v>
      </c>
      <c r="M387">
        <v>1999</v>
      </c>
      <c r="N387">
        <v>1999</v>
      </c>
      <c r="O387" s="1">
        <v>44829</v>
      </c>
      <c r="P387" s="1">
        <v>44829</v>
      </c>
      <c r="S387" t="s">
        <v>29</v>
      </c>
      <c r="W387">
        <v>1</v>
      </c>
      <c r="X387">
        <v>0</v>
      </c>
    </row>
    <row r="388" spans="1:24" x14ac:dyDescent="0.25">
      <c r="A388">
        <v>22438027</v>
      </c>
      <c r="B388" t="s">
        <v>867</v>
      </c>
      <c r="C388" t="s">
        <v>137</v>
      </c>
      <c r="D388" t="s">
        <v>138</v>
      </c>
      <c r="F388" t="str">
        <f>"4063126978"</f>
        <v>4063126978</v>
      </c>
      <c r="G388" t="str">
        <f>"9784063126976"</f>
        <v>9784063126976</v>
      </c>
      <c r="H388">
        <v>4</v>
      </c>
      <c r="I388">
        <v>4.28</v>
      </c>
      <c r="J388" t="s">
        <v>139</v>
      </c>
      <c r="K388" t="s">
        <v>28</v>
      </c>
      <c r="L388">
        <v>181</v>
      </c>
      <c r="M388">
        <v>1999</v>
      </c>
      <c r="N388">
        <v>1999</v>
      </c>
      <c r="O388" s="1">
        <v>44829</v>
      </c>
      <c r="P388" s="1">
        <v>44829</v>
      </c>
      <c r="S388" t="s">
        <v>29</v>
      </c>
      <c r="W388">
        <v>1</v>
      </c>
      <c r="X388">
        <v>0</v>
      </c>
    </row>
    <row r="389" spans="1:24" x14ac:dyDescent="0.25">
      <c r="A389">
        <v>22438023</v>
      </c>
      <c r="B389" t="s">
        <v>868</v>
      </c>
      <c r="C389" t="s">
        <v>137</v>
      </c>
      <c r="D389" t="s">
        <v>138</v>
      </c>
      <c r="F389" t="str">
        <f>"4063126730"</f>
        <v>4063126730</v>
      </c>
      <c r="G389" t="str">
        <f>"9784063126730"</f>
        <v>9784063126730</v>
      </c>
      <c r="H389">
        <v>4</v>
      </c>
      <c r="I389">
        <v>4.2699999999999996</v>
      </c>
      <c r="J389" t="s">
        <v>139</v>
      </c>
      <c r="K389" t="s">
        <v>28</v>
      </c>
      <c r="L389">
        <v>177</v>
      </c>
      <c r="M389">
        <v>1999</v>
      </c>
      <c r="N389">
        <v>1999</v>
      </c>
      <c r="O389" s="1">
        <v>44829</v>
      </c>
      <c r="P389" s="1">
        <v>44829</v>
      </c>
      <c r="S389" t="s">
        <v>29</v>
      </c>
      <c r="W389">
        <v>1</v>
      </c>
      <c r="X389">
        <v>0</v>
      </c>
    </row>
    <row r="390" spans="1:24" x14ac:dyDescent="0.25">
      <c r="A390">
        <v>22438018</v>
      </c>
      <c r="B390" t="s">
        <v>869</v>
      </c>
      <c r="C390" t="s">
        <v>137</v>
      </c>
      <c r="D390" t="s">
        <v>138</v>
      </c>
      <c r="F390" t="str">
        <f>"4063126404"</f>
        <v>4063126404</v>
      </c>
      <c r="G390" t="str">
        <f>"9784063126402"</f>
        <v>9784063126402</v>
      </c>
      <c r="H390">
        <v>3</v>
      </c>
      <c r="I390">
        <v>4.2699999999999996</v>
      </c>
      <c r="J390" t="s">
        <v>139</v>
      </c>
      <c r="K390" t="s">
        <v>28</v>
      </c>
      <c r="L390">
        <v>174</v>
      </c>
      <c r="M390">
        <v>1999</v>
      </c>
      <c r="N390">
        <v>1999</v>
      </c>
      <c r="O390" s="1">
        <v>44829</v>
      </c>
      <c r="P390" s="1">
        <v>44829</v>
      </c>
      <c r="S390" t="s">
        <v>29</v>
      </c>
      <c r="W390">
        <v>1</v>
      </c>
      <c r="X390">
        <v>0</v>
      </c>
    </row>
    <row r="391" spans="1:24" x14ac:dyDescent="0.25">
      <c r="A391">
        <v>445046</v>
      </c>
      <c r="B391" t="s">
        <v>870</v>
      </c>
      <c r="C391" t="s">
        <v>831</v>
      </c>
      <c r="D391" t="s">
        <v>832</v>
      </c>
      <c r="E391" t="s">
        <v>871</v>
      </c>
      <c r="F391" t="str">
        <f>"1421513277"</f>
        <v>1421513277</v>
      </c>
      <c r="G391" t="str">
        <f>"9781421513270"</f>
        <v>9781421513270</v>
      </c>
      <c r="H391">
        <v>4</v>
      </c>
      <c r="I391">
        <v>4.38</v>
      </c>
      <c r="J391" t="s">
        <v>27</v>
      </c>
      <c r="K391" t="s">
        <v>28</v>
      </c>
      <c r="L391">
        <v>210</v>
      </c>
      <c r="M391">
        <v>2007</v>
      </c>
      <c r="N391">
        <v>2006</v>
      </c>
      <c r="O391" s="1">
        <v>44829</v>
      </c>
      <c r="P391" s="1">
        <v>44829</v>
      </c>
      <c r="S391" t="s">
        <v>29</v>
      </c>
      <c r="W391">
        <v>1</v>
      </c>
      <c r="X391">
        <v>0</v>
      </c>
    </row>
    <row r="392" spans="1:24" x14ac:dyDescent="0.25">
      <c r="A392">
        <v>445044</v>
      </c>
      <c r="B392" t="s">
        <v>872</v>
      </c>
      <c r="C392" t="s">
        <v>831</v>
      </c>
      <c r="D392" t="s">
        <v>832</v>
      </c>
      <c r="E392" t="s">
        <v>871</v>
      </c>
      <c r="F392" t="str">
        <f>"1421511789"</f>
        <v>1421511789</v>
      </c>
      <c r="G392" t="str">
        <f>"9781421511788"</f>
        <v>9781421511788</v>
      </c>
      <c r="H392">
        <v>4</v>
      </c>
      <c r="I392">
        <v>4.21</v>
      </c>
      <c r="J392" t="s">
        <v>27</v>
      </c>
      <c r="K392" t="s">
        <v>28</v>
      </c>
      <c r="L392">
        <v>210</v>
      </c>
      <c r="M392">
        <v>2007</v>
      </c>
      <c r="N392">
        <v>2006</v>
      </c>
      <c r="O392" s="1">
        <v>44829</v>
      </c>
      <c r="P392" s="1">
        <v>44829</v>
      </c>
      <c r="S392" t="s">
        <v>29</v>
      </c>
      <c r="W392">
        <v>1</v>
      </c>
      <c r="X392">
        <v>0</v>
      </c>
    </row>
    <row r="393" spans="1:24" x14ac:dyDescent="0.25">
      <c r="A393">
        <v>13623</v>
      </c>
      <c r="B393" t="s">
        <v>873</v>
      </c>
      <c r="C393" t="s">
        <v>831</v>
      </c>
      <c r="D393" t="s">
        <v>832</v>
      </c>
      <c r="E393" t="s">
        <v>871</v>
      </c>
      <c r="F393" t="str">
        <f>"142151155X"</f>
        <v>142151155X</v>
      </c>
      <c r="G393" t="str">
        <f>"9781421511559"</f>
        <v>9781421511559</v>
      </c>
      <c r="H393">
        <v>4</v>
      </c>
      <c r="I393">
        <v>4.22</v>
      </c>
      <c r="J393" t="s">
        <v>27</v>
      </c>
      <c r="K393" t="s">
        <v>28</v>
      </c>
      <c r="L393">
        <v>188</v>
      </c>
      <c r="M393">
        <v>2007</v>
      </c>
      <c r="N393">
        <v>2006</v>
      </c>
      <c r="O393" s="1">
        <v>44829</v>
      </c>
      <c r="P393" s="1">
        <v>44829</v>
      </c>
      <c r="S393" t="s">
        <v>29</v>
      </c>
      <c r="W393">
        <v>1</v>
      </c>
      <c r="X393">
        <v>0</v>
      </c>
    </row>
    <row r="394" spans="1:24" x14ac:dyDescent="0.25">
      <c r="A394">
        <v>13622</v>
      </c>
      <c r="B394" t="s">
        <v>874</v>
      </c>
      <c r="C394" t="s">
        <v>831</v>
      </c>
      <c r="D394" t="s">
        <v>832</v>
      </c>
      <c r="E394" t="s">
        <v>871</v>
      </c>
      <c r="F394" t="str">
        <f>"1421506300"</f>
        <v>1421506300</v>
      </c>
      <c r="G394" t="str">
        <f>"9781421506302"</f>
        <v>9781421506302</v>
      </c>
      <c r="H394">
        <v>4</v>
      </c>
      <c r="I394">
        <v>4.2</v>
      </c>
      <c r="J394" t="s">
        <v>27</v>
      </c>
      <c r="K394" t="s">
        <v>28</v>
      </c>
      <c r="L394">
        <v>193</v>
      </c>
      <c r="M394">
        <v>2007</v>
      </c>
      <c r="N394">
        <v>2005</v>
      </c>
      <c r="O394" s="1">
        <v>44829</v>
      </c>
      <c r="P394" s="1">
        <v>44829</v>
      </c>
      <c r="S394" t="s">
        <v>29</v>
      </c>
      <c r="W394">
        <v>1</v>
      </c>
      <c r="X394">
        <v>0</v>
      </c>
    </row>
    <row r="395" spans="1:24" x14ac:dyDescent="0.25">
      <c r="A395">
        <v>13614</v>
      </c>
      <c r="B395" t="s">
        <v>875</v>
      </c>
      <c r="C395" t="s">
        <v>831</v>
      </c>
      <c r="D395" t="s">
        <v>832</v>
      </c>
      <c r="E395" t="s">
        <v>871</v>
      </c>
      <c r="F395" t="str">
        <f>"1421506297"</f>
        <v>1421506297</v>
      </c>
      <c r="G395" t="str">
        <f>"9781421506296"</f>
        <v>9781421506296</v>
      </c>
      <c r="H395">
        <v>4</v>
      </c>
      <c r="I395">
        <v>4.24</v>
      </c>
      <c r="J395" t="s">
        <v>27</v>
      </c>
      <c r="K395" t="s">
        <v>28</v>
      </c>
      <c r="L395">
        <v>201</v>
      </c>
      <c r="M395">
        <v>2006</v>
      </c>
      <c r="N395">
        <v>2005</v>
      </c>
      <c r="O395" s="1">
        <v>44829</v>
      </c>
      <c r="P395" s="1">
        <v>44828</v>
      </c>
      <c r="S395" t="s">
        <v>29</v>
      </c>
      <c r="W395">
        <v>1</v>
      </c>
      <c r="X395">
        <v>0</v>
      </c>
    </row>
    <row r="396" spans="1:24" x14ac:dyDescent="0.25">
      <c r="A396">
        <v>43798285</v>
      </c>
      <c r="B396" t="s">
        <v>876</v>
      </c>
      <c r="C396" t="s">
        <v>516</v>
      </c>
      <c r="D396" t="s">
        <v>517</v>
      </c>
      <c r="F396" t="str">
        <f>""</f>
        <v/>
      </c>
      <c r="G396" t="str">
        <f>""</f>
        <v/>
      </c>
      <c r="H396">
        <v>5</v>
      </c>
      <c r="I396">
        <v>4.2</v>
      </c>
      <c r="J396" t="s">
        <v>228</v>
      </c>
      <c r="K396" t="s">
        <v>34</v>
      </c>
      <c r="L396">
        <v>561</v>
      </c>
      <c r="M396">
        <v>2019</v>
      </c>
      <c r="N396">
        <v>2019</v>
      </c>
      <c r="O396" s="1">
        <v>44829</v>
      </c>
      <c r="P396" s="1">
        <v>44827</v>
      </c>
      <c r="S396" t="s">
        <v>29</v>
      </c>
      <c r="W396">
        <v>1</v>
      </c>
      <c r="X396">
        <v>0</v>
      </c>
    </row>
    <row r="397" spans="1:24" x14ac:dyDescent="0.25">
      <c r="A397">
        <v>11590</v>
      </c>
      <c r="B397" t="s">
        <v>877</v>
      </c>
      <c r="C397" t="s">
        <v>516</v>
      </c>
      <c r="D397" t="s">
        <v>517</v>
      </c>
      <c r="F397" t="str">
        <f>"0450031063"</f>
        <v>0450031063</v>
      </c>
      <c r="G397" t="str">
        <f>"9780450031069"</f>
        <v>9780450031069</v>
      </c>
      <c r="H397">
        <v>2</v>
      </c>
      <c r="I397">
        <v>4.05</v>
      </c>
      <c r="J397" t="s">
        <v>878</v>
      </c>
      <c r="K397" t="s">
        <v>28</v>
      </c>
      <c r="L397">
        <v>483</v>
      </c>
      <c r="M397">
        <v>1991</v>
      </c>
      <c r="N397">
        <v>1975</v>
      </c>
      <c r="O397" s="1">
        <v>44828</v>
      </c>
      <c r="P397" s="1">
        <v>44363</v>
      </c>
      <c r="S397" t="s">
        <v>29</v>
      </c>
      <c r="W397">
        <v>1</v>
      </c>
      <c r="X397">
        <v>0</v>
      </c>
    </row>
    <row r="398" spans="1:24" x14ac:dyDescent="0.25">
      <c r="A398">
        <v>555446</v>
      </c>
      <c r="B398" t="s">
        <v>879</v>
      </c>
      <c r="C398" t="s">
        <v>880</v>
      </c>
      <c r="D398" t="s">
        <v>881</v>
      </c>
      <c r="F398" t="str">
        <f>"1595324135"</f>
        <v>1595324135</v>
      </c>
      <c r="G398" t="str">
        <f>"9781595324139"</f>
        <v>9781595324139</v>
      </c>
      <c r="H398">
        <v>3</v>
      </c>
      <c r="I398">
        <v>4.3899999999999997</v>
      </c>
      <c r="J398" t="s">
        <v>882</v>
      </c>
      <c r="K398" t="s">
        <v>28</v>
      </c>
      <c r="L398">
        <v>192</v>
      </c>
      <c r="M398">
        <v>2005</v>
      </c>
      <c r="N398">
        <v>2002</v>
      </c>
      <c r="O398" s="1">
        <v>44828</v>
      </c>
      <c r="P398" s="1">
        <v>44828</v>
      </c>
      <c r="S398" t="s">
        <v>29</v>
      </c>
      <c r="W398">
        <v>1</v>
      </c>
      <c r="X398">
        <v>0</v>
      </c>
    </row>
    <row r="399" spans="1:24" x14ac:dyDescent="0.25">
      <c r="A399">
        <v>569913</v>
      </c>
      <c r="B399" t="s">
        <v>883</v>
      </c>
      <c r="C399" t="s">
        <v>880</v>
      </c>
      <c r="D399" t="s">
        <v>881</v>
      </c>
      <c r="F399" t="str">
        <f>"1595324127"</f>
        <v>1595324127</v>
      </c>
      <c r="G399" t="str">
        <f>"9781595324122"</f>
        <v>9781595324122</v>
      </c>
      <c r="H399">
        <v>3</v>
      </c>
      <c r="I399">
        <v>4.38</v>
      </c>
      <c r="J399" t="s">
        <v>884</v>
      </c>
      <c r="K399" t="s">
        <v>28</v>
      </c>
      <c r="L399">
        <v>192</v>
      </c>
      <c r="M399">
        <v>2005</v>
      </c>
      <c r="N399">
        <v>2002</v>
      </c>
      <c r="O399" s="1">
        <v>44828</v>
      </c>
      <c r="P399" s="1">
        <v>44828</v>
      </c>
      <c r="S399" t="s">
        <v>29</v>
      </c>
      <c r="W399">
        <v>1</v>
      </c>
      <c r="X399">
        <v>0</v>
      </c>
    </row>
    <row r="400" spans="1:24" x14ac:dyDescent="0.25">
      <c r="A400">
        <v>534599</v>
      </c>
      <c r="B400" t="s">
        <v>885</v>
      </c>
      <c r="C400" t="s">
        <v>880</v>
      </c>
      <c r="D400" t="s">
        <v>881</v>
      </c>
      <c r="F400" t="str">
        <f>"1595324119"</f>
        <v>1595324119</v>
      </c>
      <c r="G400" t="str">
        <f>"9781595324115"</f>
        <v>9781595324115</v>
      </c>
      <c r="H400">
        <v>2</v>
      </c>
      <c r="I400">
        <v>4.3499999999999996</v>
      </c>
      <c r="J400" t="s">
        <v>886</v>
      </c>
      <c r="K400" t="s">
        <v>28</v>
      </c>
      <c r="L400">
        <v>192</v>
      </c>
      <c r="M400">
        <v>2005</v>
      </c>
      <c r="N400">
        <v>2002</v>
      </c>
      <c r="O400" s="1">
        <v>44828</v>
      </c>
      <c r="P400" s="1">
        <v>44828</v>
      </c>
      <c r="S400" t="s">
        <v>29</v>
      </c>
      <c r="W400">
        <v>1</v>
      </c>
      <c r="X400">
        <v>0</v>
      </c>
    </row>
    <row r="401" spans="1:24" x14ac:dyDescent="0.25">
      <c r="A401">
        <v>555447</v>
      </c>
      <c r="B401" t="s">
        <v>887</v>
      </c>
      <c r="C401" t="s">
        <v>880</v>
      </c>
      <c r="D401" t="s">
        <v>881</v>
      </c>
      <c r="F401" t="str">
        <f>"1595324100"</f>
        <v>1595324100</v>
      </c>
      <c r="G401" t="str">
        <f>"9781595324108"</f>
        <v>9781595324108</v>
      </c>
      <c r="H401">
        <v>1</v>
      </c>
      <c r="I401">
        <v>4.32</v>
      </c>
      <c r="J401" t="s">
        <v>886</v>
      </c>
      <c r="K401" t="s">
        <v>28</v>
      </c>
      <c r="L401">
        <v>192</v>
      </c>
      <c r="M401">
        <v>2005</v>
      </c>
      <c r="N401">
        <v>2001</v>
      </c>
      <c r="O401" s="1">
        <v>44828</v>
      </c>
      <c r="P401" s="1">
        <v>44828</v>
      </c>
      <c r="S401" t="s">
        <v>29</v>
      </c>
      <c r="W401">
        <v>1</v>
      </c>
      <c r="X401">
        <v>0</v>
      </c>
    </row>
    <row r="402" spans="1:24" x14ac:dyDescent="0.25">
      <c r="A402">
        <v>569940</v>
      </c>
      <c r="B402" t="s">
        <v>888</v>
      </c>
      <c r="C402" t="s">
        <v>880</v>
      </c>
      <c r="D402" t="s">
        <v>881</v>
      </c>
      <c r="F402" t="str">
        <f>"1591824559"</f>
        <v>1591824559</v>
      </c>
      <c r="G402" t="str">
        <f>"9781591824558"</f>
        <v>9781591824558</v>
      </c>
      <c r="H402">
        <v>1</v>
      </c>
      <c r="I402">
        <v>4.32</v>
      </c>
      <c r="J402" t="s">
        <v>886</v>
      </c>
      <c r="K402" t="s">
        <v>28</v>
      </c>
      <c r="L402">
        <v>192</v>
      </c>
      <c r="M402">
        <v>2004</v>
      </c>
      <c r="N402">
        <v>2001</v>
      </c>
      <c r="O402" s="1">
        <v>44828</v>
      </c>
      <c r="P402" s="1">
        <v>44828</v>
      </c>
      <c r="S402" t="s">
        <v>29</v>
      </c>
      <c r="W402">
        <v>1</v>
      </c>
      <c r="X402">
        <v>0</v>
      </c>
    </row>
    <row r="403" spans="1:24" x14ac:dyDescent="0.25">
      <c r="A403">
        <v>22537115</v>
      </c>
      <c r="B403" t="s">
        <v>889</v>
      </c>
      <c r="C403" t="s">
        <v>890</v>
      </c>
      <c r="D403" t="s">
        <v>891</v>
      </c>
      <c r="F403" t="str">
        <f>""</f>
        <v/>
      </c>
      <c r="G403" t="str">
        <f>"9786030113996"</f>
        <v>9786030113996</v>
      </c>
      <c r="H403">
        <v>0</v>
      </c>
      <c r="I403">
        <v>4.51</v>
      </c>
      <c r="J403" t="s">
        <v>892</v>
      </c>
      <c r="K403" t="s">
        <v>34</v>
      </c>
      <c r="L403">
        <v>864</v>
      </c>
      <c r="M403">
        <v>2014</v>
      </c>
      <c r="N403">
        <v>2014</v>
      </c>
      <c r="P403" s="1">
        <v>44828</v>
      </c>
      <c r="Q403" t="s">
        <v>35</v>
      </c>
      <c r="R403" t="s">
        <v>893</v>
      </c>
      <c r="S403" t="s">
        <v>35</v>
      </c>
      <c r="W403">
        <v>0</v>
      </c>
      <c r="X403">
        <v>0</v>
      </c>
    </row>
    <row r="404" spans="1:24" x14ac:dyDescent="0.25">
      <c r="A404">
        <v>569914</v>
      </c>
      <c r="B404" t="s">
        <v>894</v>
      </c>
      <c r="C404" t="s">
        <v>880</v>
      </c>
      <c r="D404" t="s">
        <v>881</v>
      </c>
      <c r="F404" t="str">
        <f>"1591821444"</f>
        <v>1591821444</v>
      </c>
      <c r="G404" t="str">
        <f>"9781591821441"</f>
        <v>9781591821441</v>
      </c>
      <c r="H404">
        <v>4</v>
      </c>
      <c r="I404">
        <v>4.3</v>
      </c>
      <c r="J404" t="s">
        <v>886</v>
      </c>
      <c r="K404" t="s">
        <v>28</v>
      </c>
      <c r="L404">
        <v>192</v>
      </c>
      <c r="M404">
        <v>2004</v>
      </c>
      <c r="N404">
        <v>2001</v>
      </c>
      <c r="O404" s="1">
        <v>44828</v>
      </c>
      <c r="P404" s="1">
        <v>44828</v>
      </c>
      <c r="S404" t="s">
        <v>29</v>
      </c>
      <c r="W404">
        <v>1</v>
      </c>
      <c r="X404">
        <v>0</v>
      </c>
    </row>
    <row r="405" spans="1:24" x14ac:dyDescent="0.25">
      <c r="A405">
        <v>569911</v>
      </c>
      <c r="B405" t="s">
        <v>895</v>
      </c>
      <c r="C405" t="s">
        <v>880</v>
      </c>
      <c r="D405" t="s">
        <v>881</v>
      </c>
      <c r="F405" t="str">
        <f>"1591821436"</f>
        <v>1591821436</v>
      </c>
      <c r="G405" t="str">
        <f>"9781591821434"</f>
        <v>9781591821434</v>
      </c>
      <c r="H405">
        <v>2</v>
      </c>
      <c r="I405">
        <v>4.34</v>
      </c>
      <c r="J405" t="s">
        <v>886</v>
      </c>
      <c r="K405" t="s">
        <v>28</v>
      </c>
      <c r="L405">
        <v>192</v>
      </c>
      <c r="M405">
        <v>2004</v>
      </c>
      <c r="N405">
        <v>2001</v>
      </c>
      <c r="O405" s="1">
        <v>44828</v>
      </c>
      <c r="P405" s="1">
        <v>44828</v>
      </c>
      <c r="S405" t="s">
        <v>29</v>
      </c>
      <c r="W405">
        <v>1</v>
      </c>
      <c r="X405">
        <v>0</v>
      </c>
    </row>
    <row r="406" spans="1:24" x14ac:dyDescent="0.25">
      <c r="A406">
        <v>1447927</v>
      </c>
      <c r="B406" t="s">
        <v>896</v>
      </c>
      <c r="C406" t="s">
        <v>880</v>
      </c>
      <c r="D406" t="s">
        <v>881</v>
      </c>
      <c r="F406" t="str">
        <f>"1591821428"</f>
        <v>1591821428</v>
      </c>
      <c r="G406" t="str">
        <f>"9781591821427"</f>
        <v>9781591821427</v>
      </c>
      <c r="H406">
        <v>1</v>
      </c>
      <c r="I406">
        <v>4.3600000000000003</v>
      </c>
      <c r="J406" t="s">
        <v>886</v>
      </c>
      <c r="K406" t="s">
        <v>28</v>
      </c>
      <c r="L406">
        <v>200</v>
      </c>
      <c r="M406">
        <v>2004</v>
      </c>
      <c r="N406">
        <v>2000</v>
      </c>
      <c r="O406" s="1">
        <v>44828</v>
      </c>
      <c r="P406" s="1">
        <v>44827</v>
      </c>
      <c r="S406" t="s">
        <v>29</v>
      </c>
      <c r="W406">
        <v>1</v>
      </c>
      <c r="X406">
        <v>0</v>
      </c>
    </row>
    <row r="407" spans="1:24" x14ac:dyDescent="0.25">
      <c r="A407">
        <v>1447922</v>
      </c>
      <c r="B407" t="s">
        <v>897</v>
      </c>
      <c r="C407" t="s">
        <v>880</v>
      </c>
      <c r="D407" t="s">
        <v>881</v>
      </c>
      <c r="F407" t="str">
        <f>"159182141X"</f>
        <v>159182141X</v>
      </c>
      <c r="G407" t="str">
        <f>"9781591821410"</f>
        <v>9781591821410</v>
      </c>
      <c r="H407">
        <v>3</v>
      </c>
      <c r="I407">
        <v>4.41</v>
      </c>
      <c r="J407" t="s">
        <v>886</v>
      </c>
      <c r="K407" t="s">
        <v>28</v>
      </c>
      <c r="L407">
        <v>192</v>
      </c>
      <c r="M407">
        <v>2004</v>
      </c>
      <c r="N407">
        <v>2000</v>
      </c>
      <c r="O407" s="1">
        <v>44827</v>
      </c>
      <c r="P407" s="1">
        <v>44827</v>
      </c>
      <c r="S407" t="s">
        <v>29</v>
      </c>
      <c r="W407">
        <v>1</v>
      </c>
      <c r="X407">
        <v>0</v>
      </c>
    </row>
    <row r="408" spans="1:24" x14ac:dyDescent="0.25">
      <c r="A408">
        <v>555448</v>
      </c>
      <c r="B408" t="s">
        <v>898</v>
      </c>
      <c r="C408" t="s">
        <v>880</v>
      </c>
      <c r="D408" t="s">
        <v>881</v>
      </c>
      <c r="F408" t="str">
        <f>"1591821401"</f>
        <v>1591821401</v>
      </c>
      <c r="G408" t="str">
        <f>"9781591821403"</f>
        <v>9781591821403</v>
      </c>
      <c r="H408">
        <v>5</v>
      </c>
      <c r="I408">
        <v>4.37</v>
      </c>
      <c r="J408" t="s">
        <v>886</v>
      </c>
      <c r="K408" t="s">
        <v>28</v>
      </c>
      <c r="L408">
        <v>192</v>
      </c>
      <c r="M408">
        <v>2004</v>
      </c>
      <c r="N408">
        <v>2000</v>
      </c>
      <c r="O408" s="1">
        <v>44827</v>
      </c>
      <c r="P408" s="1">
        <v>44827</v>
      </c>
      <c r="S408" t="s">
        <v>29</v>
      </c>
      <c r="W408">
        <v>1</v>
      </c>
      <c r="X408">
        <v>0</v>
      </c>
    </row>
    <row r="409" spans="1:24" x14ac:dyDescent="0.25">
      <c r="A409">
        <v>569925</v>
      </c>
      <c r="B409" t="s">
        <v>899</v>
      </c>
      <c r="C409" t="s">
        <v>880</v>
      </c>
      <c r="D409" t="s">
        <v>881</v>
      </c>
      <c r="F409" t="str">
        <f>"1591821398"</f>
        <v>1591821398</v>
      </c>
      <c r="G409" t="str">
        <f>"9781591821397"</f>
        <v>9781591821397</v>
      </c>
      <c r="H409">
        <v>4</v>
      </c>
      <c r="I409">
        <v>4.34</v>
      </c>
      <c r="J409" t="s">
        <v>886</v>
      </c>
      <c r="K409" t="s">
        <v>28</v>
      </c>
      <c r="L409">
        <v>200</v>
      </c>
      <c r="M409">
        <v>2003</v>
      </c>
      <c r="N409">
        <v>2000</v>
      </c>
      <c r="O409" s="1">
        <v>44827</v>
      </c>
      <c r="P409" s="1">
        <v>44827</v>
      </c>
      <c r="S409" t="s">
        <v>29</v>
      </c>
      <c r="W409">
        <v>1</v>
      </c>
      <c r="X409">
        <v>0</v>
      </c>
    </row>
    <row r="410" spans="1:24" x14ac:dyDescent="0.25">
      <c r="A410">
        <v>569943</v>
      </c>
      <c r="B410" t="s">
        <v>900</v>
      </c>
      <c r="C410" t="s">
        <v>880</v>
      </c>
      <c r="D410" t="s">
        <v>881</v>
      </c>
      <c r="F410" t="str">
        <f>"159182138X"</f>
        <v>159182138X</v>
      </c>
      <c r="G410" t="str">
        <f>"9781591821380"</f>
        <v>9781591821380</v>
      </c>
      <c r="H410">
        <v>3</v>
      </c>
      <c r="I410">
        <v>4.3099999999999996</v>
      </c>
      <c r="J410" t="s">
        <v>886</v>
      </c>
      <c r="K410" t="s">
        <v>28</v>
      </c>
      <c r="L410">
        <v>192</v>
      </c>
      <c r="M410">
        <v>2003</v>
      </c>
      <c r="N410">
        <v>2000</v>
      </c>
      <c r="O410" s="1">
        <v>44827</v>
      </c>
      <c r="P410" s="1">
        <v>44827</v>
      </c>
      <c r="S410" t="s">
        <v>29</v>
      </c>
      <c r="W410">
        <v>1</v>
      </c>
      <c r="X410">
        <v>0</v>
      </c>
    </row>
    <row r="411" spans="1:24" x14ac:dyDescent="0.25">
      <c r="A411">
        <v>569949</v>
      </c>
      <c r="B411" t="s">
        <v>901</v>
      </c>
      <c r="C411" t="s">
        <v>880</v>
      </c>
      <c r="D411" t="s">
        <v>881</v>
      </c>
      <c r="F411" t="str">
        <f>"1591821371"</f>
        <v>1591821371</v>
      </c>
      <c r="G411" t="str">
        <f>"9781591821373"</f>
        <v>9781591821373</v>
      </c>
      <c r="H411">
        <v>1</v>
      </c>
      <c r="I411">
        <v>4.3499999999999996</v>
      </c>
      <c r="J411" t="s">
        <v>886</v>
      </c>
      <c r="K411" t="s">
        <v>28</v>
      </c>
      <c r="L411">
        <v>192</v>
      </c>
      <c r="M411">
        <v>2003</v>
      </c>
      <c r="N411">
        <v>1999</v>
      </c>
      <c r="O411" s="1">
        <v>44827</v>
      </c>
      <c r="P411" s="1">
        <v>44827</v>
      </c>
      <c r="S411" t="s">
        <v>29</v>
      </c>
      <c r="W411">
        <v>1</v>
      </c>
      <c r="X411">
        <v>0</v>
      </c>
    </row>
    <row r="412" spans="1:24" x14ac:dyDescent="0.25">
      <c r="A412">
        <v>569922</v>
      </c>
      <c r="B412" t="s">
        <v>902</v>
      </c>
      <c r="C412" t="s">
        <v>880</v>
      </c>
      <c r="D412" t="s">
        <v>881</v>
      </c>
      <c r="F412" t="str">
        <f>"1591821363"</f>
        <v>1591821363</v>
      </c>
      <c r="G412" t="str">
        <f>"9781591821366"</f>
        <v>9781591821366</v>
      </c>
      <c r="H412">
        <v>2</v>
      </c>
      <c r="I412">
        <v>4.33</v>
      </c>
      <c r="J412" t="s">
        <v>886</v>
      </c>
      <c r="K412" t="s">
        <v>28</v>
      </c>
      <c r="L412">
        <v>192</v>
      </c>
      <c r="M412">
        <v>2003</v>
      </c>
      <c r="N412">
        <v>1999</v>
      </c>
      <c r="O412" s="1">
        <v>44827</v>
      </c>
      <c r="P412" s="1">
        <v>44827</v>
      </c>
      <c r="S412" t="s">
        <v>29</v>
      </c>
      <c r="W412">
        <v>1</v>
      </c>
      <c r="X412">
        <v>0</v>
      </c>
    </row>
    <row r="413" spans="1:24" x14ac:dyDescent="0.25">
      <c r="A413">
        <v>570349</v>
      </c>
      <c r="B413" t="s">
        <v>903</v>
      </c>
      <c r="C413" t="s">
        <v>880</v>
      </c>
      <c r="D413" t="s">
        <v>881</v>
      </c>
      <c r="F413" t="str">
        <f>"2845991541"</f>
        <v>2845991541</v>
      </c>
      <c r="G413" t="str">
        <f>"9782845991545"</f>
        <v>9782845991545</v>
      </c>
      <c r="H413">
        <v>3</v>
      </c>
      <c r="I413">
        <v>4.29</v>
      </c>
      <c r="J413" t="s">
        <v>904</v>
      </c>
      <c r="K413" t="s">
        <v>28</v>
      </c>
      <c r="L413">
        <v>208</v>
      </c>
      <c r="M413">
        <v>2002</v>
      </c>
      <c r="N413">
        <v>1999</v>
      </c>
      <c r="O413" s="1">
        <v>44827</v>
      </c>
      <c r="P413" s="1">
        <v>44827</v>
      </c>
      <c r="S413" t="s">
        <v>29</v>
      </c>
      <c r="W413">
        <v>1</v>
      </c>
      <c r="X413">
        <v>0</v>
      </c>
    </row>
    <row r="414" spans="1:24" x14ac:dyDescent="0.25">
      <c r="A414">
        <v>569923</v>
      </c>
      <c r="B414" t="s">
        <v>905</v>
      </c>
      <c r="C414" t="s">
        <v>880</v>
      </c>
      <c r="D414" t="s">
        <v>881</v>
      </c>
      <c r="F414" t="str">
        <f>"1591821061"</f>
        <v>1591821061</v>
      </c>
      <c r="G414" t="str">
        <f>"9781591821069"</f>
        <v>9781591821069</v>
      </c>
      <c r="H414">
        <v>4</v>
      </c>
      <c r="I414">
        <v>4.3099999999999996</v>
      </c>
      <c r="J414" t="s">
        <v>886</v>
      </c>
      <c r="K414" t="s">
        <v>28</v>
      </c>
      <c r="L414">
        <v>192</v>
      </c>
      <c r="M414">
        <v>2003</v>
      </c>
      <c r="N414">
        <v>1999</v>
      </c>
      <c r="O414" s="1">
        <v>44827</v>
      </c>
      <c r="P414" s="1">
        <v>44827</v>
      </c>
      <c r="S414" t="s">
        <v>29</v>
      </c>
      <c r="W414">
        <v>1</v>
      </c>
      <c r="X414">
        <v>0</v>
      </c>
    </row>
    <row r="415" spans="1:24" x14ac:dyDescent="0.25">
      <c r="A415">
        <v>569919</v>
      </c>
      <c r="B415" t="s">
        <v>906</v>
      </c>
      <c r="C415" t="s">
        <v>880</v>
      </c>
      <c r="D415" t="s">
        <v>881</v>
      </c>
      <c r="F415" t="str">
        <f>"1591820707"</f>
        <v>1591820707</v>
      </c>
      <c r="G415" t="str">
        <f>"9781591820703"</f>
        <v>9781591820703</v>
      </c>
      <c r="H415">
        <v>3</v>
      </c>
      <c r="I415">
        <v>4.3</v>
      </c>
      <c r="J415" t="s">
        <v>886</v>
      </c>
      <c r="K415" t="s">
        <v>28</v>
      </c>
      <c r="L415">
        <v>184</v>
      </c>
      <c r="M415">
        <v>2002</v>
      </c>
      <c r="N415">
        <v>1998</v>
      </c>
      <c r="O415" s="1">
        <v>44827</v>
      </c>
      <c r="P415" s="1">
        <v>44827</v>
      </c>
      <c r="S415" t="s">
        <v>29</v>
      </c>
      <c r="W415">
        <v>1</v>
      </c>
      <c r="X415">
        <v>0</v>
      </c>
    </row>
    <row r="416" spans="1:24" x14ac:dyDescent="0.25">
      <c r="A416">
        <v>569918</v>
      </c>
      <c r="B416" t="s">
        <v>907</v>
      </c>
      <c r="C416" t="s">
        <v>880</v>
      </c>
      <c r="D416" t="s">
        <v>881</v>
      </c>
      <c r="F416" t="str">
        <f>"1591820324"</f>
        <v>1591820324</v>
      </c>
      <c r="G416" t="str">
        <f>"9781591820321"</f>
        <v>9781591820321</v>
      </c>
      <c r="H416">
        <v>5</v>
      </c>
      <c r="I416">
        <v>4.3</v>
      </c>
      <c r="J416" t="s">
        <v>886</v>
      </c>
      <c r="K416" t="s">
        <v>28</v>
      </c>
      <c r="L416">
        <v>184</v>
      </c>
      <c r="M416">
        <v>2002</v>
      </c>
      <c r="N416">
        <v>1998</v>
      </c>
      <c r="O416" s="1">
        <v>44827</v>
      </c>
      <c r="P416" s="1">
        <v>44827</v>
      </c>
      <c r="S416" t="s">
        <v>29</v>
      </c>
      <c r="W416">
        <v>1</v>
      </c>
      <c r="X416">
        <v>0</v>
      </c>
    </row>
    <row r="417" spans="1:24" x14ac:dyDescent="0.25">
      <c r="A417">
        <v>569916</v>
      </c>
      <c r="B417" t="s">
        <v>908</v>
      </c>
      <c r="C417" t="s">
        <v>880</v>
      </c>
      <c r="D417" t="s">
        <v>881</v>
      </c>
      <c r="F417" t="str">
        <f>"1591820316"</f>
        <v>1591820316</v>
      </c>
      <c r="G417" t="str">
        <f>"9781591820314"</f>
        <v>9781591820314</v>
      </c>
      <c r="H417">
        <v>5</v>
      </c>
      <c r="I417">
        <v>4.29</v>
      </c>
      <c r="J417" t="s">
        <v>886</v>
      </c>
      <c r="K417" t="s">
        <v>28</v>
      </c>
      <c r="L417">
        <v>184</v>
      </c>
      <c r="M417">
        <v>2002</v>
      </c>
      <c r="N417">
        <v>1998</v>
      </c>
      <c r="O417" s="1">
        <v>44827</v>
      </c>
      <c r="P417" s="1">
        <v>44827</v>
      </c>
      <c r="S417" t="s">
        <v>29</v>
      </c>
      <c r="W417">
        <v>1</v>
      </c>
      <c r="X417">
        <v>0</v>
      </c>
    </row>
    <row r="418" spans="1:24" x14ac:dyDescent="0.25">
      <c r="A418">
        <v>569947</v>
      </c>
      <c r="B418" t="s">
        <v>909</v>
      </c>
      <c r="C418" t="s">
        <v>880</v>
      </c>
      <c r="D418" t="s">
        <v>881</v>
      </c>
      <c r="F418" t="str">
        <f>"1591820308"</f>
        <v>1591820308</v>
      </c>
      <c r="G418" t="str">
        <f>"9781591820307"</f>
        <v>9781591820307</v>
      </c>
      <c r="H418">
        <v>5</v>
      </c>
      <c r="I418">
        <v>4.3099999999999996</v>
      </c>
      <c r="J418" t="s">
        <v>886</v>
      </c>
      <c r="K418" t="s">
        <v>28</v>
      </c>
      <c r="L418">
        <v>184</v>
      </c>
      <c r="M418">
        <v>2002</v>
      </c>
      <c r="N418">
        <v>1998</v>
      </c>
      <c r="O418" s="1">
        <v>44827</v>
      </c>
      <c r="P418" s="1">
        <v>44827</v>
      </c>
      <c r="S418" t="s">
        <v>29</v>
      </c>
      <c r="W418">
        <v>1</v>
      </c>
      <c r="X418">
        <v>0</v>
      </c>
    </row>
    <row r="419" spans="1:24" x14ac:dyDescent="0.25">
      <c r="A419">
        <v>569945</v>
      </c>
      <c r="B419" t="s">
        <v>910</v>
      </c>
      <c r="C419" t="s">
        <v>880</v>
      </c>
      <c r="D419" t="s">
        <v>881</v>
      </c>
      <c r="F419" t="str">
        <f>"1591820294"</f>
        <v>1591820294</v>
      </c>
      <c r="G419" t="str">
        <f>"9781591820291"</f>
        <v>9781591820291</v>
      </c>
      <c r="H419">
        <v>5</v>
      </c>
      <c r="I419">
        <v>4.28</v>
      </c>
      <c r="J419" t="s">
        <v>886</v>
      </c>
      <c r="K419" t="s">
        <v>28</v>
      </c>
      <c r="L419">
        <v>184</v>
      </c>
      <c r="M419">
        <v>2002</v>
      </c>
      <c r="N419">
        <v>1998</v>
      </c>
      <c r="O419" s="1">
        <v>44827</v>
      </c>
      <c r="P419" s="1">
        <v>44827</v>
      </c>
      <c r="S419" t="s">
        <v>29</v>
      </c>
      <c r="W419">
        <v>1</v>
      </c>
      <c r="X419">
        <v>0</v>
      </c>
    </row>
    <row r="420" spans="1:24" x14ac:dyDescent="0.25">
      <c r="A420">
        <v>569926</v>
      </c>
      <c r="B420" t="s">
        <v>911</v>
      </c>
      <c r="C420" t="s">
        <v>880</v>
      </c>
      <c r="D420" t="s">
        <v>881</v>
      </c>
      <c r="F420" t="str">
        <f>"1591820286"</f>
        <v>1591820286</v>
      </c>
      <c r="G420" t="str">
        <f>"9781591820284"</f>
        <v>9781591820284</v>
      </c>
      <c r="H420">
        <v>5</v>
      </c>
      <c r="I420">
        <v>4.29</v>
      </c>
      <c r="J420" t="s">
        <v>886</v>
      </c>
      <c r="K420" t="s">
        <v>28</v>
      </c>
      <c r="L420">
        <v>184</v>
      </c>
      <c r="M420">
        <v>2002</v>
      </c>
      <c r="N420">
        <v>1997</v>
      </c>
      <c r="O420" s="1">
        <v>44827</v>
      </c>
      <c r="P420" s="1">
        <v>44827</v>
      </c>
      <c r="S420" t="s">
        <v>29</v>
      </c>
      <c r="W420">
        <v>1</v>
      </c>
      <c r="X420">
        <v>0</v>
      </c>
    </row>
    <row r="421" spans="1:24" x14ac:dyDescent="0.25">
      <c r="A421">
        <v>569946</v>
      </c>
      <c r="B421" t="s">
        <v>912</v>
      </c>
      <c r="C421" t="s">
        <v>880</v>
      </c>
      <c r="D421" t="s">
        <v>881</v>
      </c>
      <c r="F421" t="str">
        <f>"1931514496"</f>
        <v>1931514496</v>
      </c>
      <c r="G421" t="str">
        <f>"9781931514491"</f>
        <v>9781931514491</v>
      </c>
      <c r="H421">
        <v>5</v>
      </c>
      <c r="I421">
        <v>4.3099999999999996</v>
      </c>
      <c r="J421" t="s">
        <v>886</v>
      </c>
      <c r="K421" t="s">
        <v>28</v>
      </c>
      <c r="L421">
        <v>184</v>
      </c>
      <c r="M421">
        <v>2002</v>
      </c>
      <c r="N421">
        <v>1997</v>
      </c>
      <c r="O421" s="1">
        <v>44827</v>
      </c>
      <c r="P421" s="1">
        <v>44827</v>
      </c>
      <c r="S421" t="s">
        <v>29</v>
      </c>
      <c r="W421">
        <v>1</v>
      </c>
      <c r="X421">
        <v>0</v>
      </c>
    </row>
    <row r="422" spans="1:24" x14ac:dyDescent="0.25">
      <c r="A422">
        <v>13440</v>
      </c>
      <c r="B422" t="s">
        <v>913</v>
      </c>
      <c r="C422" t="s">
        <v>516</v>
      </c>
      <c r="D422" t="s">
        <v>517</v>
      </c>
      <c r="F422" t="str">
        <f>"0751504386"</f>
        <v>0751504386</v>
      </c>
      <c r="G422" t="str">
        <f>"9780751504385"</f>
        <v>9780751504385</v>
      </c>
      <c r="H422">
        <v>1</v>
      </c>
      <c r="I422">
        <v>3.97</v>
      </c>
      <c r="J422" t="s">
        <v>914</v>
      </c>
      <c r="K422" t="s">
        <v>28</v>
      </c>
      <c r="L422">
        <v>612</v>
      </c>
      <c r="M422">
        <v>2002</v>
      </c>
      <c r="N422">
        <v>1985</v>
      </c>
      <c r="O422" s="1">
        <v>44827</v>
      </c>
      <c r="P422" s="1">
        <v>44653</v>
      </c>
      <c r="S422" t="s">
        <v>29</v>
      </c>
      <c r="W422">
        <v>1</v>
      </c>
      <c r="X422">
        <v>0</v>
      </c>
    </row>
    <row r="423" spans="1:24" x14ac:dyDescent="0.25">
      <c r="A423">
        <v>32714</v>
      </c>
      <c r="B423" t="s">
        <v>915</v>
      </c>
      <c r="C423" t="s">
        <v>516</v>
      </c>
      <c r="D423" t="s">
        <v>517</v>
      </c>
      <c r="E423" t="s">
        <v>916</v>
      </c>
      <c r="F423" t="str">
        <f>"0394299035"</f>
        <v>0394299035</v>
      </c>
      <c r="G423" t="str">
        <f>"9780394299037"</f>
        <v>9780394299037</v>
      </c>
      <c r="H423">
        <v>2</v>
      </c>
      <c r="I423">
        <v>3.77</v>
      </c>
      <c r="J423" t="s">
        <v>917</v>
      </c>
      <c r="K423" t="s">
        <v>918</v>
      </c>
      <c r="L423">
        <v>2</v>
      </c>
      <c r="M423">
        <v>1989</v>
      </c>
      <c r="N423">
        <v>1980</v>
      </c>
      <c r="O423" s="1">
        <v>44827</v>
      </c>
      <c r="P423" s="1">
        <v>44827</v>
      </c>
      <c r="S423" t="s">
        <v>29</v>
      </c>
      <c r="W423">
        <v>1</v>
      </c>
      <c r="X423">
        <v>0</v>
      </c>
    </row>
    <row r="424" spans="1:24" x14ac:dyDescent="0.25">
      <c r="A424">
        <v>813214</v>
      </c>
      <c r="B424" t="s">
        <v>919</v>
      </c>
      <c r="C424" t="s">
        <v>516</v>
      </c>
      <c r="D424" t="s">
        <v>517</v>
      </c>
      <c r="F424" t="str">
        <f>""</f>
        <v/>
      </c>
      <c r="G424" t="str">
        <f>""</f>
        <v/>
      </c>
      <c r="H424">
        <v>4</v>
      </c>
      <c r="I424">
        <v>3.95</v>
      </c>
      <c r="J424" t="s">
        <v>920</v>
      </c>
      <c r="K424" t="s">
        <v>28</v>
      </c>
      <c r="L424">
        <v>230</v>
      </c>
      <c r="M424">
        <v>2007</v>
      </c>
      <c r="N424">
        <v>1980</v>
      </c>
      <c r="O424" s="1">
        <v>44827</v>
      </c>
      <c r="P424" s="1">
        <v>44827</v>
      </c>
      <c r="S424" t="s">
        <v>29</v>
      </c>
      <c r="W424">
        <v>1</v>
      </c>
      <c r="X424">
        <v>0</v>
      </c>
    </row>
    <row r="425" spans="1:24" x14ac:dyDescent="0.25">
      <c r="A425">
        <v>570334</v>
      </c>
      <c r="B425" t="s">
        <v>921</v>
      </c>
      <c r="C425" t="s">
        <v>880</v>
      </c>
      <c r="D425" t="s">
        <v>881</v>
      </c>
      <c r="F425" t="str">
        <f>"1931514968"</f>
        <v>1931514968</v>
      </c>
      <c r="G425" t="str">
        <f>"9781931514965"</f>
        <v>9781931514965</v>
      </c>
      <c r="H425">
        <v>5</v>
      </c>
      <c r="I425">
        <v>4.25</v>
      </c>
      <c r="J425" t="s">
        <v>886</v>
      </c>
      <c r="K425" t="s">
        <v>28</v>
      </c>
      <c r="L425">
        <v>192</v>
      </c>
      <c r="M425">
        <v>2002</v>
      </c>
      <c r="N425">
        <v>1997</v>
      </c>
      <c r="O425" s="1">
        <v>44827</v>
      </c>
      <c r="P425" s="1">
        <v>44827</v>
      </c>
      <c r="S425" t="s">
        <v>29</v>
      </c>
      <c r="W425">
        <v>1</v>
      </c>
      <c r="X425">
        <v>0</v>
      </c>
    </row>
    <row r="426" spans="1:24" x14ac:dyDescent="0.25">
      <c r="A426">
        <v>570393</v>
      </c>
      <c r="B426" t="s">
        <v>922</v>
      </c>
      <c r="C426" t="s">
        <v>880</v>
      </c>
      <c r="D426" t="s">
        <v>881</v>
      </c>
      <c r="F426" t="str">
        <f>"1931514933"</f>
        <v>1931514933</v>
      </c>
      <c r="G426" t="str">
        <f>"9781931514934"</f>
        <v>9781931514934</v>
      </c>
      <c r="H426">
        <v>5</v>
      </c>
      <c r="I426">
        <v>4.2300000000000004</v>
      </c>
      <c r="J426" t="s">
        <v>886</v>
      </c>
      <c r="K426" t="s">
        <v>28</v>
      </c>
      <c r="L426">
        <v>192</v>
      </c>
      <c r="M426">
        <v>2002</v>
      </c>
      <c r="N426">
        <v>1997</v>
      </c>
      <c r="O426" s="1">
        <v>44827</v>
      </c>
      <c r="P426" s="1">
        <v>44818</v>
      </c>
      <c r="S426" t="s">
        <v>29</v>
      </c>
      <c r="W426">
        <v>1</v>
      </c>
      <c r="X426">
        <v>0</v>
      </c>
    </row>
    <row r="427" spans="1:24" x14ac:dyDescent="0.25">
      <c r="A427">
        <v>54798187</v>
      </c>
      <c r="B427" t="s">
        <v>923</v>
      </c>
      <c r="C427" t="s">
        <v>516</v>
      </c>
      <c r="D427" t="s">
        <v>517</v>
      </c>
      <c r="F427" t="str">
        <f>"1789096499"</f>
        <v>1789096499</v>
      </c>
      <c r="G427" t="str">
        <f>"9781789096491"</f>
        <v>9781789096491</v>
      </c>
      <c r="H427">
        <v>4</v>
      </c>
      <c r="I427">
        <v>4</v>
      </c>
      <c r="J427" t="s">
        <v>924</v>
      </c>
      <c r="K427" t="s">
        <v>28</v>
      </c>
      <c r="L427">
        <v>248</v>
      </c>
      <c r="M427">
        <v>2021</v>
      </c>
      <c r="N427">
        <v>2021</v>
      </c>
      <c r="O427" s="1">
        <v>44827</v>
      </c>
      <c r="P427" s="1">
        <v>44571</v>
      </c>
      <c r="S427" t="s">
        <v>29</v>
      </c>
      <c r="W427">
        <v>1</v>
      </c>
      <c r="X427">
        <v>0</v>
      </c>
    </row>
    <row r="428" spans="1:24" x14ac:dyDescent="0.25">
      <c r="A428">
        <v>22438016</v>
      </c>
      <c r="B428" t="s">
        <v>925</v>
      </c>
      <c r="C428" t="s">
        <v>137</v>
      </c>
      <c r="D428" t="s">
        <v>138</v>
      </c>
      <c r="F428" t="str">
        <f>"4063126161"</f>
        <v>4063126161</v>
      </c>
      <c r="G428" t="str">
        <f>"9784063126167"</f>
        <v>9784063126167</v>
      </c>
      <c r="H428">
        <v>2</v>
      </c>
      <c r="I428">
        <v>4.17</v>
      </c>
      <c r="J428" t="s">
        <v>139</v>
      </c>
      <c r="K428" t="s">
        <v>28</v>
      </c>
      <c r="L428">
        <v>181</v>
      </c>
      <c r="M428">
        <v>1998</v>
      </c>
      <c r="N428">
        <v>1998</v>
      </c>
      <c r="O428" s="1">
        <v>44827</v>
      </c>
      <c r="P428" s="1">
        <v>44826</v>
      </c>
      <c r="S428" t="s">
        <v>29</v>
      </c>
      <c r="W428">
        <v>1</v>
      </c>
      <c r="X428">
        <v>0</v>
      </c>
    </row>
    <row r="429" spans="1:24" x14ac:dyDescent="0.25">
      <c r="A429">
        <v>21025</v>
      </c>
      <c r="B429" t="s">
        <v>926</v>
      </c>
      <c r="C429" t="s">
        <v>927</v>
      </c>
      <c r="D429" t="s">
        <v>928</v>
      </c>
      <c r="E429" t="s">
        <v>929</v>
      </c>
      <c r="F429" t="str">
        <f>"0060938110"</f>
        <v>0060938110</v>
      </c>
      <c r="G429" t="str">
        <f>"9780060938116"</f>
        <v>9780060938116</v>
      </c>
      <c r="H429">
        <v>0</v>
      </c>
      <c r="I429">
        <v>4.32</v>
      </c>
      <c r="J429" t="s">
        <v>930</v>
      </c>
      <c r="K429" t="s">
        <v>28</v>
      </c>
      <c r="L429">
        <v>263</v>
      </c>
      <c r="M429">
        <v>2003</v>
      </c>
      <c r="N429">
        <v>2001</v>
      </c>
      <c r="P429" s="1">
        <v>44826</v>
      </c>
      <c r="Q429" t="s">
        <v>35</v>
      </c>
      <c r="R429" t="s">
        <v>931</v>
      </c>
      <c r="S429" t="s">
        <v>35</v>
      </c>
      <c r="W429">
        <v>0</v>
      </c>
      <c r="X429">
        <v>0</v>
      </c>
    </row>
    <row r="430" spans="1:24" x14ac:dyDescent="0.25">
      <c r="A430">
        <v>21027</v>
      </c>
      <c r="B430" t="s">
        <v>932</v>
      </c>
      <c r="C430" t="s">
        <v>927</v>
      </c>
      <c r="D430" t="s">
        <v>928</v>
      </c>
      <c r="F430" t="str">
        <f>"0060958340"</f>
        <v>0060958340</v>
      </c>
      <c r="G430" t="str">
        <f>"9780060958343"</f>
        <v>9780060958343</v>
      </c>
      <c r="H430">
        <v>0</v>
      </c>
      <c r="I430">
        <v>4.24</v>
      </c>
      <c r="J430" t="s">
        <v>930</v>
      </c>
      <c r="K430" t="s">
        <v>28</v>
      </c>
      <c r="L430">
        <v>304</v>
      </c>
      <c r="M430">
        <v>2000</v>
      </c>
      <c r="N430">
        <v>1989</v>
      </c>
      <c r="P430" s="1">
        <v>44826</v>
      </c>
      <c r="Q430" t="s">
        <v>35</v>
      </c>
      <c r="R430" t="s">
        <v>933</v>
      </c>
      <c r="S430" t="s">
        <v>35</v>
      </c>
      <c r="W430">
        <v>0</v>
      </c>
      <c r="X430">
        <v>0</v>
      </c>
    </row>
    <row r="431" spans="1:24" x14ac:dyDescent="0.25">
      <c r="A431">
        <v>21031</v>
      </c>
      <c r="B431" t="s">
        <v>934</v>
      </c>
      <c r="C431" t="s">
        <v>927</v>
      </c>
      <c r="D431" t="s">
        <v>928</v>
      </c>
      <c r="F431" t="str">
        <f>"0060748125"</f>
        <v>0060748125</v>
      </c>
      <c r="G431" t="str">
        <f>"9780060748128"</f>
        <v>9780060748128</v>
      </c>
      <c r="H431">
        <v>0</v>
      </c>
      <c r="I431">
        <v>4.3600000000000003</v>
      </c>
      <c r="J431" t="s">
        <v>930</v>
      </c>
      <c r="K431" t="s">
        <v>28</v>
      </c>
      <c r="L431">
        <v>310</v>
      </c>
      <c r="M431">
        <v>2005</v>
      </c>
      <c r="N431">
        <v>1992</v>
      </c>
      <c r="P431" s="1">
        <v>44826</v>
      </c>
      <c r="Q431" t="s">
        <v>35</v>
      </c>
      <c r="R431" t="s">
        <v>935</v>
      </c>
      <c r="S431" t="s">
        <v>35</v>
      </c>
      <c r="W431">
        <v>0</v>
      </c>
      <c r="X431">
        <v>0</v>
      </c>
    </row>
    <row r="432" spans="1:24" x14ac:dyDescent="0.25">
      <c r="A432">
        <v>22438009</v>
      </c>
      <c r="B432" t="s">
        <v>936</v>
      </c>
      <c r="C432" t="s">
        <v>137</v>
      </c>
      <c r="D432" t="s">
        <v>138</v>
      </c>
      <c r="F432" t="str">
        <f>"4063125785"</f>
        <v>4063125785</v>
      </c>
      <c r="G432" t="str">
        <f>"9784063125788"</f>
        <v>9784063125788</v>
      </c>
      <c r="H432">
        <v>5</v>
      </c>
      <c r="I432">
        <v>4.3899999999999997</v>
      </c>
      <c r="J432" t="s">
        <v>139</v>
      </c>
      <c r="K432" t="s">
        <v>28</v>
      </c>
      <c r="L432">
        <v>188</v>
      </c>
      <c r="M432">
        <v>1998</v>
      </c>
      <c r="N432">
        <v>1998</v>
      </c>
      <c r="O432" s="1">
        <v>44826</v>
      </c>
      <c r="P432" s="1">
        <v>44826</v>
      </c>
      <c r="S432" t="s">
        <v>29</v>
      </c>
      <c r="W432">
        <v>1</v>
      </c>
      <c r="X432">
        <v>0</v>
      </c>
    </row>
    <row r="433" spans="1:24" x14ac:dyDescent="0.25">
      <c r="A433">
        <v>22438007</v>
      </c>
      <c r="B433" t="s">
        <v>937</v>
      </c>
      <c r="C433" t="s">
        <v>137</v>
      </c>
      <c r="D433" t="s">
        <v>138</v>
      </c>
      <c r="F433" t="str">
        <f>"4063125564"</f>
        <v>4063125564</v>
      </c>
      <c r="G433" t="str">
        <f>"9784063125566"</f>
        <v>9784063125566</v>
      </c>
      <c r="H433">
        <v>5</v>
      </c>
      <c r="I433">
        <v>4.41</v>
      </c>
      <c r="J433" t="s">
        <v>139</v>
      </c>
      <c r="K433" t="s">
        <v>28</v>
      </c>
      <c r="L433">
        <v>184</v>
      </c>
      <c r="M433">
        <v>1998</v>
      </c>
      <c r="N433">
        <v>1998</v>
      </c>
      <c r="O433" s="1">
        <v>44826</v>
      </c>
      <c r="P433" s="1">
        <v>44826</v>
      </c>
      <c r="S433" t="s">
        <v>29</v>
      </c>
      <c r="W433">
        <v>1</v>
      </c>
      <c r="X433">
        <v>0</v>
      </c>
    </row>
    <row r="434" spans="1:24" x14ac:dyDescent="0.25">
      <c r="A434">
        <v>22438000</v>
      </c>
      <c r="B434" t="s">
        <v>938</v>
      </c>
      <c r="C434" t="s">
        <v>137</v>
      </c>
      <c r="D434" t="s">
        <v>138</v>
      </c>
      <c r="F434" t="str">
        <f>"4063125327"</f>
        <v>4063125327</v>
      </c>
      <c r="G434" t="str">
        <f>"9784063125320"</f>
        <v>9784063125320</v>
      </c>
      <c r="H434">
        <v>5</v>
      </c>
      <c r="I434">
        <v>4.3899999999999997</v>
      </c>
      <c r="J434" t="s">
        <v>139</v>
      </c>
      <c r="K434" t="s">
        <v>28</v>
      </c>
      <c r="L434">
        <v>183</v>
      </c>
      <c r="M434">
        <v>1998</v>
      </c>
      <c r="N434">
        <v>1998</v>
      </c>
      <c r="O434" s="1">
        <v>44826</v>
      </c>
      <c r="P434" s="1">
        <v>44826</v>
      </c>
      <c r="S434" t="s">
        <v>29</v>
      </c>
      <c r="W434">
        <v>1</v>
      </c>
      <c r="X434">
        <v>0</v>
      </c>
    </row>
    <row r="435" spans="1:24" x14ac:dyDescent="0.25">
      <c r="A435">
        <v>22437986</v>
      </c>
      <c r="B435" t="s">
        <v>939</v>
      </c>
      <c r="C435" t="s">
        <v>137</v>
      </c>
      <c r="D435" t="s">
        <v>138</v>
      </c>
      <c r="F435" t="str">
        <f>"4063125092"</f>
        <v>4063125092</v>
      </c>
      <c r="G435" t="str">
        <f>"9784063125092"</f>
        <v>9784063125092</v>
      </c>
      <c r="H435">
        <v>5</v>
      </c>
      <c r="I435">
        <v>4.3</v>
      </c>
      <c r="J435" t="s">
        <v>139</v>
      </c>
      <c r="K435" t="s">
        <v>28</v>
      </c>
      <c r="L435">
        <v>181</v>
      </c>
      <c r="M435">
        <v>1998</v>
      </c>
      <c r="N435">
        <v>1998</v>
      </c>
      <c r="O435" s="1">
        <v>44826</v>
      </c>
      <c r="P435" s="1">
        <v>44826</v>
      </c>
      <c r="S435" t="s">
        <v>29</v>
      </c>
      <c r="W435">
        <v>1</v>
      </c>
      <c r="X435">
        <v>0</v>
      </c>
    </row>
    <row r="436" spans="1:24" x14ac:dyDescent="0.25">
      <c r="A436">
        <v>22437980</v>
      </c>
      <c r="B436" t="s">
        <v>940</v>
      </c>
      <c r="C436" t="s">
        <v>137</v>
      </c>
      <c r="D436" t="s">
        <v>138</v>
      </c>
      <c r="F436" t="str">
        <f>"4063124754"</f>
        <v>4063124754</v>
      </c>
      <c r="G436" t="str">
        <f>"9784063124750"</f>
        <v>9784063124750</v>
      </c>
      <c r="H436">
        <v>5</v>
      </c>
      <c r="I436">
        <v>4.2699999999999996</v>
      </c>
      <c r="J436" t="s">
        <v>139</v>
      </c>
      <c r="K436" t="s">
        <v>28</v>
      </c>
      <c r="L436">
        <v>178</v>
      </c>
      <c r="M436">
        <v>1997</v>
      </c>
      <c r="N436">
        <v>1997</v>
      </c>
      <c r="O436" s="1">
        <v>44826</v>
      </c>
      <c r="P436" s="1">
        <v>44826</v>
      </c>
      <c r="S436" t="s">
        <v>29</v>
      </c>
      <c r="W436">
        <v>1</v>
      </c>
      <c r="X436">
        <v>0</v>
      </c>
    </row>
    <row r="437" spans="1:24" x14ac:dyDescent="0.25">
      <c r="A437">
        <v>22437978</v>
      </c>
      <c r="B437" t="s">
        <v>941</v>
      </c>
      <c r="C437" t="s">
        <v>137</v>
      </c>
      <c r="D437" t="s">
        <v>138</v>
      </c>
      <c r="F437" t="str">
        <f>"4063124398"</f>
        <v>4063124398</v>
      </c>
      <c r="G437" t="str">
        <f>"9784063124392"</f>
        <v>9784063124392</v>
      </c>
      <c r="H437">
        <v>5</v>
      </c>
      <c r="I437">
        <v>4.33</v>
      </c>
      <c r="J437" t="s">
        <v>139</v>
      </c>
      <c r="K437" t="s">
        <v>28</v>
      </c>
      <c r="L437">
        <v>184</v>
      </c>
      <c r="M437">
        <v>1997</v>
      </c>
      <c r="N437">
        <v>1997</v>
      </c>
      <c r="O437" s="1">
        <v>44826</v>
      </c>
      <c r="P437" s="1">
        <v>44825</v>
      </c>
      <c r="S437" t="s">
        <v>29</v>
      </c>
      <c r="W437">
        <v>1</v>
      </c>
      <c r="X437">
        <v>0</v>
      </c>
    </row>
    <row r="438" spans="1:24" x14ac:dyDescent="0.25">
      <c r="A438">
        <v>929</v>
      </c>
      <c r="B438" t="s">
        <v>942</v>
      </c>
      <c r="C438" t="s">
        <v>943</v>
      </c>
      <c r="D438" t="s">
        <v>944</v>
      </c>
      <c r="F438" t="str">
        <f>"1400096898"</f>
        <v>1400096898</v>
      </c>
      <c r="G438" t="str">
        <f>"9781400096893"</f>
        <v>9781400096893</v>
      </c>
      <c r="H438">
        <v>0</v>
      </c>
      <c r="I438">
        <v>4.1399999999999997</v>
      </c>
      <c r="J438" t="s">
        <v>945</v>
      </c>
      <c r="K438" t="s">
        <v>207</v>
      </c>
      <c r="L438">
        <v>503</v>
      </c>
      <c r="M438">
        <v>2005</v>
      </c>
      <c r="N438">
        <v>1997</v>
      </c>
      <c r="P438" s="1">
        <v>44826</v>
      </c>
      <c r="Q438" t="s">
        <v>35</v>
      </c>
      <c r="R438" t="s">
        <v>946</v>
      </c>
      <c r="S438" t="s">
        <v>35</v>
      </c>
      <c r="W438">
        <v>0</v>
      </c>
      <c r="X438">
        <v>0</v>
      </c>
    </row>
    <row r="439" spans="1:24" x14ac:dyDescent="0.25">
      <c r="A439">
        <v>13621</v>
      </c>
      <c r="B439" t="s">
        <v>947</v>
      </c>
      <c r="C439" t="s">
        <v>831</v>
      </c>
      <c r="D439" t="s">
        <v>832</v>
      </c>
      <c r="E439" t="s">
        <v>948</v>
      </c>
      <c r="F439" t="str">
        <f>"1421506289"</f>
        <v>1421506289</v>
      </c>
      <c r="G439" t="str">
        <f>"9781421506289"</f>
        <v>9781421506289</v>
      </c>
      <c r="H439">
        <v>5</v>
      </c>
      <c r="I439">
        <v>4.4400000000000004</v>
      </c>
      <c r="J439" t="s">
        <v>27</v>
      </c>
      <c r="K439" t="s">
        <v>28</v>
      </c>
      <c r="L439">
        <v>211</v>
      </c>
      <c r="M439">
        <v>2006</v>
      </c>
      <c r="N439">
        <v>2005</v>
      </c>
      <c r="O439" s="1">
        <v>44826</v>
      </c>
      <c r="P439" s="1">
        <v>44825</v>
      </c>
      <c r="S439" t="s">
        <v>29</v>
      </c>
      <c r="W439">
        <v>1</v>
      </c>
      <c r="X439">
        <v>0</v>
      </c>
    </row>
    <row r="440" spans="1:24" x14ac:dyDescent="0.25">
      <c r="A440">
        <v>13620</v>
      </c>
      <c r="B440" t="s">
        <v>949</v>
      </c>
      <c r="C440" t="s">
        <v>831</v>
      </c>
      <c r="D440" t="s">
        <v>832</v>
      </c>
      <c r="E440" t="s">
        <v>948</v>
      </c>
      <c r="F440" t="str">
        <f>"1421506270"</f>
        <v>1421506270</v>
      </c>
      <c r="G440" t="str">
        <f>"9781421506272"</f>
        <v>9781421506272</v>
      </c>
      <c r="H440">
        <v>5</v>
      </c>
      <c r="I440">
        <v>4.3899999999999997</v>
      </c>
      <c r="J440" t="s">
        <v>27</v>
      </c>
      <c r="K440" t="s">
        <v>28</v>
      </c>
      <c r="L440">
        <v>215</v>
      </c>
      <c r="M440">
        <v>2006</v>
      </c>
      <c r="N440">
        <v>2005</v>
      </c>
      <c r="O440" s="1">
        <v>44825</v>
      </c>
      <c r="P440" s="1">
        <v>44824</v>
      </c>
      <c r="S440" t="s">
        <v>29</v>
      </c>
      <c r="W440">
        <v>1</v>
      </c>
      <c r="X440">
        <v>0</v>
      </c>
    </row>
    <row r="441" spans="1:24" x14ac:dyDescent="0.25">
      <c r="A441">
        <v>22437972</v>
      </c>
      <c r="B441" t="s">
        <v>950</v>
      </c>
      <c r="C441" t="s">
        <v>137</v>
      </c>
      <c r="D441" t="s">
        <v>138</v>
      </c>
      <c r="F441" t="str">
        <f>"4063124177"</f>
        <v>4063124177</v>
      </c>
      <c r="G441" t="str">
        <f>"9784063124170"</f>
        <v>9784063124170</v>
      </c>
      <c r="H441">
        <v>5</v>
      </c>
      <c r="I441">
        <v>4.38</v>
      </c>
      <c r="J441" t="s">
        <v>139</v>
      </c>
      <c r="K441" t="s">
        <v>28</v>
      </c>
      <c r="L441">
        <v>182</v>
      </c>
      <c r="M441">
        <v>1997</v>
      </c>
      <c r="N441">
        <v>1997</v>
      </c>
      <c r="O441" s="1">
        <v>44825</v>
      </c>
      <c r="P441" s="1">
        <v>44825</v>
      </c>
      <c r="S441" t="s">
        <v>29</v>
      </c>
      <c r="W441">
        <v>1</v>
      </c>
      <c r="X441">
        <v>0</v>
      </c>
    </row>
    <row r="442" spans="1:24" x14ac:dyDescent="0.25">
      <c r="A442">
        <v>22437968</v>
      </c>
      <c r="B442" t="s">
        <v>951</v>
      </c>
      <c r="C442" t="s">
        <v>137</v>
      </c>
      <c r="D442" t="s">
        <v>138</v>
      </c>
      <c r="F442" t="str">
        <f>"4063123901"</f>
        <v>4063123901</v>
      </c>
      <c r="G442" t="str">
        <f>"9784063123906"</f>
        <v>9784063123906</v>
      </c>
      <c r="H442">
        <v>5</v>
      </c>
      <c r="I442">
        <v>4.33</v>
      </c>
      <c r="J442" t="s">
        <v>139</v>
      </c>
      <c r="K442" t="s">
        <v>28</v>
      </c>
      <c r="L442">
        <v>196</v>
      </c>
      <c r="M442">
        <v>1997</v>
      </c>
      <c r="N442">
        <v>1997</v>
      </c>
      <c r="O442" s="1">
        <v>44825</v>
      </c>
      <c r="P442" s="1">
        <v>44825</v>
      </c>
      <c r="S442" t="s">
        <v>29</v>
      </c>
      <c r="W442">
        <v>1</v>
      </c>
      <c r="X442">
        <v>0</v>
      </c>
    </row>
    <row r="443" spans="1:24" x14ac:dyDescent="0.25">
      <c r="A443">
        <v>22437965</v>
      </c>
      <c r="B443" t="s">
        <v>952</v>
      </c>
      <c r="C443" t="s">
        <v>137</v>
      </c>
      <c r="D443" t="s">
        <v>138</v>
      </c>
      <c r="F443" t="str">
        <f>"4063123618"</f>
        <v>4063123618</v>
      </c>
      <c r="G443" t="str">
        <f>"9784063123616"</f>
        <v>9784063123616</v>
      </c>
      <c r="H443">
        <v>5</v>
      </c>
      <c r="I443">
        <v>4.38</v>
      </c>
      <c r="J443" t="s">
        <v>139</v>
      </c>
      <c r="K443" t="s">
        <v>28</v>
      </c>
      <c r="L443">
        <v>181</v>
      </c>
      <c r="M443">
        <v>1997</v>
      </c>
      <c r="N443">
        <v>1997</v>
      </c>
      <c r="O443" s="1">
        <v>44825</v>
      </c>
      <c r="P443" s="1">
        <v>44825</v>
      </c>
      <c r="S443" t="s">
        <v>29</v>
      </c>
      <c r="W443">
        <v>1</v>
      </c>
      <c r="X443">
        <v>0</v>
      </c>
    </row>
    <row r="444" spans="1:24" x14ac:dyDescent="0.25">
      <c r="A444">
        <v>18400264</v>
      </c>
      <c r="B444" t="s">
        <v>953</v>
      </c>
      <c r="C444" t="s">
        <v>137</v>
      </c>
      <c r="D444" t="s">
        <v>138</v>
      </c>
      <c r="F444" t="str">
        <f>"4063123251"</f>
        <v>4063123251</v>
      </c>
      <c r="G444" t="str">
        <f>"9784063123258"</f>
        <v>9784063123258</v>
      </c>
      <c r="H444">
        <v>5</v>
      </c>
      <c r="I444">
        <v>4.38</v>
      </c>
      <c r="J444" t="s">
        <v>139</v>
      </c>
      <c r="K444" t="s">
        <v>28</v>
      </c>
      <c r="L444">
        <v>184</v>
      </c>
      <c r="M444">
        <v>1996</v>
      </c>
      <c r="N444">
        <v>1996</v>
      </c>
      <c r="O444" s="1">
        <v>44825</v>
      </c>
      <c r="P444" s="1">
        <v>44825</v>
      </c>
      <c r="S444" t="s">
        <v>29</v>
      </c>
      <c r="W444">
        <v>1</v>
      </c>
      <c r="X444">
        <v>0</v>
      </c>
    </row>
    <row r="445" spans="1:24" x14ac:dyDescent="0.25">
      <c r="A445">
        <v>37570546</v>
      </c>
      <c r="B445" t="s">
        <v>954</v>
      </c>
      <c r="C445" t="s">
        <v>955</v>
      </c>
      <c r="D445" t="s">
        <v>956</v>
      </c>
      <c r="F445" t="str">
        <f>"1328662055"</f>
        <v>1328662055</v>
      </c>
      <c r="G445" t="str">
        <f>"9781328662057"</f>
        <v>9781328662057</v>
      </c>
      <c r="H445">
        <v>5</v>
      </c>
      <c r="I445">
        <v>4.38</v>
      </c>
      <c r="J445" t="s">
        <v>957</v>
      </c>
      <c r="K445" t="s">
        <v>34</v>
      </c>
      <c r="L445">
        <v>415</v>
      </c>
      <c r="M445">
        <v>2019</v>
      </c>
      <c r="N445">
        <v>2019</v>
      </c>
      <c r="O445" s="1">
        <v>44825</v>
      </c>
      <c r="P445" s="1">
        <v>44820</v>
      </c>
      <c r="S445" t="s">
        <v>29</v>
      </c>
      <c r="W445">
        <v>1</v>
      </c>
      <c r="X445">
        <v>0</v>
      </c>
    </row>
    <row r="446" spans="1:24" x14ac:dyDescent="0.25">
      <c r="A446">
        <v>29780253</v>
      </c>
      <c r="B446" t="s">
        <v>958</v>
      </c>
      <c r="C446" t="s">
        <v>959</v>
      </c>
      <c r="D446" t="s">
        <v>960</v>
      </c>
      <c r="F446" t="str">
        <f>""</f>
        <v/>
      </c>
      <c r="G446" t="str">
        <f>""</f>
        <v/>
      </c>
      <c r="H446">
        <v>4</v>
      </c>
      <c r="I446">
        <v>4.49</v>
      </c>
      <c r="J446" t="s">
        <v>961</v>
      </c>
      <c r="K446" t="s">
        <v>34</v>
      </c>
      <c r="L446">
        <v>289</v>
      </c>
      <c r="M446">
        <v>2016</v>
      </c>
      <c r="N446">
        <v>2016</v>
      </c>
      <c r="P446" s="1">
        <v>43688</v>
      </c>
      <c r="S446" t="s">
        <v>29</v>
      </c>
      <c r="W446">
        <v>1</v>
      </c>
      <c r="X446">
        <v>0</v>
      </c>
    </row>
    <row r="447" spans="1:24" x14ac:dyDescent="0.25">
      <c r="A447">
        <v>42734244</v>
      </c>
      <c r="B447" t="s">
        <v>962</v>
      </c>
      <c r="C447" t="s">
        <v>963</v>
      </c>
      <c r="D447" t="s">
        <v>964</v>
      </c>
      <c r="E447" t="s">
        <v>965</v>
      </c>
      <c r="F447" t="str">
        <f>""</f>
        <v/>
      </c>
      <c r="G447" t="str">
        <f>""</f>
        <v/>
      </c>
      <c r="H447">
        <v>4</v>
      </c>
      <c r="I447">
        <v>4.05</v>
      </c>
      <c r="J447" t="s">
        <v>966</v>
      </c>
      <c r="K447" t="s">
        <v>133</v>
      </c>
      <c r="L447">
        <v>304</v>
      </c>
      <c r="M447">
        <v>2019</v>
      </c>
      <c r="N447">
        <v>2019</v>
      </c>
      <c r="O447" s="1">
        <v>44458</v>
      </c>
      <c r="P447" s="1">
        <v>44459</v>
      </c>
      <c r="S447" t="s">
        <v>29</v>
      </c>
      <c r="W447">
        <v>1</v>
      </c>
      <c r="X447">
        <v>0</v>
      </c>
    </row>
    <row r="448" spans="1:24" x14ac:dyDescent="0.25">
      <c r="A448">
        <v>22018898</v>
      </c>
      <c r="B448" t="s">
        <v>967</v>
      </c>
      <c r="C448" t="s">
        <v>968</v>
      </c>
      <c r="D448" t="s">
        <v>969</v>
      </c>
      <c r="F448" t="str">
        <f>""</f>
        <v/>
      </c>
      <c r="G448" t="str">
        <f>""</f>
        <v/>
      </c>
      <c r="H448">
        <v>5</v>
      </c>
      <c r="I448">
        <v>4.59</v>
      </c>
      <c r="J448" t="s">
        <v>847</v>
      </c>
      <c r="K448" t="s">
        <v>133</v>
      </c>
      <c r="L448">
        <v>454</v>
      </c>
      <c r="M448">
        <v>2014</v>
      </c>
      <c r="N448">
        <v>2014</v>
      </c>
      <c r="P448" s="1">
        <v>44540</v>
      </c>
      <c r="S448" t="s">
        <v>29</v>
      </c>
      <c r="W448">
        <v>1</v>
      </c>
      <c r="X448">
        <v>0</v>
      </c>
    </row>
    <row r="449" spans="1:24" x14ac:dyDescent="0.25">
      <c r="A449">
        <v>40121378</v>
      </c>
      <c r="B449" t="s">
        <v>970</v>
      </c>
      <c r="C449" t="s">
        <v>971</v>
      </c>
      <c r="D449" t="s">
        <v>972</v>
      </c>
      <c r="F449" t="str">
        <f>""</f>
        <v/>
      </c>
      <c r="G449" t="str">
        <f>""</f>
        <v/>
      </c>
      <c r="H449">
        <v>5</v>
      </c>
      <c r="I449">
        <v>4.38</v>
      </c>
      <c r="J449" t="s">
        <v>973</v>
      </c>
      <c r="K449" t="s">
        <v>133</v>
      </c>
      <c r="L449">
        <v>319</v>
      </c>
      <c r="M449">
        <v>2018</v>
      </c>
      <c r="N449">
        <v>2018</v>
      </c>
      <c r="P449" s="1">
        <v>43688</v>
      </c>
      <c r="S449" t="s">
        <v>29</v>
      </c>
      <c r="W449">
        <v>1</v>
      </c>
      <c r="X449">
        <v>0</v>
      </c>
    </row>
    <row r="450" spans="1:24" x14ac:dyDescent="0.25">
      <c r="A450">
        <v>42421761</v>
      </c>
      <c r="B450" t="s">
        <v>974</v>
      </c>
      <c r="C450" t="s">
        <v>975</v>
      </c>
      <c r="D450" t="s">
        <v>976</v>
      </c>
      <c r="F450" t="str">
        <f>""</f>
        <v/>
      </c>
      <c r="G450" t="str">
        <f>""</f>
        <v/>
      </c>
      <c r="H450">
        <v>5</v>
      </c>
      <c r="I450">
        <v>4.43</v>
      </c>
      <c r="J450" t="s">
        <v>579</v>
      </c>
      <c r="K450" t="s">
        <v>133</v>
      </c>
      <c r="L450">
        <v>370</v>
      </c>
      <c r="M450">
        <v>2018</v>
      </c>
      <c r="N450">
        <v>2018</v>
      </c>
      <c r="P450" s="1">
        <v>43596</v>
      </c>
      <c r="S450" t="s">
        <v>29</v>
      </c>
      <c r="W450">
        <v>1</v>
      </c>
      <c r="X450">
        <v>0</v>
      </c>
    </row>
    <row r="451" spans="1:24" x14ac:dyDescent="0.25">
      <c r="A451">
        <v>12341557</v>
      </c>
      <c r="B451" t="s">
        <v>977</v>
      </c>
      <c r="C451" t="s">
        <v>516</v>
      </c>
      <c r="D451" t="s">
        <v>517</v>
      </c>
      <c r="E451" t="s">
        <v>978</v>
      </c>
      <c r="F451" t="str">
        <f>""</f>
        <v/>
      </c>
      <c r="G451" t="str">
        <f>""</f>
        <v/>
      </c>
      <c r="H451">
        <v>5</v>
      </c>
      <c r="I451">
        <v>4.1500000000000004</v>
      </c>
      <c r="J451" t="s">
        <v>228</v>
      </c>
      <c r="K451" t="s">
        <v>133</v>
      </c>
      <c r="L451">
        <v>322</v>
      </c>
      <c r="M451">
        <v>2012</v>
      </c>
      <c r="N451">
        <v>2012</v>
      </c>
      <c r="P451" s="1">
        <v>44277</v>
      </c>
      <c r="S451" t="s">
        <v>29</v>
      </c>
      <c r="W451">
        <v>1</v>
      </c>
      <c r="X451">
        <v>0</v>
      </c>
    </row>
    <row r="452" spans="1:24" x14ac:dyDescent="0.25">
      <c r="A452">
        <v>4978</v>
      </c>
      <c r="B452" t="s">
        <v>979</v>
      </c>
      <c r="C452" t="s">
        <v>516</v>
      </c>
      <c r="D452" t="s">
        <v>517</v>
      </c>
      <c r="E452" t="s">
        <v>980</v>
      </c>
      <c r="F452" t="str">
        <f>"141651693X"</f>
        <v>141651693X</v>
      </c>
      <c r="G452" t="str">
        <f>"9781416516934"</f>
        <v>9781416516934</v>
      </c>
      <c r="H452">
        <v>4</v>
      </c>
      <c r="I452">
        <v>4.1900000000000004</v>
      </c>
      <c r="J452" t="s">
        <v>822</v>
      </c>
      <c r="K452" t="s">
        <v>207</v>
      </c>
      <c r="L452">
        <v>931</v>
      </c>
      <c r="M452">
        <v>2006</v>
      </c>
      <c r="N452">
        <v>2003</v>
      </c>
      <c r="O452" s="1">
        <v>44244</v>
      </c>
      <c r="P452" s="1">
        <v>44245</v>
      </c>
      <c r="S452" t="s">
        <v>29</v>
      </c>
      <c r="W452">
        <v>1</v>
      </c>
      <c r="X452">
        <v>0</v>
      </c>
    </row>
    <row r="453" spans="1:24" x14ac:dyDescent="0.25">
      <c r="A453">
        <v>23878688</v>
      </c>
      <c r="B453" t="s">
        <v>981</v>
      </c>
      <c r="C453" t="s">
        <v>982</v>
      </c>
      <c r="D453" t="s">
        <v>983</v>
      </c>
      <c r="F453" t="str">
        <f>""</f>
        <v/>
      </c>
      <c r="G453" t="str">
        <f>""</f>
        <v/>
      </c>
      <c r="H453">
        <v>5</v>
      </c>
      <c r="I453">
        <v>4.26</v>
      </c>
      <c r="J453" t="s">
        <v>984</v>
      </c>
      <c r="K453" t="s">
        <v>133</v>
      </c>
      <c r="L453">
        <v>232</v>
      </c>
      <c r="M453">
        <v>2014</v>
      </c>
      <c r="N453">
        <v>1990</v>
      </c>
      <c r="P453" s="1">
        <v>43665</v>
      </c>
      <c r="S453" t="s">
        <v>29</v>
      </c>
      <c r="W453">
        <v>1</v>
      </c>
      <c r="X453">
        <v>0</v>
      </c>
    </row>
    <row r="454" spans="1:24" x14ac:dyDescent="0.25">
      <c r="A454">
        <v>5093</v>
      </c>
      <c r="B454" t="s">
        <v>985</v>
      </c>
      <c r="C454" t="s">
        <v>516</v>
      </c>
      <c r="D454" t="s">
        <v>517</v>
      </c>
      <c r="E454" t="s">
        <v>986</v>
      </c>
      <c r="F454" t="str">
        <f>"1416521496"</f>
        <v>1416521496</v>
      </c>
      <c r="G454" t="str">
        <f>""</f>
        <v/>
      </c>
      <c r="H454">
        <v>5</v>
      </c>
      <c r="I454">
        <v>3.99</v>
      </c>
      <c r="J454" t="s">
        <v>822</v>
      </c>
      <c r="K454" t="s">
        <v>207</v>
      </c>
      <c r="L454">
        <v>544</v>
      </c>
      <c r="M454">
        <v>2006</v>
      </c>
      <c r="N454">
        <v>2004</v>
      </c>
      <c r="P454" s="1">
        <v>44257</v>
      </c>
      <c r="S454" t="s">
        <v>29</v>
      </c>
      <c r="W454">
        <v>1</v>
      </c>
      <c r="X454">
        <v>0</v>
      </c>
    </row>
    <row r="455" spans="1:24" x14ac:dyDescent="0.25">
      <c r="A455">
        <v>5096</v>
      </c>
      <c r="B455" t="s">
        <v>987</v>
      </c>
      <c r="C455" t="s">
        <v>516</v>
      </c>
      <c r="D455" t="s">
        <v>517</v>
      </c>
      <c r="E455" t="s">
        <v>988</v>
      </c>
      <c r="F455" t="str">
        <f>"0340829788"</f>
        <v>0340829788</v>
      </c>
      <c r="G455" t="str">
        <f>"9780340829783"</f>
        <v>9780340829783</v>
      </c>
      <c r="H455">
        <v>4</v>
      </c>
      <c r="I455">
        <v>4.25</v>
      </c>
      <c r="J455" t="s">
        <v>878</v>
      </c>
      <c r="K455" t="s">
        <v>28</v>
      </c>
      <c r="L455">
        <v>845</v>
      </c>
      <c r="M455">
        <v>2003</v>
      </c>
      <c r="N455">
        <v>1997</v>
      </c>
      <c r="O455" s="1">
        <v>44244</v>
      </c>
      <c r="P455" s="1">
        <v>44245</v>
      </c>
      <c r="S455" t="s">
        <v>29</v>
      </c>
      <c r="W455">
        <v>1</v>
      </c>
      <c r="X455">
        <v>0</v>
      </c>
    </row>
    <row r="456" spans="1:24" x14ac:dyDescent="0.25">
      <c r="A456">
        <v>126584</v>
      </c>
      <c r="B456" t="s">
        <v>989</v>
      </c>
      <c r="C456" t="s">
        <v>990</v>
      </c>
      <c r="D456" t="s">
        <v>991</v>
      </c>
      <c r="E456" t="s">
        <v>992</v>
      </c>
      <c r="F456" t="str">
        <f>"0671528904"</f>
        <v>0671528904</v>
      </c>
      <c r="G456" t="str">
        <f>"9780671528904"</f>
        <v>9780671528904</v>
      </c>
      <c r="H456">
        <v>4</v>
      </c>
      <c r="I456">
        <v>4.08</v>
      </c>
      <c r="J456" t="s">
        <v>822</v>
      </c>
      <c r="K456" t="s">
        <v>28</v>
      </c>
      <c r="L456">
        <v>397</v>
      </c>
      <c r="M456">
        <v>1996</v>
      </c>
      <c r="N456">
        <v>1995</v>
      </c>
      <c r="P456" s="1">
        <v>44304</v>
      </c>
      <c r="S456" t="s">
        <v>29</v>
      </c>
      <c r="W456">
        <v>1</v>
      </c>
      <c r="X456">
        <v>0</v>
      </c>
    </row>
    <row r="457" spans="1:24" x14ac:dyDescent="0.25">
      <c r="A457">
        <v>6</v>
      </c>
      <c r="B457" t="s">
        <v>993</v>
      </c>
      <c r="C457" t="s">
        <v>994</v>
      </c>
      <c r="D457" t="s">
        <v>995</v>
      </c>
      <c r="E457" t="s">
        <v>996</v>
      </c>
      <c r="F457" t="str">
        <f>""</f>
        <v/>
      </c>
      <c r="G457" t="str">
        <f>""</f>
        <v/>
      </c>
      <c r="H457">
        <v>5</v>
      </c>
      <c r="I457">
        <v>4.57</v>
      </c>
      <c r="J457" t="s">
        <v>997</v>
      </c>
      <c r="K457" t="s">
        <v>28</v>
      </c>
      <c r="L457">
        <v>734</v>
      </c>
      <c r="M457">
        <v>2002</v>
      </c>
      <c r="N457">
        <v>2000</v>
      </c>
      <c r="O457" s="1">
        <v>44692</v>
      </c>
      <c r="P457" s="1">
        <v>43610</v>
      </c>
      <c r="S457" t="s">
        <v>29</v>
      </c>
      <c r="W457">
        <v>1</v>
      </c>
      <c r="X457">
        <v>0</v>
      </c>
    </row>
    <row r="458" spans="1:24" x14ac:dyDescent="0.25">
      <c r="A458">
        <v>43615</v>
      </c>
      <c r="B458" t="s">
        <v>998</v>
      </c>
      <c r="C458" t="s">
        <v>516</v>
      </c>
      <c r="D458" t="s">
        <v>517</v>
      </c>
      <c r="F458" t="str">
        <f>""</f>
        <v/>
      </c>
      <c r="G458" t="str">
        <f>""</f>
        <v/>
      </c>
      <c r="H458">
        <v>3</v>
      </c>
      <c r="I458">
        <v>3.93</v>
      </c>
      <c r="J458" t="s">
        <v>999</v>
      </c>
      <c r="K458" t="s">
        <v>28</v>
      </c>
      <c r="L458">
        <v>231</v>
      </c>
      <c r="M458">
        <v>2003</v>
      </c>
      <c r="N458">
        <v>1982</v>
      </c>
      <c r="P458" s="1">
        <v>44245</v>
      </c>
      <c r="S458" t="s">
        <v>29</v>
      </c>
      <c r="W458">
        <v>1</v>
      </c>
      <c r="X458">
        <v>0</v>
      </c>
    </row>
    <row r="459" spans="1:24" x14ac:dyDescent="0.25">
      <c r="A459">
        <v>11566</v>
      </c>
      <c r="B459" t="s">
        <v>1000</v>
      </c>
      <c r="C459" t="s">
        <v>516</v>
      </c>
      <c r="D459" t="s">
        <v>517</v>
      </c>
      <c r="F459" t="str">
        <f>"0451933028"</f>
        <v>0451933028</v>
      </c>
      <c r="G459" t="str">
        <f>"9780451933027"</f>
        <v>9780451933027</v>
      </c>
      <c r="H459">
        <v>5</v>
      </c>
      <c r="I459">
        <v>4.46</v>
      </c>
      <c r="J459" t="s">
        <v>1001</v>
      </c>
      <c r="K459" t="s">
        <v>28</v>
      </c>
      <c r="L459">
        <v>592</v>
      </c>
      <c r="M459">
        <v>1996</v>
      </c>
      <c r="N459">
        <v>1996</v>
      </c>
      <c r="P459" s="1">
        <v>44257</v>
      </c>
      <c r="S459" t="s">
        <v>29</v>
      </c>
      <c r="W459">
        <v>1</v>
      </c>
      <c r="X459">
        <v>0</v>
      </c>
    </row>
    <row r="460" spans="1:24" x14ac:dyDescent="0.25">
      <c r="A460">
        <v>4481995</v>
      </c>
      <c r="B460" t="s">
        <v>1002</v>
      </c>
      <c r="C460" t="s">
        <v>1003</v>
      </c>
      <c r="D460" t="s">
        <v>1004</v>
      </c>
      <c r="F460" t="str">
        <f>"1421522446"</f>
        <v>1421522446</v>
      </c>
      <c r="G460" t="str">
        <f>"9781421522449"</f>
        <v>9781421522449</v>
      </c>
      <c r="H460">
        <v>5</v>
      </c>
      <c r="I460">
        <v>4.5999999999999996</v>
      </c>
      <c r="J460" t="s">
        <v>27</v>
      </c>
      <c r="K460" t="s">
        <v>28</v>
      </c>
      <c r="L460">
        <v>632</v>
      </c>
      <c r="M460">
        <v>2008</v>
      </c>
      <c r="O460" s="1">
        <v>44584</v>
      </c>
      <c r="P460" s="1">
        <v>44584</v>
      </c>
      <c r="S460" t="s">
        <v>29</v>
      </c>
      <c r="W460">
        <v>1</v>
      </c>
      <c r="X460">
        <v>0</v>
      </c>
    </row>
    <row r="461" spans="1:24" x14ac:dyDescent="0.25">
      <c r="A461">
        <v>271264</v>
      </c>
      <c r="B461" t="s">
        <v>1005</v>
      </c>
      <c r="C461" t="s">
        <v>1006</v>
      </c>
      <c r="D461" t="s">
        <v>1007</v>
      </c>
      <c r="F461" t="str">
        <f>"1591164435"</f>
        <v>1591164435</v>
      </c>
      <c r="G461" t="str">
        <f>"9781591164432"</f>
        <v>9781591164432</v>
      </c>
      <c r="H461">
        <v>4</v>
      </c>
      <c r="I461">
        <v>4.33</v>
      </c>
      <c r="J461" t="s">
        <v>27</v>
      </c>
      <c r="K461" t="s">
        <v>28</v>
      </c>
      <c r="L461">
        <v>192</v>
      </c>
      <c r="M461">
        <v>2004</v>
      </c>
      <c r="N461">
        <v>2002</v>
      </c>
      <c r="O461" s="1">
        <v>44808</v>
      </c>
      <c r="P461" s="1">
        <v>44808</v>
      </c>
      <c r="S461" t="s">
        <v>29</v>
      </c>
      <c r="W461">
        <v>2</v>
      </c>
      <c r="X461">
        <v>0</v>
      </c>
    </row>
    <row r="462" spans="1:24" x14ac:dyDescent="0.25">
      <c r="A462">
        <v>22753407</v>
      </c>
      <c r="B462" t="s">
        <v>1008</v>
      </c>
      <c r="C462" t="s">
        <v>968</v>
      </c>
      <c r="D462" t="s">
        <v>969</v>
      </c>
      <c r="F462" t="str">
        <f>""</f>
        <v/>
      </c>
      <c r="G462" t="str">
        <f>""</f>
        <v/>
      </c>
      <c r="H462">
        <v>5</v>
      </c>
      <c r="I462">
        <v>4.6900000000000004</v>
      </c>
      <c r="J462" t="s">
        <v>847</v>
      </c>
      <c r="K462" t="s">
        <v>133</v>
      </c>
      <c r="L462">
        <v>432</v>
      </c>
      <c r="M462">
        <v>2014</v>
      </c>
      <c r="N462">
        <v>2014</v>
      </c>
      <c r="O462" s="1">
        <v>44574</v>
      </c>
      <c r="P462" s="1">
        <v>44575</v>
      </c>
      <c r="S462" t="s">
        <v>29</v>
      </c>
      <c r="W462">
        <v>1</v>
      </c>
      <c r="X462">
        <v>0</v>
      </c>
    </row>
    <row r="463" spans="1:24" x14ac:dyDescent="0.25">
      <c r="A463">
        <v>39808533</v>
      </c>
      <c r="B463" t="s">
        <v>1009</v>
      </c>
      <c r="C463" t="s">
        <v>1010</v>
      </c>
      <c r="D463" t="s">
        <v>1011</v>
      </c>
      <c r="F463" t="str">
        <f>"1785042114"</f>
        <v>1785042114</v>
      </c>
      <c r="G463" t="str">
        <f>"9781785042119"</f>
        <v>9781785042119</v>
      </c>
      <c r="H463">
        <v>5</v>
      </c>
      <c r="I463">
        <v>4.1100000000000003</v>
      </c>
      <c r="J463" t="s">
        <v>1012</v>
      </c>
      <c r="K463" t="s">
        <v>34</v>
      </c>
      <c r="L463">
        <v>96</v>
      </c>
      <c r="M463">
        <v>2018</v>
      </c>
      <c r="N463">
        <v>2018</v>
      </c>
      <c r="P463" s="1">
        <v>43666</v>
      </c>
      <c r="S463" t="s">
        <v>29</v>
      </c>
      <c r="W463">
        <v>1</v>
      </c>
      <c r="X463">
        <v>0</v>
      </c>
    </row>
    <row r="464" spans="1:24" x14ac:dyDescent="0.25">
      <c r="A464">
        <v>28676</v>
      </c>
      <c r="B464" t="s">
        <v>1013</v>
      </c>
      <c r="C464" t="s">
        <v>1014</v>
      </c>
      <c r="D464" t="s">
        <v>1015</v>
      </c>
      <c r="F464" t="str">
        <f>"0679735771"</f>
        <v>0679735771</v>
      </c>
      <c r="G464" t="str">
        <f>"9780679735779"</f>
        <v>9780679735779</v>
      </c>
      <c r="H464">
        <v>3</v>
      </c>
      <c r="I464">
        <v>3.82</v>
      </c>
      <c r="J464" t="s">
        <v>1016</v>
      </c>
      <c r="K464" t="s">
        <v>28</v>
      </c>
      <c r="L464">
        <v>399</v>
      </c>
      <c r="M464">
        <v>1991</v>
      </c>
      <c r="N464">
        <v>1991</v>
      </c>
      <c r="P464" s="1">
        <v>43610</v>
      </c>
      <c r="S464" t="s">
        <v>29</v>
      </c>
      <c r="W464">
        <v>1</v>
      </c>
      <c r="X464">
        <v>0</v>
      </c>
    </row>
    <row r="465" spans="1:24" x14ac:dyDescent="0.25">
      <c r="A465">
        <v>29430097</v>
      </c>
      <c r="B465" t="s">
        <v>1017</v>
      </c>
      <c r="C465" t="s">
        <v>1018</v>
      </c>
      <c r="D465" t="s">
        <v>1019</v>
      </c>
      <c r="F465" t="str">
        <f>"1465454683"</f>
        <v>1465454683</v>
      </c>
      <c r="G465" t="str">
        <f>"9781465454683"</f>
        <v>9781465454683</v>
      </c>
      <c r="H465">
        <v>3</v>
      </c>
      <c r="I465">
        <v>3.93</v>
      </c>
      <c r="J465" t="s">
        <v>88</v>
      </c>
      <c r="K465" t="s">
        <v>34</v>
      </c>
      <c r="L465">
        <v>464</v>
      </c>
      <c r="M465">
        <v>2016</v>
      </c>
      <c r="P465" s="1">
        <v>43281</v>
      </c>
      <c r="S465" t="s">
        <v>29</v>
      </c>
      <c r="W465">
        <v>1</v>
      </c>
      <c r="X465">
        <v>0</v>
      </c>
    </row>
    <row r="466" spans="1:24" x14ac:dyDescent="0.25">
      <c r="A466">
        <v>34084</v>
      </c>
      <c r="B466" t="s">
        <v>1020</v>
      </c>
      <c r="C466" t="s">
        <v>516</v>
      </c>
      <c r="D466" t="s">
        <v>517</v>
      </c>
      <c r="E466" t="s">
        <v>1021</v>
      </c>
      <c r="F466" t="str">
        <f>"0670032565"</f>
        <v>0670032565</v>
      </c>
      <c r="G466" t="str">
        <f>"9780670032563"</f>
        <v>9780670032563</v>
      </c>
      <c r="H466">
        <v>5</v>
      </c>
      <c r="I466">
        <v>4.24</v>
      </c>
      <c r="J466" t="s">
        <v>1022</v>
      </c>
      <c r="K466" t="s">
        <v>34</v>
      </c>
      <c r="L466">
        <v>422</v>
      </c>
      <c r="M466">
        <v>2003</v>
      </c>
      <c r="N466">
        <v>1991</v>
      </c>
      <c r="P466" s="1">
        <v>44245</v>
      </c>
      <c r="S466" t="s">
        <v>29</v>
      </c>
      <c r="W466">
        <v>1</v>
      </c>
      <c r="X466">
        <v>0</v>
      </c>
    </row>
    <row r="467" spans="1:24" x14ac:dyDescent="0.25">
      <c r="A467">
        <v>5094</v>
      </c>
      <c r="B467" t="s">
        <v>1023</v>
      </c>
      <c r="C467" t="s">
        <v>516</v>
      </c>
      <c r="D467" t="s">
        <v>517</v>
      </c>
      <c r="F467" t="str">
        <f>"0451210859"</f>
        <v>0451210859</v>
      </c>
      <c r="G467" t="str">
        <f>"9780451210852"</f>
        <v>9780451210852</v>
      </c>
      <c r="H467">
        <v>5</v>
      </c>
      <c r="I467">
        <v>4.2300000000000004</v>
      </c>
      <c r="J467" t="s">
        <v>920</v>
      </c>
      <c r="K467" t="s">
        <v>28</v>
      </c>
      <c r="L467">
        <v>463</v>
      </c>
      <c r="M467">
        <v>2003</v>
      </c>
      <c r="N467">
        <v>1987</v>
      </c>
      <c r="P467" s="1">
        <v>44245</v>
      </c>
      <c r="S467" t="s">
        <v>29</v>
      </c>
      <c r="W467">
        <v>1</v>
      </c>
      <c r="X467">
        <v>0</v>
      </c>
    </row>
    <row r="468" spans="1:24" x14ac:dyDescent="0.25">
      <c r="A468">
        <v>4069</v>
      </c>
      <c r="B468" t="s">
        <v>1024</v>
      </c>
      <c r="C468" t="s">
        <v>1025</v>
      </c>
      <c r="D468" t="s">
        <v>1026</v>
      </c>
      <c r="E468" t="s">
        <v>1027</v>
      </c>
      <c r="F468" t="str">
        <f>"080701429X"</f>
        <v>080701429X</v>
      </c>
      <c r="G468" t="str">
        <f>"9780807014295"</f>
        <v>9780807014295</v>
      </c>
      <c r="H468">
        <v>5</v>
      </c>
      <c r="I468">
        <v>4.37</v>
      </c>
      <c r="J468" t="s">
        <v>1028</v>
      </c>
      <c r="K468" t="s">
        <v>28</v>
      </c>
      <c r="L468">
        <v>165</v>
      </c>
      <c r="M468">
        <v>2006</v>
      </c>
      <c r="N468">
        <v>1946</v>
      </c>
      <c r="P468" s="1">
        <v>43822</v>
      </c>
      <c r="S468" t="s">
        <v>29</v>
      </c>
      <c r="W468">
        <v>1</v>
      </c>
      <c r="X468">
        <v>0</v>
      </c>
    </row>
    <row r="469" spans="1:24" x14ac:dyDescent="0.25">
      <c r="A469">
        <v>40109367</v>
      </c>
      <c r="B469" t="s">
        <v>1029</v>
      </c>
      <c r="C469" t="s">
        <v>44</v>
      </c>
      <c r="D469" t="s">
        <v>45</v>
      </c>
      <c r="F469" t="str">
        <f>"147356252X"</f>
        <v>147356252X</v>
      </c>
      <c r="G469" t="str">
        <f>"9781473562523"</f>
        <v>9781473562523</v>
      </c>
      <c r="H469">
        <v>4</v>
      </c>
      <c r="I469">
        <v>4.18</v>
      </c>
      <c r="J469" t="s">
        <v>1030</v>
      </c>
      <c r="K469" t="s">
        <v>609</v>
      </c>
      <c r="L469">
        <v>332</v>
      </c>
      <c r="M469">
        <v>2018</v>
      </c>
      <c r="N469">
        <v>2018</v>
      </c>
      <c r="P469" s="1">
        <v>43785</v>
      </c>
      <c r="S469" t="s">
        <v>29</v>
      </c>
      <c r="W469">
        <v>1</v>
      </c>
      <c r="X469">
        <v>0</v>
      </c>
    </row>
    <row r="470" spans="1:24" x14ac:dyDescent="0.25">
      <c r="A470">
        <v>12497</v>
      </c>
      <c r="B470" t="s">
        <v>1031</v>
      </c>
      <c r="C470" t="s">
        <v>1032</v>
      </c>
      <c r="D470" t="s">
        <v>1033</v>
      </c>
      <c r="F470" t="str">
        <f>"0375706674"</f>
        <v>0375706674</v>
      </c>
      <c r="G470" t="str">
        <f>"9780375706677"</f>
        <v>9780375706677</v>
      </c>
      <c r="H470">
        <v>5</v>
      </c>
      <c r="I470">
        <v>4.1399999999999997</v>
      </c>
      <c r="J470" t="s">
        <v>198</v>
      </c>
      <c r="K470" t="s">
        <v>28</v>
      </c>
      <c r="L470">
        <v>309</v>
      </c>
      <c r="M470">
        <v>2006</v>
      </c>
      <c r="N470">
        <v>2005</v>
      </c>
      <c r="P470" s="1">
        <v>43657</v>
      </c>
      <c r="S470" t="s">
        <v>29</v>
      </c>
      <c r="W470">
        <v>1</v>
      </c>
      <c r="X470">
        <v>0</v>
      </c>
    </row>
    <row r="471" spans="1:24" x14ac:dyDescent="0.25">
      <c r="A471">
        <v>113934</v>
      </c>
      <c r="B471" t="s">
        <v>1034</v>
      </c>
      <c r="C471" t="s">
        <v>1035</v>
      </c>
      <c r="D471" t="s">
        <v>1036</v>
      </c>
      <c r="E471" t="s">
        <v>1037</v>
      </c>
      <c r="F471" t="str">
        <f>"0884271781"</f>
        <v>0884271781</v>
      </c>
      <c r="G471" t="str">
        <f>"9780884271789"</f>
        <v>9780884271789</v>
      </c>
      <c r="H471">
        <v>5</v>
      </c>
      <c r="I471">
        <v>4.07</v>
      </c>
      <c r="J471" t="s">
        <v>1038</v>
      </c>
      <c r="K471" t="s">
        <v>28</v>
      </c>
      <c r="L471">
        <v>384</v>
      </c>
      <c r="M471">
        <v>2004</v>
      </c>
      <c r="N471">
        <v>1984</v>
      </c>
      <c r="P471" s="1">
        <v>43281</v>
      </c>
      <c r="S471" t="s">
        <v>29</v>
      </c>
      <c r="W471">
        <v>1</v>
      </c>
      <c r="X471">
        <v>0</v>
      </c>
    </row>
    <row r="472" spans="1:24" x14ac:dyDescent="0.25">
      <c r="A472">
        <v>54702009</v>
      </c>
      <c r="B472" t="s">
        <v>1039</v>
      </c>
      <c r="C472" t="s">
        <v>1040</v>
      </c>
      <c r="D472" t="s">
        <v>1041</v>
      </c>
      <c r="E472" t="s">
        <v>1042</v>
      </c>
      <c r="F472" t="str">
        <f>"4088824709"</f>
        <v>4088824709</v>
      </c>
      <c r="G472" t="str">
        <f>"9784088824703"</f>
        <v>9784088824703</v>
      </c>
      <c r="H472">
        <v>5</v>
      </c>
      <c r="I472">
        <v>4.63</v>
      </c>
      <c r="J472" t="s">
        <v>1043</v>
      </c>
      <c r="K472" t="s">
        <v>28</v>
      </c>
      <c r="L472">
        <v>192</v>
      </c>
      <c r="M472">
        <v>2020</v>
      </c>
      <c r="N472">
        <v>2020</v>
      </c>
      <c r="O472" s="1">
        <v>44647</v>
      </c>
      <c r="P472" s="1">
        <v>44648</v>
      </c>
      <c r="S472" t="s">
        <v>29</v>
      </c>
      <c r="W472">
        <v>1</v>
      </c>
      <c r="X472">
        <v>0</v>
      </c>
    </row>
    <row r="473" spans="1:24" x14ac:dyDescent="0.25">
      <c r="A473">
        <v>6080703</v>
      </c>
      <c r="B473" t="s">
        <v>1044</v>
      </c>
      <c r="C473" t="s">
        <v>1045</v>
      </c>
      <c r="D473" t="s">
        <v>1046</v>
      </c>
      <c r="F473" t="str">
        <f>"0345500350"</f>
        <v>0345500350</v>
      </c>
      <c r="G473" t="str">
        <f>"9780345500359"</f>
        <v>9780345500359</v>
      </c>
      <c r="H473">
        <v>5</v>
      </c>
      <c r="I473">
        <v>4.3</v>
      </c>
      <c r="J473" t="s">
        <v>691</v>
      </c>
      <c r="K473" t="s">
        <v>28</v>
      </c>
      <c r="L473">
        <v>288</v>
      </c>
      <c r="M473">
        <v>2009</v>
      </c>
      <c r="N473">
        <v>1993</v>
      </c>
      <c r="O473" s="1">
        <v>44789</v>
      </c>
      <c r="P473" s="1">
        <v>44790</v>
      </c>
      <c r="S473" t="s">
        <v>29</v>
      </c>
      <c r="W473">
        <v>1</v>
      </c>
      <c r="X473">
        <v>0</v>
      </c>
    </row>
    <row r="474" spans="1:24" x14ac:dyDescent="0.25">
      <c r="A474">
        <v>17833611</v>
      </c>
      <c r="B474" t="s">
        <v>1047</v>
      </c>
      <c r="C474" t="s">
        <v>1048</v>
      </c>
      <c r="D474" t="s">
        <v>1049</v>
      </c>
      <c r="F474" t="str">
        <f>""</f>
        <v/>
      </c>
      <c r="G474" t="str">
        <f>"9789948425748"</f>
        <v>9789948425748</v>
      </c>
      <c r="H474">
        <v>2</v>
      </c>
      <c r="I474">
        <v>3.57</v>
      </c>
      <c r="J474" t="s">
        <v>1050</v>
      </c>
      <c r="K474" t="s">
        <v>28</v>
      </c>
      <c r="L474">
        <v>218</v>
      </c>
      <c r="M474">
        <v>2013</v>
      </c>
      <c r="N474">
        <v>2013</v>
      </c>
      <c r="O474" s="1">
        <v>44801</v>
      </c>
      <c r="P474" s="1">
        <v>44802</v>
      </c>
      <c r="S474" t="s">
        <v>29</v>
      </c>
      <c r="W474">
        <v>1</v>
      </c>
      <c r="X474">
        <v>0</v>
      </c>
    </row>
    <row r="475" spans="1:24" x14ac:dyDescent="0.25">
      <c r="A475">
        <v>18400258</v>
      </c>
      <c r="B475" t="s">
        <v>1051</v>
      </c>
      <c r="C475" t="s">
        <v>137</v>
      </c>
      <c r="D475" t="s">
        <v>138</v>
      </c>
      <c r="F475" t="str">
        <f>"4063122999"</f>
        <v>4063122999</v>
      </c>
      <c r="G475" t="str">
        <f>"9784063122992"</f>
        <v>9784063122992</v>
      </c>
      <c r="H475">
        <v>5</v>
      </c>
      <c r="I475">
        <v>4.3600000000000003</v>
      </c>
      <c r="J475" t="s">
        <v>139</v>
      </c>
      <c r="K475" t="s">
        <v>28</v>
      </c>
      <c r="L475">
        <v>197</v>
      </c>
      <c r="M475">
        <v>1996</v>
      </c>
      <c r="N475">
        <v>1996</v>
      </c>
      <c r="O475" s="1">
        <v>44825</v>
      </c>
      <c r="P475" s="1">
        <v>44823</v>
      </c>
      <c r="S475" t="s">
        <v>29</v>
      </c>
      <c r="W475">
        <v>1</v>
      </c>
      <c r="X475">
        <v>0</v>
      </c>
    </row>
    <row r="476" spans="1:24" x14ac:dyDescent="0.25">
      <c r="A476">
        <v>13617</v>
      </c>
      <c r="B476" t="s">
        <v>1052</v>
      </c>
      <c r="C476" t="s">
        <v>831</v>
      </c>
      <c r="D476" t="s">
        <v>832</v>
      </c>
      <c r="E476" t="s">
        <v>948</v>
      </c>
      <c r="F476" t="str">
        <f>"1421506262"</f>
        <v>1421506262</v>
      </c>
      <c r="G476" t="str">
        <f>"9781421506265"</f>
        <v>9781421506265</v>
      </c>
      <c r="H476">
        <v>5</v>
      </c>
      <c r="I476">
        <v>4.33</v>
      </c>
      <c r="J476" t="s">
        <v>27</v>
      </c>
      <c r="K476" t="s">
        <v>28</v>
      </c>
      <c r="L476">
        <v>201</v>
      </c>
      <c r="M476">
        <v>2006</v>
      </c>
      <c r="N476">
        <v>2005</v>
      </c>
      <c r="O476" s="1">
        <v>44824</v>
      </c>
      <c r="P476" s="1">
        <v>44823</v>
      </c>
      <c r="S476" t="s">
        <v>29</v>
      </c>
      <c r="W476">
        <v>1</v>
      </c>
      <c r="X476">
        <v>0</v>
      </c>
    </row>
    <row r="477" spans="1:24" x14ac:dyDescent="0.25">
      <c r="A477">
        <v>13616</v>
      </c>
      <c r="B477" t="s">
        <v>1053</v>
      </c>
      <c r="C477" t="s">
        <v>831</v>
      </c>
      <c r="D477" t="s">
        <v>832</v>
      </c>
      <c r="E477" t="s">
        <v>1054</v>
      </c>
      <c r="F477" t="str">
        <f>"142150331X"</f>
        <v>142150331X</v>
      </c>
      <c r="G477" t="str">
        <f>"9781421503318"</f>
        <v>9781421503318</v>
      </c>
      <c r="H477">
        <v>5</v>
      </c>
      <c r="I477">
        <v>4.42</v>
      </c>
      <c r="J477" t="s">
        <v>27</v>
      </c>
      <c r="K477" t="s">
        <v>28</v>
      </c>
      <c r="L477">
        <v>204</v>
      </c>
      <c r="M477">
        <v>2006</v>
      </c>
      <c r="N477">
        <v>2004</v>
      </c>
      <c r="O477" s="1">
        <v>44823</v>
      </c>
      <c r="P477" s="1">
        <v>44823</v>
      </c>
      <c r="S477" t="s">
        <v>29</v>
      </c>
      <c r="W477">
        <v>1</v>
      </c>
      <c r="X477">
        <v>0</v>
      </c>
    </row>
    <row r="478" spans="1:24" x14ac:dyDescent="0.25">
      <c r="A478">
        <v>18400249</v>
      </c>
      <c r="B478" t="s">
        <v>1055</v>
      </c>
      <c r="C478" t="s">
        <v>137</v>
      </c>
      <c r="D478" t="s">
        <v>138</v>
      </c>
      <c r="F478" t="str">
        <f>"4063122654"</f>
        <v>4063122654</v>
      </c>
      <c r="G478" t="str">
        <f>"9784063122657"</f>
        <v>9784063122657</v>
      </c>
      <c r="H478">
        <v>5</v>
      </c>
      <c r="I478">
        <v>4.33</v>
      </c>
      <c r="J478" t="s">
        <v>139</v>
      </c>
      <c r="K478" t="s">
        <v>28</v>
      </c>
      <c r="L478">
        <v>183</v>
      </c>
      <c r="M478">
        <v>1996</v>
      </c>
      <c r="N478">
        <v>1996</v>
      </c>
      <c r="O478" s="1">
        <v>44823</v>
      </c>
      <c r="P478" s="1">
        <v>44823</v>
      </c>
      <c r="S478" t="s">
        <v>29</v>
      </c>
      <c r="W478">
        <v>1</v>
      </c>
      <c r="X478">
        <v>0</v>
      </c>
    </row>
    <row r="479" spans="1:24" x14ac:dyDescent="0.25">
      <c r="A479">
        <v>18400240</v>
      </c>
      <c r="B479" t="s">
        <v>1056</v>
      </c>
      <c r="C479" t="s">
        <v>137</v>
      </c>
      <c r="D479" t="s">
        <v>138</v>
      </c>
      <c r="F479" t="str">
        <f>"4063122417"</f>
        <v>4063122417</v>
      </c>
      <c r="G479" t="str">
        <f>"9784063122411"</f>
        <v>9784063122411</v>
      </c>
      <c r="H479">
        <v>5</v>
      </c>
      <c r="I479">
        <v>4.45</v>
      </c>
      <c r="J479" t="s">
        <v>139</v>
      </c>
      <c r="K479" t="s">
        <v>28</v>
      </c>
      <c r="L479">
        <v>189</v>
      </c>
      <c r="M479">
        <v>1996</v>
      </c>
      <c r="N479">
        <v>1996</v>
      </c>
      <c r="O479" s="1">
        <v>44823</v>
      </c>
      <c r="P479" s="1">
        <v>44823</v>
      </c>
      <c r="S479" t="s">
        <v>29</v>
      </c>
      <c r="W479">
        <v>1</v>
      </c>
      <c r="X479">
        <v>0</v>
      </c>
    </row>
    <row r="480" spans="1:24" x14ac:dyDescent="0.25">
      <c r="A480">
        <v>18395544</v>
      </c>
      <c r="B480" t="s">
        <v>1057</v>
      </c>
      <c r="C480" t="s">
        <v>137</v>
      </c>
      <c r="D480" t="s">
        <v>138</v>
      </c>
      <c r="F480" t="str">
        <f>"4063122190"</f>
        <v>4063122190</v>
      </c>
      <c r="G480" t="str">
        <f>"9784063122190"</f>
        <v>9784063122190</v>
      </c>
      <c r="H480">
        <v>5</v>
      </c>
      <c r="I480">
        <v>4.3499999999999996</v>
      </c>
      <c r="J480" t="s">
        <v>139</v>
      </c>
      <c r="K480" t="s">
        <v>28</v>
      </c>
      <c r="L480">
        <v>179</v>
      </c>
      <c r="M480">
        <v>1996</v>
      </c>
      <c r="N480">
        <v>1996</v>
      </c>
      <c r="O480" s="1">
        <v>44823</v>
      </c>
      <c r="P480" s="1">
        <v>44822</v>
      </c>
      <c r="S480" t="s">
        <v>29</v>
      </c>
      <c r="W480">
        <v>1</v>
      </c>
      <c r="X480">
        <v>0</v>
      </c>
    </row>
    <row r="481" spans="1:24" x14ac:dyDescent="0.25">
      <c r="A481">
        <v>13618</v>
      </c>
      <c r="B481" t="s">
        <v>1058</v>
      </c>
      <c r="C481" t="s">
        <v>831</v>
      </c>
      <c r="D481" t="s">
        <v>832</v>
      </c>
      <c r="E481" t="s">
        <v>1059</v>
      </c>
      <c r="F481" t="str">
        <f>"1421501708"</f>
        <v>1421501708</v>
      </c>
      <c r="G481" t="str">
        <f>"9781421501703"</f>
        <v>9781421501703</v>
      </c>
      <c r="H481">
        <v>5</v>
      </c>
      <c r="I481">
        <v>4.45</v>
      </c>
      <c r="J481" t="s">
        <v>27</v>
      </c>
      <c r="K481" t="s">
        <v>28</v>
      </c>
      <c r="L481">
        <v>193</v>
      </c>
      <c r="M481">
        <v>2006</v>
      </c>
      <c r="N481">
        <v>2004</v>
      </c>
      <c r="O481" s="1">
        <v>44823</v>
      </c>
      <c r="P481" s="1">
        <v>44822</v>
      </c>
      <c r="S481" t="s">
        <v>29</v>
      </c>
      <c r="W481">
        <v>1</v>
      </c>
      <c r="X481">
        <v>0</v>
      </c>
    </row>
    <row r="482" spans="1:24" x14ac:dyDescent="0.25">
      <c r="A482">
        <v>17622251</v>
      </c>
      <c r="B482" t="s">
        <v>1060</v>
      </c>
      <c r="C482" t="s">
        <v>137</v>
      </c>
      <c r="D482" t="s">
        <v>138</v>
      </c>
      <c r="F482" t="str">
        <f>"4063121976"</f>
        <v>4063121976</v>
      </c>
      <c r="G482" t="str">
        <f>"9784063121971"</f>
        <v>9784063121971</v>
      </c>
      <c r="H482">
        <v>5</v>
      </c>
      <c r="I482">
        <v>4.45</v>
      </c>
      <c r="J482" t="s">
        <v>139</v>
      </c>
      <c r="K482" t="s">
        <v>28</v>
      </c>
      <c r="L482">
        <v>177</v>
      </c>
      <c r="M482">
        <v>1995</v>
      </c>
      <c r="N482">
        <v>1995</v>
      </c>
      <c r="O482" s="1">
        <v>44822</v>
      </c>
      <c r="P482" s="1">
        <v>44822</v>
      </c>
      <c r="S482" t="s">
        <v>29</v>
      </c>
      <c r="W482">
        <v>1</v>
      </c>
      <c r="X482">
        <v>0</v>
      </c>
    </row>
    <row r="483" spans="1:24" x14ac:dyDescent="0.25">
      <c r="A483">
        <v>17622247</v>
      </c>
      <c r="B483" t="s">
        <v>1061</v>
      </c>
      <c r="C483" t="s">
        <v>137</v>
      </c>
      <c r="D483" t="s">
        <v>138</v>
      </c>
      <c r="F483" t="str">
        <f>"4063121658"</f>
        <v>4063121658</v>
      </c>
      <c r="G483" t="str">
        <f>"9784063121650"</f>
        <v>9784063121650</v>
      </c>
      <c r="H483">
        <v>5</v>
      </c>
      <c r="I483">
        <v>4.41</v>
      </c>
      <c r="J483" t="s">
        <v>139</v>
      </c>
      <c r="K483" t="s">
        <v>28</v>
      </c>
      <c r="L483">
        <v>179</v>
      </c>
      <c r="M483">
        <v>1995</v>
      </c>
      <c r="N483">
        <v>1995</v>
      </c>
      <c r="O483" s="1">
        <v>44822</v>
      </c>
      <c r="P483" s="1">
        <v>44822</v>
      </c>
      <c r="S483" t="s">
        <v>29</v>
      </c>
      <c r="W483">
        <v>1</v>
      </c>
      <c r="X483">
        <v>0</v>
      </c>
    </row>
    <row r="484" spans="1:24" x14ac:dyDescent="0.25">
      <c r="A484">
        <v>17622144</v>
      </c>
      <c r="B484" t="s">
        <v>1062</v>
      </c>
      <c r="C484" t="s">
        <v>137</v>
      </c>
      <c r="D484" t="s">
        <v>138</v>
      </c>
      <c r="F484" t="str">
        <f>"4063121356"</f>
        <v>4063121356</v>
      </c>
      <c r="G484" t="str">
        <f>"9784063121353"</f>
        <v>9784063121353</v>
      </c>
      <c r="H484">
        <v>5</v>
      </c>
      <c r="I484">
        <v>4.3499999999999996</v>
      </c>
      <c r="J484" t="s">
        <v>139</v>
      </c>
      <c r="K484" t="s">
        <v>28</v>
      </c>
      <c r="L484">
        <v>181</v>
      </c>
      <c r="M484">
        <v>1995</v>
      </c>
      <c r="N484">
        <v>1995</v>
      </c>
      <c r="O484" s="1">
        <v>44822</v>
      </c>
      <c r="P484" s="1">
        <v>44822</v>
      </c>
      <c r="S484" t="s">
        <v>29</v>
      </c>
      <c r="W484">
        <v>1</v>
      </c>
      <c r="X484">
        <v>0</v>
      </c>
    </row>
    <row r="485" spans="1:24" x14ac:dyDescent="0.25">
      <c r="A485">
        <v>17621922</v>
      </c>
      <c r="B485" t="s">
        <v>1063</v>
      </c>
      <c r="C485" t="s">
        <v>137</v>
      </c>
      <c r="D485" t="s">
        <v>138</v>
      </c>
      <c r="F485" t="str">
        <f>"4063121127"</f>
        <v>4063121127</v>
      </c>
      <c r="G485" t="str">
        <f>"9784063121124"</f>
        <v>9784063121124</v>
      </c>
      <c r="H485">
        <v>5</v>
      </c>
      <c r="I485">
        <v>4.33</v>
      </c>
      <c r="J485" t="s">
        <v>139</v>
      </c>
      <c r="K485" t="s">
        <v>28</v>
      </c>
      <c r="L485">
        <v>181</v>
      </c>
      <c r="M485">
        <v>1995</v>
      </c>
      <c r="N485">
        <v>1995</v>
      </c>
      <c r="O485" s="1">
        <v>44822</v>
      </c>
      <c r="P485" s="1">
        <v>44822</v>
      </c>
      <c r="S485" t="s">
        <v>29</v>
      </c>
      <c r="W485">
        <v>1</v>
      </c>
      <c r="X485">
        <v>0</v>
      </c>
    </row>
    <row r="486" spans="1:24" x14ac:dyDescent="0.25">
      <c r="A486">
        <v>17621827</v>
      </c>
      <c r="B486" t="s">
        <v>1064</v>
      </c>
      <c r="C486" t="s">
        <v>137</v>
      </c>
      <c r="D486" t="s">
        <v>138</v>
      </c>
      <c r="F486" t="str">
        <f>"4063120902"</f>
        <v>4063120902</v>
      </c>
      <c r="G486" t="str">
        <f>"9784063120905"</f>
        <v>9784063120905</v>
      </c>
      <c r="H486">
        <v>5</v>
      </c>
      <c r="I486">
        <v>4.3</v>
      </c>
      <c r="J486" t="s">
        <v>139</v>
      </c>
      <c r="K486" t="s">
        <v>28</v>
      </c>
      <c r="L486">
        <v>181</v>
      </c>
      <c r="M486">
        <v>1995</v>
      </c>
      <c r="N486">
        <v>1995</v>
      </c>
      <c r="O486" s="1">
        <v>44822</v>
      </c>
      <c r="P486" s="1">
        <v>44821</v>
      </c>
      <c r="S486" t="s">
        <v>29</v>
      </c>
      <c r="W486">
        <v>1</v>
      </c>
      <c r="X486">
        <v>0</v>
      </c>
    </row>
    <row r="487" spans="1:24" x14ac:dyDescent="0.25">
      <c r="A487">
        <v>13619</v>
      </c>
      <c r="B487" t="s">
        <v>1065</v>
      </c>
      <c r="C487" t="s">
        <v>831</v>
      </c>
      <c r="D487" t="s">
        <v>832</v>
      </c>
      <c r="E487" t="s">
        <v>1059</v>
      </c>
      <c r="F487" t="str">
        <f>"1421501694"</f>
        <v>1421501694</v>
      </c>
      <c r="G487" t="str">
        <f>"9781421501697"</f>
        <v>9781421501697</v>
      </c>
      <c r="H487">
        <v>5</v>
      </c>
      <c r="I487">
        <v>4.4800000000000004</v>
      </c>
      <c r="J487" t="s">
        <v>27</v>
      </c>
      <c r="K487" t="s">
        <v>28</v>
      </c>
      <c r="L487">
        <v>197</v>
      </c>
      <c r="M487">
        <v>2005</v>
      </c>
      <c r="N487">
        <v>2004</v>
      </c>
      <c r="O487" s="1">
        <v>44822</v>
      </c>
      <c r="P487" s="1">
        <v>44822</v>
      </c>
      <c r="S487" t="s">
        <v>29</v>
      </c>
      <c r="W487">
        <v>1</v>
      </c>
      <c r="X487">
        <v>0</v>
      </c>
    </row>
    <row r="488" spans="1:24" x14ac:dyDescent="0.25">
      <c r="A488">
        <v>13615</v>
      </c>
      <c r="B488" t="s">
        <v>1066</v>
      </c>
      <c r="C488" t="s">
        <v>831</v>
      </c>
      <c r="D488" t="s">
        <v>832</v>
      </c>
      <c r="E488" t="s">
        <v>1059</v>
      </c>
      <c r="F488" t="str">
        <f>"1421501686"</f>
        <v>1421501686</v>
      </c>
      <c r="G488" t="str">
        <f>"9781421501680"</f>
        <v>9781421501680</v>
      </c>
      <c r="H488">
        <v>5</v>
      </c>
      <c r="I488">
        <v>4.46</v>
      </c>
      <c r="J488" t="s">
        <v>27</v>
      </c>
      <c r="K488" t="s">
        <v>28</v>
      </c>
      <c r="L488">
        <v>195</v>
      </c>
      <c r="M488">
        <v>2005</v>
      </c>
      <c r="N488">
        <v>2004</v>
      </c>
      <c r="O488" s="1">
        <v>44822</v>
      </c>
      <c r="P488" s="1">
        <v>44777</v>
      </c>
      <c r="S488" t="s">
        <v>29</v>
      </c>
      <c r="W488">
        <v>1</v>
      </c>
      <c r="X488">
        <v>0</v>
      </c>
    </row>
    <row r="489" spans="1:24" x14ac:dyDescent="0.25">
      <c r="A489">
        <v>17621808</v>
      </c>
      <c r="B489" t="s">
        <v>1067</v>
      </c>
      <c r="C489" t="s">
        <v>137</v>
      </c>
      <c r="D489" t="s">
        <v>138</v>
      </c>
      <c r="F489" t="str">
        <f>"4063120686"</f>
        <v>4063120686</v>
      </c>
      <c r="G489" t="str">
        <f>"9784063120684"</f>
        <v>9784063120684</v>
      </c>
      <c r="H489">
        <v>5</v>
      </c>
      <c r="I489">
        <v>4.29</v>
      </c>
      <c r="J489" t="s">
        <v>139</v>
      </c>
      <c r="K489" t="s">
        <v>28</v>
      </c>
      <c r="L489">
        <v>181</v>
      </c>
      <c r="M489">
        <v>1994</v>
      </c>
      <c r="N489">
        <v>1994</v>
      </c>
      <c r="O489" s="1">
        <v>44821</v>
      </c>
      <c r="P489" s="1">
        <v>44821</v>
      </c>
      <c r="S489" t="s">
        <v>29</v>
      </c>
      <c r="W489">
        <v>1</v>
      </c>
      <c r="X489">
        <v>0</v>
      </c>
    </row>
    <row r="490" spans="1:24" x14ac:dyDescent="0.25">
      <c r="A490">
        <v>17620026</v>
      </c>
      <c r="B490" t="s">
        <v>1068</v>
      </c>
      <c r="C490" t="s">
        <v>137</v>
      </c>
      <c r="D490" t="s">
        <v>138</v>
      </c>
      <c r="F490" t="str">
        <f>"4063120414"</f>
        <v>4063120414</v>
      </c>
      <c r="G490" t="str">
        <f>"9784063120417"</f>
        <v>9784063120417</v>
      </c>
      <c r="H490">
        <v>5</v>
      </c>
      <c r="I490">
        <v>4.33</v>
      </c>
      <c r="J490" t="s">
        <v>139</v>
      </c>
      <c r="K490" t="s">
        <v>28</v>
      </c>
      <c r="L490">
        <v>181</v>
      </c>
      <c r="M490">
        <v>1994</v>
      </c>
      <c r="N490">
        <v>1994</v>
      </c>
      <c r="O490" s="1">
        <v>44821</v>
      </c>
      <c r="P490" s="1">
        <v>44821</v>
      </c>
      <c r="S490" t="s">
        <v>29</v>
      </c>
      <c r="W490">
        <v>1</v>
      </c>
      <c r="X490">
        <v>0</v>
      </c>
    </row>
    <row r="491" spans="1:24" x14ac:dyDescent="0.25">
      <c r="A491">
        <v>17619947</v>
      </c>
      <c r="B491" t="s">
        <v>1069</v>
      </c>
      <c r="C491" t="s">
        <v>137</v>
      </c>
      <c r="D491" t="s">
        <v>138</v>
      </c>
      <c r="F491" t="str">
        <f>"4063120252"</f>
        <v>4063120252</v>
      </c>
      <c r="G491" t="str">
        <f>"9784063120257"</f>
        <v>9784063120257</v>
      </c>
      <c r="H491">
        <v>5</v>
      </c>
      <c r="I491">
        <v>4.3600000000000003</v>
      </c>
      <c r="J491" t="s">
        <v>139</v>
      </c>
      <c r="K491" t="s">
        <v>28</v>
      </c>
      <c r="L491">
        <v>179</v>
      </c>
      <c r="M491">
        <v>1994</v>
      </c>
      <c r="N491">
        <v>1994</v>
      </c>
      <c r="O491" s="1">
        <v>44821</v>
      </c>
      <c r="P491" s="1">
        <v>44821</v>
      </c>
      <c r="S491" t="s">
        <v>29</v>
      </c>
      <c r="W491">
        <v>1</v>
      </c>
      <c r="X491">
        <v>0</v>
      </c>
    </row>
    <row r="492" spans="1:24" x14ac:dyDescent="0.25">
      <c r="A492">
        <v>61038937</v>
      </c>
      <c r="B492" t="s">
        <v>1070</v>
      </c>
      <c r="C492" t="s">
        <v>1071</v>
      </c>
      <c r="D492" t="s">
        <v>1072</v>
      </c>
      <c r="F492" t="str">
        <f>""</f>
        <v/>
      </c>
      <c r="G492" t="str">
        <f>"9786030359332"</f>
        <v>9786030359332</v>
      </c>
      <c r="H492">
        <v>4</v>
      </c>
      <c r="I492">
        <v>4</v>
      </c>
      <c r="J492" t="s">
        <v>1073</v>
      </c>
      <c r="K492" t="s">
        <v>34</v>
      </c>
      <c r="L492">
        <v>672</v>
      </c>
      <c r="M492">
        <v>2021</v>
      </c>
      <c r="O492" s="1">
        <v>44821</v>
      </c>
      <c r="P492" s="1">
        <v>44800</v>
      </c>
      <c r="S492" t="s">
        <v>29</v>
      </c>
      <c r="W492">
        <v>1</v>
      </c>
      <c r="X492">
        <v>0</v>
      </c>
    </row>
    <row r="493" spans="1:24" x14ac:dyDescent="0.25">
      <c r="A493">
        <v>17619767</v>
      </c>
      <c r="B493" t="s">
        <v>1074</v>
      </c>
      <c r="C493" t="s">
        <v>137</v>
      </c>
      <c r="D493" t="s">
        <v>138</v>
      </c>
      <c r="F493" t="str">
        <f>"4063119947"</f>
        <v>4063119947</v>
      </c>
      <c r="G493" t="str">
        <f>"9784063119947"</f>
        <v>9784063119947</v>
      </c>
      <c r="H493">
        <v>5</v>
      </c>
      <c r="I493">
        <v>4.43</v>
      </c>
      <c r="J493" t="s">
        <v>139</v>
      </c>
      <c r="K493" t="s">
        <v>28</v>
      </c>
      <c r="L493">
        <v>179</v>
      </c>
      <c r="M493">
        <v>1994</v>
      </c>
      <c r="N493">
        <v>1994</v>
      </c>
      <c r="O493" s="1">
        <v>44821</v>
      </c>
      <c r="P493" s="1">
        <v>44821</v>
      </c>
      <c r="S493" t="s">
        <v>29</v>
      </c>
      <c r="W493">
        <v>1</v>
      </c>
      <c r="X493">
        <v>0</v>
      </c>
    </row>
    <row r="494" spans="1:24" x14ac:dyDescent="0.25">
      <c r="A494">
        <v>17619737</v>
      </c>
      <c r="B494" t="s">
        <v>1075</v>
      </c>
      <c r="C494" t="s">
        <v>137</v>
      </c>
      <c r="D494" t="s">
        <v>138</v>
      </c>
      <c r="F494" t="str">
        <f>"4063119750"</f>
        <v>4063119750</v>
      </c>
      <c r="G494" t="str">
        <f>"9784063119756"</f>
        <v>9784063119756</v>
      </c>
      <c r="H494">
        <v>5</v>
      </c>
      <c r="I494">
        <v>4.38</v>
      </c>
      <c r="J494" t="s">
        <v>139</v>
      </c>
      <c r="K494" t="s">
        <v>28</v>
      </c>
      <c r="L494">
        <v>179</v>
      </c>
      <c r="M494">
        <v>1994</v>
      </c>
      <c r="N494">
        <v>1994</v>
      </c>
      <c r="O494" s="1">
        <v>44821</v>
      </c>
      <c r="P494" s="1">
        <v>44821</v>
      </c>
      <c r="S494" t="s">
        <v>29</v>
      </c>
      <c r="W494">
        <v>1</v>
      </c>
      <c r="X494">
        <v>0</v>
      </c>
    </row>
    <row r="495" spans="1:24" x14ac:dyDescent="0.25">
      <c r="A495">
        <v>17619728</v>
      </c>
      <c r="B495" t="s">
        <v>1076</v>
      </c>
      <c r="C495" t="s">
        <v>137</v>
      </c>
      <c r="D495" t="s">
        <v>138</v>
      </c>
      <c r="F495" t="str">
        <f>"4063119564"</f>
        <v>4063119564</v>
      </c>
      <c r="G495" t="str">
        <f>"9784063119565"</f>
        <v>9784063119565</v>
      </c>
      <c r="H495">
        <v>5</v>
      </c>
      <c r="I495">
        <v>4.34</v>
      </c>
      <c r="J495" t="s">
        <v>139</v>
      </c>
      <c r="K495" t="s">
        <v>28</v>
      </c>
      <c r="L495">
        <v>181</v>
      </c>
      <c r="M495">
        <v>1993</v>
      </c>
      <c r="N495">
        <v>1993</v>
      </c>
      <c r="O495" s="1">
        <v>44821</v>
      </c>
      <c r="P495" s="1">
        <v>44821</v>
      </c>
      <c r="S495" t="s">
        <v>29</v>
      </c>
      <c r="W495">
        <v>1</v>
      </c>
      <c r="X495">
        <v>0</v>
      </c>
    </row>
    <row r="496" spans="1:24" x14ac:dyDescent="0.25">
      <c r="A496">
        <v>17619087</v>
      </c>
      <c r="B496" t="s">
        <v>1077</v>
      </c>
      <c r="C496" t="s">
        <v>137</v>
      </c>
      <c r="D496" t="s">
        <v>138</v>
      </c>
      <c r="F496" t="str">
        <f>"4063119270"</f>
        <v>4063119270</v>
      </c>
      <c r="G496" t="str">
        <f>"9784063119275"</f>
        <v>9784063119275</v>
      </c>
      <c r="H496">
        <v>5</v>
      </c>
      <c r="I496">
        <v>4.4000000000000004</v>
      </c>
      <c r="J496" t="s">
        <v>139</v>
      </c>
      <c r="K496" t="s">
        <v>28</v>
      </c>
      <c r="L496">
        <v>196</v>
      </c>
      <c r="M496">
        <v>1993</v>
      </c>
      <c r="N496">
        <v>1993</v>
      </c>
      <c r="O496" s="1">
        <v>44821</v>
      </c>
      <c r="P496" s="1">
        <v>44821</v>
      </c>
      <c r="S496" t="s">
        <v>29</v>
      </c>
      <c r="W496">
        <v>1</v>
      </c>
      <c r="X496">
        <v>0</v>
      </c>
    </row>
    <row r="497" spans="1:24" x14ac:dyDescent="0.25">
      <c r="A497">
        <v>17619073</v>
      </c>
      <c r="B497" t="s">
        <v>1078</v>
      </c>
      <c r="C497" t="s">
        <v>137</v>
      </c>
      <c r="D497" t="s">
        <v>138</v>
      </c>
      <c r="F497" t="str">
        <f>"4063119092"</f>
        <v>4063119092</v>
      </c>
      <c r="G497" t="str">
        <f>"9784063119091"</f>
        <v>9784063119091</v>
      </c>
      <c r="H497">
        <v>5</v>
      </c>
      <c r="I497">
        <v>4.28</v>
      </c>
      <c r="J497" t="s">
        <v>139</v>
      </c>
      <c r="K497" t="s">
        <v>28</v>
      </c>
      <c r="L497">
        <v>181</v>
      </c>
      <c r="M497">
        <v>1993</v>
      </c>
      <c r="N497">
        <v>1993</v>
      </c>
      <c r="O497" s="1">
        <v>44821</v>
      </c>
      <c r="P497" s="1">
        <v>44820</v>
      </c>
      <c r="S497" t="s">
        <v>29</v>
      </c>
      <c r="W497">
        <v>1</v>
      </c>
      <c r="X497">
        <v>0</v>
      </c>
    </row>
    <row r="498" spans="1:24" x14ac:dyDescent="0.25">
      <c r="A498">
        <v>17619068</v>
      </c>
      <c r="B498" t="s">
        <v>1079</v>
      </c>
      <c r="C498" t="s">
        <v>137</v>
      </c>
      <c r="D498" t="s">
        <v>138</v>
      </c>
      <c r="F498" t="str">
        <f>"4063118819"</f>
        <v>4063118819</v>
      </c>
      <c r="G498" t="str">
        <f>"9784063118810"</f>
        <v>9784063118810</v>
      </c>
      <c r="H498">
        <v>5</v>
      </c>
      <c r="I498">
        <v>4.3600000000000003</v>
      </c>
      <c r="J498" t="s">
        <v>139</v>
      </c>
      <c r="K498" t="s">
        <v>28</v>
      </c>
      <c r="L498">
        <v>179</v>
      </c>
      <c r="M498">
        <v>1993</v>
      </c>
      <c r="N498">
        <v>1993</v>
      </c>
      <c r="O498" s="1">
        <v>44820</v>
      </c>
      <c r="P498" s="1">
        <v>44820</v>
      </c>
      <c r="S498" t="s">
        <v>29</v>
      </c>
      <c r="W498">
        <v>1</v>
      </c>
      <c r="X498">
        <v>0</v>
      </c>
    </row>
    <row r="499" spans="1:24" x14ac:dyDescent="0.25">
      <c r="A499">
        <v>17619062</v>
      </c>
      <c r="B499" t="s">
        <v>1080</v>
      </c>
      <c r="C499" t="s">
        <v>137</v>
      </c>
      <c r="D499" t="s">
        <v>138</v>
      </c>
      <c r="F499" t="str">
        <f>"4063118517"</f>
        <v>4063118517</v>
      </c>
      <c r="G499" t="str">
        <f>"9784063118513"</f>
        <v>9784063118513</v>
      </c>
      <c r="H499">
        <v>5</v>
      </c>
      <c r="I499">
        <v>4.3099999999999996</v>
      </c>
      <c r="J499" t="s">
        <v>139</v>
      </c>
      <c r="K499" t="s">
        <v>28</v>
      </c>
      <c r="L499">
        <v>181</v>
      </c>
      <c r="M499">
        <v>1992</v>
      </c>
      <c r="N499">
        <v>1992</v>
      </c>
      <c r="O499" s="1">
        <v>44820</v>
      </c>
      <c r="P499" s="1">
        <v>44820</v>
      </c>
      <c r="S499" t="s">
        <v>29</v>
      </c>
      <c r="W499">
        <v>1</v>
      </c>
      <c r="X499">
        <v>0</v>
      </c>
    </row>
    <row r="500" spans="1:24" x14ac:dyDescent="0.25">
      <c r="A500">
        <v>17619050</v>
      </c>
      <c r="B500" t="s">
        <v>1081</v>
      </c>
      <c r="C500" t="s">
        <v>137</v>
      </c>
      <c r="D500" t="s">
        <v>138</v>
      </c>
      <c r="F500" t="str">
        <f>"4063118304"</f>
        <v>4063118304</v>
      </c>
      <c r="G500" t="str">
        <f>"9784063118308"</f>
        <v>9784063118308</v>
      </c>
      <c r="H500">
        <v>5</v>
      </c>
      <c r="I500">
        <v>4.3099999999999996</v>
      </c>
      <c r="J500" t="s">
        <v>139</v>
      </c>
      <c r="K500" t="s">
        <v>28</v>
      </c>
      <c r="L500">
        <v>181</v>
      </c>
      <c r="M500">
        <v>1992</v>
      </c>
      <c r="N500">
        <v>1992</v>
      </c>
      <c r="O500" s="1">
        <v>44820</v>
      </c>
      <c r="P500" s="1">
        <v>44820</v>
      </c>
      <c r="S500" t="s">
        <v>29</v>
      </c>
      <c r="W500">
        <v>1</v>
      </c>
      <c r="X500">
        <v>0</v>
      </c>
    </row>
    <row r="501" spans="1:24" x14ac:dyDescent="0.25">
      <c r="A501">
        <v>17619043</v>
      </c>
      <c r="B501" t="s">
        <v>1082</v>
      </c>
      <c r="C501" t="s">
        <v>137</v>
      </c>
      <c r="D501" t="s">
        <v>138</v>
      </c>
      <c r="F501" t="str">
        <f>"4063118142"</f>
        <v>4063118142</v>
      </c>
      <c r="G501" t="str">
        <f>"9784063118148"</f>
        <v>9784063118148</v>
      </c>
      <c r="H501">
        <v>5</v>
      </c>
      <c r="I501">
        <v>4.33</v>
      </c>
      <c r="J501" t="s">
        <v>139</v>
      </c>
      <c r="K501" t="s">
        <v>28</v>
      </c>
      <c r="L501">
        <v>181</v>
      </c>
      <c r="M501">
        <v>1992</v>
      </c>
      <c r="N501">
        <v>1992</v>
      </c>
      <c r="O501" s="1">
        <v>44820</v>
      </c>
      <c r="P501" s="1">
        <v>44820</v>
      </c>
      <c r="S501" t="s">
        <v>29</v>
      </c>
      <c r="W501">
        <v>1</v>
      </c>
      <c r="X501">
        <v>0</v>
      </c>
    </row>
    <row r="502" spans="1:24" x14ac:dyDescent="0.25">
      <c r="A502">
        <v>17619039</v>
      </c>
      <c r="B502" t="s">
        <v>1083</v>
      </c>
      <c r="C502" t="s">
        <v>137</v>
      </c>
      <c r="D502" t="s">
        <v>138</v>
      </c>
      <c r="F502" t="str">
        <f>"4063117839"</f>
        <v>4063117839</v>
      </c>
      <c r="G502" t="str">
        <f>"9784063117837"</f>
        <v>9784063117837</v>
      </c>
      <c r="H502">
        <v>5</v>
      </c>
      <c r="I502">
        <v>4.29</v>
      </c>
      <c r="J502" t="s">
        <v>139</v>
      </c>
      <c r="K502" t="s">
        <v>28</v>
      </c>
      <c r="L502">
        <v>179</v>
      </c>
      <c r="M502">
        <v>1992</v>
      </c>
      <c r="N502">
        <v>1992</v>
      </c>
      <c r="O502" s="1">
        <v>44820</v>
      </c>
      <c r="P502" s="1">
        <v>44820</v>
      </c>
      <c r="S502" t="s">
        <v>29</v>
      </c>
      <c r="W502">
        <v>1</v>
      </c>
      <c r="X502">
        <v>0</v>
      </c>
    </row>
    <row r="503" spans="1:24" x14ac:dyDescent="0.25">
      <c r="A503">
        <v>17619036</v>
      </c>
      <c r="B503" t="s">
        <v>1084</v>
      </c>
      <c r="C503" t="s">
        <v>137</v>
      </c>
      <c r="D503" t="s">
        <v>138</v>
      </c>
      <c r="F503" t="str">
        <f>"4063117545"</f>
        <v>4063117545</v>
      </c>
      <c r="G503" t="str">
        <f>"9784063117547"</f>
        <v>9784063117547</v>
      </c>
      <c r="H503">
        <v>5</v>
      </c>
      <c r="I503">
        <v>4.3499999999999996</v>
      </c>
      <c r="J503" t="s">
        <v>139</v>
      </c>
      <c r="K503" t="s">
        <v>28</v>
      </c>
      <c r="L503">
        <v>176</v>
      </c>
      <c r="M503">
        <v>1992</v>
      </c>
      <c r="N503">
        <v>1992</v>
      </c>
      <c r="O503" s="1">
        <v>44820</v>
      </c>
      <c r="P503" s="1">
        <v>44820</v>
      </c>
      <c r="S503" t="s">
        <v>29</v>
      </c>
      <c r="W503">
        <v>1</v>
      </c>
      <c r="X503">
        <v>0</v>
      </c>
    </row>
    <row r="504" spans="1:24" x14ac:dyDescent="0.25">
      <c r="A504">
        <v>17619011</v>
      </c>
      <c r="B504" t="s">
        <v>1085</v>
      </c>
      <c r="C504" t="s">
        <v>137</v>
      </c>
      <c r="D504" t="s">
        <v>138</v>
      </c>
      <c r="F504" t="str">
        <f>"4063117308"</f>
        <v>4063117308</v>
      </c>
      <c r="G504" t="str">
        <f>"9784063117301"</f>
        <v>9784063117301</v>
      </c>
      <c r="H504">
        <v>4</v>
      </c>
      <c r="I504">
        <v>4.33</v>
      </c>
      <c r="J504" t="s">
        <v>139</v>
      </c>
      <c r="K504" t="s">
        <v>28</v>
      </c>
      <c r="L504">
        <v>179</v>
      </c>
      <c r="M504">
        <v>1991</v>
      </c>
      <c r="N504">
        <v>1991</v>
      </c>
      <c r="O504" s="1">
        <v>44820</v>
      </c>
      <c r="P504" s="1">
        <v>44820</v>
      </c>
      <c r="S504" t="s">
        <v>29</v>
      </c>
      <c r="W504">
        <v>1</v>
      </c>
      <c r="X504">
        <v>0</v>
      </c>
    </row>
    <row r="505" spans="1:24" x14ac:dyDescent="0.25">
      <c r="A505">
        <v>17618993</v>
      </c>
      <c r="B505" t="s">
        <v>1086</v>
      </c>
      <c r="C505" t="s">
        <v>137</v>
      </c>
      <c r="D505" t="s">
        <v>138</v>
      </c>
      <c r="F505" t="str">
        <f>"4063117081"</f>
        <v>4063117081</v>
      </c>
      <c r="G505" t="str">
        <f>"9784063117080"</f>
        <v>9784063117080</v>
      </c>
      <c r="H505">
        <v>5</v>
      </c>
      <c r="I505">
        <v>4.4000000000000004</v>
      </c>
      <c r="J505" t="s">
        <v>139</v>
      </c>
      <c r="K505" t="s">
        <v>28</v>
      </c>
      <c r="L505">
        <v>181</v>
      </c>
      <c r="M505">
        <v>1991</v>
      </c>
      <c r="N505">
        <v>1991</v>
      </c>
      <c r="O505" s="1">
        <v>44820</v>
      </c>
      <c r="P505" s="1">
        <v>44820</v>
      </c>
      <c r="S505" t="s">
        <v>29</v>
      </c>
      <c r="W505">
        <v>1</v>
      </c>
      <c r="X505">
        <v>0</v>
      </c>
    </row>
    <row r="506" spans="1:24" x14ac:dyDescent="0.25">
      <c r="A506">
        <v>11654033</v>
      </c>
      <c r="B506" t="s">
        <v>1087</v>
      </c>
      <c r="C506" t="s">
        <v>137</v>
      </c>
      <c r="D506" t="s">
        <v>138</v>
      </c>
      <c r="F506" t="str">
        <f>"4063116905"</f>
        <v>4063116905</v>
      </c>
      <c r="G506" t="str">
        <f>"9784063116908"</f>
        <v>9784063116908</v>
      </c>
      <c r="H506">
        <v>5</v>
      </c>
      <c r="I506">
        <v>4.3499999999999996</v>
      </c>
      <c r="J506" t="s">
        <v>827</v>
      </c>
      <c r="K506" t="s">
        <v>28</v>
      </c>
      <c r="L506">
        <v>180</v>
      </c>
      <c r="M506">
        <v>1991</v>
      </c>
      <c r="N506">
        <v>1991</v>
      </c>
      <c r="O506" s="1">
        <v>44820</v>
      </c>
      <c r="P506" s="1">
        <v>44820</v>
      </c>
      <c r="S506" t="s">
        <v>29</v>
      </c>
      <c r="W506">
        <v>1</v>
      </c>
      <c r="X506">
        <v>0</v>
      </c>
    </row>
    <row r="507" spans="1:24" x14ac:dyDescent="0.25">
      <c r="A507">
        <v>12409602</v>
      </c>
      <c r="B507" t="s">
        <v>1088</v>
      </c>
      <c r="C507" t="s">
        <v>137</v>
      </c>
      <c r="D507" t="s">
        <v>138</v>
      </c>
      <c r="F507" t="str">
        <f>"4063116581"</f>
        <v>4063116581</v>
      </c>
      <c r="G507" t="str">
        <f>"9784063116588"</f>
        <v>9784063116588</v>
      </c>
      <c r="H507">
        <v>5</v>
      </c>
      <c r="I507">
        <v>4.3899999999999997</v>
      </c>
      <c r="J507" t="s">
        <v>827</v>
      </c>
      <c r="K507" t="s">
        <v>28</v>
      </c>
      <c r="L507">
        <v>180</v>
      </c>
      <c r="M507">
        <v>1991</v>
      </c>
      <c r="N507">
        <v>1991</v>
      </c>
      <c r="O507" s="1">
        <v>44820</v>
      </c>
      <c r="P507" s="1">
        <v>44820</v>
      </c>
      <c r="S507" t="s">
        <v>29</v>
      </c>
      <c r="W507">
        <v>1</v>
      </c>
      <c r="X507">
        <v>0</v>
      </c>
    </row>
    <row r="508" spans="1:24" x14ac:dyDescent="0.25">
      <c r="A508">
        <v>11538693</v>
      </c>
      <c r="B508" t="s">
        <v>1089</v>
      </c>
      <c r="C508" t="s">
        <v>137</v>
      </c>
      <c r="D508" t="s">
        <v>138</v>
      </c>
      <c r="F508" t="str">
        <f>"4063116417"</f>
        <v>4063116417</v>
      </c>
      <c r="G508" t="str">
        <f>"9784063116410"</f>
        <v>9784063116410</v>
      </c>
      <c r="H508">
        <v>5</v>
      </c>
      <c r="I508">
        <v>4.3600000000000003</v>
      </c>
      <c r="J508" t="s">
        <v>827</v>
      </c>
      <c r="K508" t="s">
        <v>28</v>
      </c>
      <c r="L508">
        <v>184</v>
      </c>
      <c r="M508">
        <v>1991</v>
      </c>
      <c r="N508">
        <v>1990</v>
      </c>
      <c r="O508" s="1">
        <v>44820</v>
      </c>
      <c r="P508" s="1">
        <v>44820</v>
      </c>
      <c r="S508" t="s">
        <v>29</v>
      </c>
      <c r="W508">
        <v>1</v>
      </c>
      <c r="X508">
        <v>0</v>
      </c>
    </row>
    <row r="509" spans="1:24" x14ac:dyDescent="0.25">
      <c r="A509">
        <v>9995636</v>
      </c>
      <c r="B509" t="s">
        <v>1090</v>
      </c>
      <c r="C509" t="s">
        <v>137</v>
      </c>
      <c r="D509" t="s">
        <v>138</v>
      </c>
      <c r="F509" t="str">
        <f>"4063116255"</f>
        <v>4063116255</v>
      </c>
      <c r="G509" t="str">
        <f>"9784063116250"</f>
        <v>9784063116250</v>
      </c>
      <c r="H509">
        <v>5</v>
      </c>
      <c r="I509">
        <v>4.3600000000000003</v>
      </c>
      <c r="J509" t="s">
        <v>827</v>
      </c>
      <c r="K509" t="s">
        <v>28</v>
      </c>
      <c r="L509">
        <v>179</v>
      </c>
      <c r="M509">
        <v>1990</v>
      </c>
      <c r="N509">
        <v>1990</v>
      </c>
      <c r="O509" s="1">
        <v>44820</v>
      </c>
      <c r="P509" s="1">
        <v>44820</v>
      </c>
      <c r="S509" t="s">
        <v>29</v>
      </c>
      <c r="W509">
        <v>1</v>
      </c>
      <c r="X509">
        <v>0</v>
      </c>
    </row>
    <row r="510" spans="1:24" x14ac:dyDescent="0.25">
      <c r="A510">
        <v>9982905</v>
      </c>
      <c r="B510" t="s">
        <v>1091</v>
      </c>
      <c r="C510" t="s">
        <v>137</v>
      </c>
      <c r="D510" t="s">
        <v>138</v>
      </c>
      <c r="F510" t="str">
        <f>"4063116085"</f>
        <v>4063116085</v>
      </c>
      <c r="G510" t="str">
        <f>"9784063116083"</f>
        <v>9784063116083</v>
      </c>
      <c r="H510">
        <v>5</v>
      </c>
      <c r="I510">
        <v>4.34</v>
      </c>
      <c r="J510" t="s">
        <v>827</v>
      </c>
      <c r="K510" t="s">
        <v>28</v>
      </c>
      <c r="L510">
        <v>184</v>
      </c>
      <c r="M510">
        <v>1990</v>
      </c>
      <c r="N510">
        <v>1990</v>
      </c>
      <c r="O510" s="1">
        <v>44820</v>
      </c>
      <c r="P510" s="1">
        <v>44820</v>
      </c>
      <c r="S510" t="s">
        <v>29</v>
      </c>
      <c r="W510">
        <v>1</v>
      </c>
      <c r="X510">
        <v>0</v>
      </c>
    </row>
    <row r="511" spans="1:24" x14ac:dyDescent="0.25">
      <c r="A511">
        <v>9888932</v>
      </c>
      <c r="B511" t="s">
        <v>1092</v>
      </c>
      <c r="C511" t="s">
        <v>137</v>
      </c>
      <c r="D511" t="s">
        <v>138</v>
      </c>
      <c r="F511" t="str">
        <f>"4063115917"</f>
        <v>4063115917</v>
      </c>
      <c r="G511" t="str">
        <f>"9784063115918"</f>
        <v>9784063115918</v>
      </c>
      <c r="H511">
        <v>5</v>
      </c>
      <c r="I511">
        <v>4.33</v>
      </c>
      <c r="J511" t="s">
        <v>827</v>
      </c>
      <c r="K511" t="s">
        <v>28</v>
      </c>
      <c r="L511">
        <v>188</v>
      </c>
      <c r="M511">
        <v>1990</v>
      </c>
      <c r="N511">
        <v>1990</v>
      </c>
      <c r="O511" s="1">
        <v>44820</v>
      </c>
      <c r="P511" s="1">
        <v>44820</v>
      </c>
      <c r="S511" t="s">
        <v>29</v>
      </c>
      <c r="W511">
        <v>1</v>
      </c>
      <c r="X511">
        <v>0</v>
      </c>
    </row>
    <row r="512" spans="1:24" x14ac:dyDescent="0.25">
      <c r="A512">
        <v>11644684</v>
      </c>
      <c r="B512" t="s">
        <v>1093</v>
      </c>
      <c r="C512" t="s">
        <v>137</v>
      </c>
      <c r="D512" t="s">
        <v>138</v>
      </c>
      <c r="F512" t="str">
        <f>"4063115666"</f>
        <v>4063115666</v>
      </c>
      <c r="G512" t="str">
        <f>"9784063115666"</f>
        <v>9784063115666</v>
      </c>
      <c r="H512">
        <v>5</v>
      </c>
      <c r="I512">
        <v>4.4000000000000004</v>
      </c>
      <c r="J512" t="s">
        <v>827</v>
      </c>
      <c r="K512" t="s">
        <v>28</v>
      </c>
      <c r="L512">
        <v>182</v>
      </c>
      <c r="M512">
        <v>1990</v>
      </c>
      <c r="N512">
        <v>1990</v>
      </c>
      <c r="O512" s="1">
        <v>44820</v>
      </c>
      <c r="P512" s="1">
        <v>44819</v>
      </c>
      <c r="S512" t="s">
        <v>29</v>
      </c>
      <c r="W512">
        <v>1</v>
      </c>
      <c r="X512">
        <v>0</v>
      </c>
    </row>
    <row r="513" spans="1:24" x14ac:dyDescent="0.25">
      <c r="A513">
        <v>6350389</v>
      </c>
      <c r="B513" t="s">
        <v>1094</v>
      </c>
      <c r="C513" t="s">
        <v>137</v>
      </c>
      <c r="D513" t="s">
        <v>138</v>
      </c>
      <c r="F513" t="str">
        <f>"4063115437"</f>
        <v>4063115437</v>
      </c>
      <c r="G513" t="str">
        <f>"9784063115437"</f>
        <v>9784063115437</v>
      </c>
      <c r="H513">
        <v>5</v>
      </c>
      <c r="I513">
        <v>4.41</v>
      </c>
      <c r="J513" t="s">
        <v>139</v>
      </c>
      <c r="K513" t="s">
        <v>28</v>
      </c>
      <c r="L513">
        <v>179</v>
      </c>
      <c r="M513">
        <v>1990</v>
      </c>
      <c r="N513">
        <v>1990</v>
      </c>
      <c r="O513" s="1">
        <v>44819</v>
      </c>
      <c r="P513" s="1">
        <v>44819</v>
      </c>
      <c r="S513" t="s">
        <v>29</v>
      </c>
      <c r="W513">
        <v>1</v>
      </c>
      <c r="X513">
        <v>0</v>
      </c>
    </row>
    <row r="514" spans="1:24" x14ac:dyDescent="0.25">
      <c r="A514">
        <v>3808017</v>
      </c>
      <c r="B514" t="s">
        <v>1095</v>
      </c>
      <c r="C514" t="s">
        <v>137</v>
      </c>
      <c r="D514" t="s">
        <v>138</v>
      </c>
      <c r="F514" t="str">
        <f>""</f>
        <v/>
      </c>
      <c r="G514" t="str">
        <f>"9789792707502"</f>
        <v>9789792707502</v>
      </c>
      <c r="H514">
        <v>5</v>
      </c>
      <c r="I514">
        <v>4.3600000000000003</v>
      </c>
      <c r="J514" t="s">
        <v>1096</v>
      </c>
      <c r="L514">
        <v>186</v>
      </c>
      <c r="M514">
        <v>2008</v>
      </c>
      <c r="N514">
        <v>1990</v>
      </c>
      <c r="O514" s="1">
        <v>44819</v>
      </c>
      <c r="P514" s="1">
        <v>44819</v>
      </c>
      <c r="S514" t="s">
        <v>29</v>
      </c>
      <c r="W514">
        <v>1</v>
      </c>
      <c r="X514">
        <v>0</v>
      </c>
    </row>
    <row r="515" spans="1:24" x14ac:dyDescent="0.25">
      <c r="A515">
        <v>33187817</v>
      </c>
      <c r="B515" t="s">
        <v>1097</v>
      </c>
      <c r="C515" t="s">
        <v>1098</v>
      </c>
      <c r="D515" t="s">
        <v>1099</v>
      </c>
      <c r="E515" t="s">
        <v>1100</v>
      </c>
      <c r="F515" t="str">
        <f>"2818940397"</f>
        <v>2818940397</v>
      </c>
      <c r="G515" t="str">
        <f>"9782818940396"</f>
        <v>9782818940396</v>
      </c>
      <c r="H515">
        <v>1</v>
      </c>
      <c r="I515">
        <v>3.1</v>
      </c>
      <c r="J515" t="s">
        <v>1101</v>
      </c>
      <c r="K515" t="s">
        <v>28</v>
      </c>
      <c r="L515">
        <v>192</v>
      </c>
      <c r="M515">
        <v>2016</v>
      </c>
      <c r="O515" s="1">
        <v>44818</v>
      </c>
      <c r="P515" s="1">
        <v>44818</v>
      </c>
      <c r="S515" t="s">
        <v>29</v>
      </c>
      <c r="W515">
        <v>1</v>
      </c>
      <c r="X515">
        <v>0</v>
      </c>
    </row>
    <row r="516" spans="1:24" x14ac:dyDescent="0.25">
      <c r="A516">
        <v>29098934</v>
      </c>
      <c r="B516" t="s">
        <v>1102</v>
      </c>
      <c r="C516" t="s">
        <v>1098</v>
      </c>
      <c r="D516" t="s">
        <v>1099</v>
      </c>
      <c r="F516" t="str">
        <f>""</f>
        <v/>
      </c>
      <c r="G516" t="str">
        <f>""</f>
        <v/>
      </c>
      <c r="H516">
        <v>1</v>
      </c>
      <c r="I516">
        <v>3.55</v>
      </c>
      <c r="J516" t="s">
        <v>1103</v>
      </c>
      <c r="K516" t="s">
        <v>133</v>
      </c>
      <c r="M516">
        <v>2015</v>
      </c>
      <c r="O516" s="1">
        <v>44818</v>
      </c>
      <c r="P516" s="1">
        <v>44818</v>
      </c>
      <c r="S516" t="s">
        <v>29</v>
      </c>
      <c r="W516">
        <v>1</v>
      </c>
      <c r="X516">
        <v>0</v>
      </c>
    </row>
    <row r="517" spans="1:24" x14ac:dyDescent="0.25">
      <c r="A517">
        <v>29098920</v>
      </c>
      <c r="B517" t="s">
        <v>1104</v>
      </c>
      <c r="C517" t="s">
        <v>1098</v>
      </c>
      <c r="D517" t="s">
        <v>1099</v>
      </c>
      <c r="F517" t="str">
        <f>""</f>
        <v/>
      </c>
      <c r="G517" t="str">
        <f>""</f>
        <v/>
      </c>
      <c r="H517">
        <v>2</v>
      </c>
      <c r="I517">
        <v>3.79</v>
      </c>
      <c r="J517" t="s">
        <v>1103</v>
      </c>
      <c r="K517" t="s">
        <v>133</v>
      </c>
      <c r="M517">
        <v>2015</v>
      </c>
      <c r="O517" s="1">
        <v>44818</v>
      </c>
      <c r="P517" s="1">
        <v>44818</v>
      </c>
      <c r="S517" t="s">
        <v>29</v>
      </c>
      <c r="W517">
        <v>1</v>
      </c>
      <c r="X517">
        <v>0</v>
      </c>
    </row>
    <row r="518" spans="1:24" x14ac:dyDescent="0.25">
      <c r="A518">
        <v>29098896</v>
      </c>
      <c r="B518" t="s">
        <v>1105</v>
      </c>
      <c r="C518" t="s">
        <v>1098</v>
      </c>
      <c r="D518" t="s">
        <v>1099</v>
      </c>
      <c r="F518" t="str">
        <f>""</f>
        <v/>
      </c>
      <c r="G518" t="str">
        <f>""</f>
        <v/>
      </c>
      <c r="H518">
        <v>2</v>
      </c>
      <c r="I518">
        <v>3.65</v>
      </c>
      <c r="J518" t="s">
        <v>1103</v>
      </c>
      <c r="K518" t="s">
        <v>133</v>
      </c>
      <c r="M518">
        <v>2014</v>
      </c>
      <c r="N518">
        <v>2014</v>
      </c>
      <c r="O518" s="1">
        <v>44818</v>
      </c>
      <c r="P518" s="1">
        <v>44818</v>
      </c>
      <c r="S518" t="s">
        <v>29</v>
      </c>
      <c r="W518">
        <v>1</v>
      </c>
      <c r="X518">
        <v>0</v>
      </c>
    </row>
    <row r="519" spans="1:24" x14ac:dyDescent="0.25">
      <c r="A519">
        <v>22736746</v>
      </c>
      <c r="B519" t="s">
        <v>1106</v>
      </c>
      <c r="C519" t="s">
        <v>1098</v>
      </c>
      <c r="D519" t="s">
        <v>1099</v>
      </c>
      <c r="F519" t="str">
        <f>"4785953187"</f>
        <v>4785953187</v>
      </c>
      <c r="G519" t="str">
        <f>"9784785953188"</f>
        <v>9784785953188</v>
      </c>
      <c r="H519">
        <v>4</v>
      </c>
      <c r="I519">
        <v>3.9</v>
      </c>
      <c r="J519" t="s">
        <v>1103</v>
      </c>
      <c r="K519" t="s">
        <v>28</v>
      </c>
      <c r="L519">
        <v>174</v>
      </c>
      <c r="M519">
        <v>2014</v>
      </c>
      <c r="N519">
        <v>2014</v>
      </c>
      <c r="O519" s="1">
        <v>44818</v>
      </c>
      <c r="P519" s="1">
        <v>44818</v>
      </c>
      <c r="S519" t="s">
        <v>29</v>
      </c>
      <c r="W519">
        <v>1</v>
      </c>
      <c r="X519">
        <v>0</v>
      </c>
    </row>
    <row r="520" spans="1:24" x14ac:dyDescent="0.25">
      <c r="A520">
        <v>22736553</v>
      </c>
      <c r="B520" t="s">
        <v>1107</v>
      </c>
      <c r="C520" t="s">
        <v>1098</v>
      </c>
      <c r="D520" t="s">
        <v>1099</v>
      </c>
      <c r="F520" t="str">
        <f>"4785951710"</f>
        <v>4785951710</v>
      </c>
      <c r="G520" t="str">
        <f>"9784785951719"</f>
        <v>9784785951719</v>
      </c>
      <c r="H520">
        <v>3</v>
      </c>
      <c r="I520">
        <v>3.86</v>
      </c>
      <c r="J520" t="s">
        <v>1103</v>
      </c>
      <c r="K520" t="s">
        <v>28</v>
      </c>
      <c r="L520">
        <v>203</v>
      </c>
      <c r="M520">
        <v>2013</v>
      </c>
      <c r="N520">
        <v>2013</v>
      </c>
      <c r="O520" s="1">
        <v>44818</v>
      </c>
      <c r="P520" s="1">
        <v>44818</v>
      </c>
      <c r="S520" t="s">
        <v>29</v>
      </c>
      <c r="W520">
        <v>1</v>
      </c>
      <c r="X520">
        <v>0</v>
      </c>
    </row>
    <row r="521" spans="1:24" x14ac:dyDescent="0.25">
      <c r="A521">
        <v>18351831</v>
      </c>
      <c r="B521" t="s">
        <v>1108</v>
      </c>
      <c r="C521" t="s">
        <v>1098</v>
      </c>
      <c r="D521" t="s">
        <v>1099</v>
      </c>
      <c r="F521" t="str">
        <f>"478595082X"</f>
        <v>478595082X</v>
      </c>
      <c r="G521" t="str">
        <f>"9784785950828"</f>
        <v>9784785950828</v>
      </c>
      <c r="H521">
        <v>3</v>
      </c>
      <c r="I521">
        <v>3.87</v>
      </c>
      <c r="J521" t="s">
        <v>1103</v>
      </c>
      <c r="K521" t="s">
        <v>28</v>
      </c>
      <c r="L521">
        <v>204</v>
      </c>
      <c r="M521">
        <v>2013</v>
      </c>
      <c r="N521">
        <v>2013</v>
      </c>
      <c r="O521" s="1">
        <v>44818</v>
      </c>
      <c r="P521" s="1">
        <v>44818</v>
      </c>
      <c r="S521" t="s">
        <v>29</v>
      </c>
      <c r="W521">
        <v>1</v>
      </c>
      <c r="X521">
        <v>0</v>
      </c>
    </row>
    <row r="522" spans="1:24" x14ac:dyDescent="0.25">
      <c r="A522">
        <v>18351397</v>
      </c>
      <c r="B522" t="s">
        <v>1109</v>
      </c>
      <c r="C522" t="s">
        <v>1098</v>
      </c>
      <c r="D522" t="s">
        <v>1099</v>
      </c>
      <c r="F522" t="str">
        <f>"4785950056"</f>
        <v>4785950056</v>
      </c>
      <c r="G522" t="str">
        <f>"9784785950057"</f>
        <v>9784785950057</v>
      </c>
      <c r="H522">
        <v>2</v>
      </c>
      <c r="I522">
        <v>3.9</v>
      </c>
      <c r="J522" t="s">
        <v>1103</v>
      </c>
      <c r="K522" t="s">
        <v>28</v>
      </c>
      <c r="L522">
        <v>192</v>
      </c>
      <c r="M522">
        <v>2013</v>
      </c>
      <c r="N522">
        <v>2013</v>
      </c>
      <c r="O522" s="1">
        <v>44818</v>
      </c>
      <c r="P522" s="1">
        <v>44818</v>
      </c>
      <c r="S522" t="s">
        <v>29</v>
      </c>
      <c r="W522">
        <v>1</v>
      </c>
      <c r="X522">
        <v>0</v>
      </c>
    </row>
    <row r="523" spans="1:24" x14ac:dyDescent="0.25">
      <c r="A523">
        <v>17204209</v>
      </c>
      <c r="B523" t="s">
        <v>1110</v>
      </c>
      <c r="C523" t="s">
        <v>1098</v>
      </c>
      <c r="D523" t="s">
        <v>1099</v>
      </c>
      <c r="F523" t="str">
        <f>"4785939699"</f>
        <v>4785939699</v>
      </c>
      <c r="G523" t="str">
        <f>"9784785939694"</f>
        <v>9784785939694</v>
      </c>
      <c r="H523">
        <v>2</v>
      </c>
      <c r="I523">
        <v>3.94</v>
      </c>
      <c r="J523" t="s">
        <v>1103</v>
      </c>
      <c r="K523" t="s">
        <v>28</v>
      </c>
      <c r="L523">
        <v>190</v>
      </c>
      <c r="M523">
        <v>2012</v>
      </c>
      <c r="N523">
        <v>2012</v>
      </c>
      <c r="O523" s="1">
        <v>44818</v>
      </c>
      <c r="P523" s="1">
        <v>44818</v>
      </c>
      <c r="S523" t="s">
        <v>29</v>
      </c>
      <c r="W523">
        <v>1</v>
      </c>
      <c r="X523">
        <v>0</v>
      </c>
    </row>
    <row r="524" spans="1:24" x14ac:dyDescent="0.25">
      <c r="A524">
        <v>15982198</v>
      </c>
      <c r="B524" t="s">
        <v>1111</v>
      </c>
      <c r="C524" t="s">
        <v>1098</v>
      </c>
      <c r="D524" t="s">
        <v>1099</v>
      </c>
      <c r="F524" t="str">
        <f>"4785939060"</f>
        <v>4785939060</v>
      </c>
      <c r="G524" t="str">
        <f>"9784785939069"</f>
        <v>9784785939069</v>
      </c>
      <c r="H524">
        <v>3</v>
      </c>
      <c r="I524">
        <v>3.97</v>
      </c>
      <c r="J524" t="s">
        <v>1103</v>
      </c>
      <c r="K524" t="s">
        <v>28</v>
      </c>
      <c r="L524">
        <v>175</v>
      </c>
      <c r="M524">
        <v>2012</v>
      </c>
      <c r="N524">
        <v>2012</v>
      </c>
      <c r="O524" s="1">
        <v>44818</v>
      </c>
      <c r="P524" s="1">
        <v>44818</v>
      </c>
      <c r="S524" t="s">
        <v>29</v>
      </c>
      <c r="W524">
        <v>1</v>
      </c>
      <c r="X524">
        <v>0</v>
      </c>
    </row>
    <row r="525" spans="1:24" x14ac:dyDescent="0.25">
      <c r="A525">
        <v>15982197</v>
      </c>
      <c r="B525" t="s">
        <v>1112</v>
      </c>
      <c r="C525" t="s">
        <v>1098</v>
      </c>
      <c r="D525" t="s">
        <v>1099</v>
      </c>
      <c r="F525" t="str">
        <f>"4785938285"</f>
        <v>4785938285</v>
      </c>
      <c r="G525" t="str">
        <f>"9784785938284"</f>
        <v>9784785938284</v>
      </c>
      <c r="H525">
        <v>2</v>
      </c>
      <c r="I525">
        <v>3.95</v>
      </c>
      <c r="J525" t="s">
        <v>1103</v>
      </c>
      <c r="K525" t="s">
        <v>28</v>
      </c>
      <c r="L525">
        <v>198</v>
      </c>
      <c r="M525">
        <v>2012</v>
      </c>
      <c r="N525">
        <v>2012</v>
      </c>
      <c r="O525" s="1">
        <v>44818</v>
      </c>
      <c r="P525" s="1">
        <v>44818</v>
      </c>
      <c r="S525" t="s">
        <v>29</v>
      </c>
      <c r="W525">
        <v>1</v>
      </c>
      <c r="X525">
        <v>0</v>
      </c>
    </row>
    <row r="526" spans="1:24" x14ac:dyDescent="0.25">
      <c r="A526">
        <v>15737310</v>
      </c>
      <c r="B526" t="s">
        <v>1113</v>
      </c>
      <c r="C526" t="s">
        <v>1098</v>
      </c>
      <c r="D526" t="s">
        <v>1099</v>
      </c>
      <c r="F526" t="str">
        <f>"4785937416"</f>
        <v>4785937416</v>
      </c>
      <c r="G526" t="str">
        <f>"9784785937416"</f>
        <v>9784785937416</v>
      </c>
      <c r="H526">
        <v>2</v>
      </c>
      <c r="I526">
        <v>3.93</v>
      </c>
      <c r="J526" t="s">
        <v>1103</v>
      </c>
      <c r="K526" t="s">
        <v>28</v>
      </c>
      <c r="L526">
        <v>200</v>
      </c>
      <c r="M526">
        <v>2011</v>
      </c>
      <c r="N526">
        <v>2011</v>
      </c>
      <c r="O526" s="1">
        <v>44818</v>
      </c>
      <c r="P526" s="1">
        <v>44818</v>
      </c>
      <c r="S526" t="s">
        <v>29</v>
      </c>
      <c r="W526">
        <v>1</v>
      </c>
      <c r="X526">
        <v>0</v>
      </c>
    </row>
    <row r="527" spans="1:24" x14ac:dyDescent="0.25">
      <c r="A527">
        <v>13607415</v>
      </c>
      <c r="B527" t="s">
        <v>1114</v>
      </c>
      <c r="C527" t="s">
        <v>1098</v>
      </c>
      <c r="D527" t="s">
        <v>1099</v>
      </c>
      <c r="F527" t="str">
        <f>"4785936819"</f>
        <v>4785936819</v>
      </c>
      <c r="G527" t="str">
        <f>"9784785936815"</f>
        <v>9784785936815</v>
      </c>
      <c r="H527">
        <v>1</v>
      </c>
      <c r="I527">
        <v>3.86</v>
      </c>
      <c r="J527" t="s">
        <v>1103</v>
      </c>
      <c r="K527" t="s">
        <v>28</v>
      </c>
      <c r="L527">
        <v>198</v>
      </c>
      <c r="M527">
        <v>2011</v>
      </c>
      <c r="N527">
        <v>2011</v>
      </c>
      <c r="O527" s="1">
        <v>44818</v>
      </c>
      <c r="P527" s="1">
        <v>44817</v>
      </c>
      <c r="S527" t="s">
        <v>29</v>
      </c>
      <c r="W527">
        <v>1</v>
      </c>
      <c r="X527">
        <v>0</v>
      </c>
    </row>
    <row r="528" spans="1:24" x14ac:dyDescent="0.25">
      <c r="A528">
        <v>15983547</v>
      </c>
      <c r="B528" t="s">
        <v>1115</v>
      </c>
      <c r="C528" t="s">
        <v>1098</v>
      </c>
      <c r="D528" t="s">
        <v>1099</v>
      </c>
      <c r="F528" t="str">
        <f>"4785936029"</f>
        <v>4785936029</v>
      </c>
      <c r="G528" t="str">
        <f>"9784785936020"</f>
        <v>9784785936020</v>
      </c>
      <c r="H528">
        <v>1</v>
      </c>
      <c r="I528">
        <v>3.93</v>
      </c>
      <c r="J528" t="s">
        <v>1103</v>
      </c>
      <c r="K528" t="s">
        <v>28</v>
      </c>
      <c r="L528">
        <v>194</v>
      </c>
      <c r="M528">
        <v>2011</v>
      </c>
      <c r="N528">
        <v>2011</v>
      </c>
      <c r="O528" s="1">
        <v>44817</v>
      </c>
      <c r="P528" s="1">
        <v>44817</v>
      </c>
      <c r="S528" t="s">
        <v>29</v>
      </c>
      <c r="W528">
        <v>1</v>
      </c>
      <c r="X528">
        <v>0</v>
      </c>
    </row>
    <row r="529" spans="1:24" x14ac:dyDescent="0.25">
      <c r="A529">
        <v>12220837</v>
      </c>
      <c r="B529" t="s">
        <v>1116</v>
      </c>
      <c r="C529" t="s">
        <v>1098</v>
      </c>
      <c r="D529" t="s">
        <v>1099</v>
      </c>
      <c r="E529" t="s">
        <v>1100</v>
      </c>
      <c r="F529" t="str">
        <f>"2818905974"</f>
        <v>2818905974</v>
      </c>
      <c r="G529" t="str">
        <f>"9782818905975"</f>
        <v>9782818905975</v>
      </c>
      <c r="H529">
        <v>3</v>
      </c>
      <c r="I529">
        <v>4.09</v>
      </c>
      <c r="J529" t="s">
        <v>1101</v>
      </c>
      <c r="K529" t="s">
        <v>28</v>
      </c>
      <c r="L529">
        <v>192</v>
      </c>
      <c r="M529">
        <v>2011</v>
      </c>
      <c r="N529">
        <v>2011</v>
      </c>
      <c r="O529" s="1">
        <v>44817</v>
      </c>
      <c r="P529" s="1">
        <v>44817</v>
      </c>
      <c r="S529" t="s">
        <v>29</v>
      </c>
      <c r="W529">
        <v>1</v>
      </c>
      <c r="X529">
        <v>0</v>
      </c>
    </row>
    <row r="530" spans="1:24" x14ac:dyDescent="0.25">
      <c r="A530">
        <v>10838022</v>
      </c>
      <c r="B530" t="s">
        <v>1117</v>
      </c>
      <c r="C530" t="s">
        <v>1098</v>
      </c>
      <c r="D530" t="s">
        <v>1099</v>
      </c>
      <c r="E530" t="s">
        <v>1100</v>
      </c>
      <c r="F530" t="str">
        <f>"2818902649"</f>
        <v>2818902649</v>
      </c>
      <c r="G530" t="str">
        <f>"9782818902646"</f>
        <v>9782818902646</v>
      </c>
      <c r="H530">
        <v>2</v>
      </c>
      <c r="I530">
        <v>3.82</v>
      </c>
      <c r="J530" t="s">
        <v>1101</v>
      </c>
      <c r="K530" t="s">
        <v>28</v>
      </c>
      <c r="L530">
        <v>192</v>
      </c>
      <c r="M530">
        <v>2011</v>
      </c>
      <c r="N530">
        <v>2010</v>
      </c>
      <c r="O530" s="1">
        <v>44817</v>
      </c>
      <c r="P530" s="1">
        <v>44817</v>
      </c>
      <c r="S530" t="s">
        <v>29</v>
      </c>
      <c r="W530">
        <v>1</v>
      </c>
      <c r="X530">
        <v>0</v>
      </c>
    </row>
    <row r="531" spans="1:24" x14ac:dyDescent="0.25">
      <c r="A531">
        <v>10318652</v>
      </c>
      <c r="B531" t="s">
        <v>1118</v>
      </c>
      <c r="C531" t="s">
        <v>1098</v>
      </c>
      <c r="D531" t="s">
        <v>1099</v>
      </c>
      <c r="E531" t="s">
        <v>1100</v>
      </c>
      <c r="F531" t="str">
        <f>"2818900344"</f>
        <v>2818900344</v>
      </c>
      <c r="G531" t="str">
        <f>"9782818900345"</f>
        <v>9782818900345</v>
      </c>
      <c r="H531">
        <v>2</v>
      </c>
      <c r="I531">
        <v>3.9</v>
      </c>
      <c r="J531" t="s">
        <v>1101</v>
      </c>
      <c r="K531" t="s">
        <v>28</v>
      </c>
      <c r="L531">
        <v>208</v>
      </c>
      <c r="M531">
        <v>2010</v>
      </c>
      <c r="N531">
        <v>2010</v>
      </c>
      <c r="O531" s="1">
        <v>44817</v>
      </c>
      <c r="P531" s="1">
        <v>44817</v>
      </c>
      <c r="S531" t="s">
        <v>29</v>
      </c>
      <c r="W531">
        <v>1</v>
      </c>
      <c r="X531">
        <v>0</v>
      </c>
    </row>
    <row r="532" spans="1:24" x14ac:dyDescent="0.25">
      <c r="A532">
        <v>10318660</v>
      </c>
      <c r="B532" t="s">
        <v>1119</v>
      </c>
      <c r="C532" t="s">
        <v>1098</v>
      </c>
      <c r="D532" t="s">
        <v>1099</v>
      </c>
      <c r="E532" t="s">
        <v>1100</v>
      </c>
      <c r="F532" t="str">
        <f>"2350788806"</f>
        <v>2350788806</v>
      </c>
      <c r="G532" t="str">
        <f>"9782350788807"</f>
        <v>9782350788807</v>
      </c>
      <c r="H532">
        <v>3</v>
      </c>
      <c r="I532">
        <v>4.04</v>
      </c>
      <c r="J532" t="s">
        <v>1101</v>
      </c>
      <c r="K532" t="s">
        <v>28</v>
      </c>
      <c r="L532">
        <v>192</v>
      </c>
      <c r="M532">
        <v>2010</v>
      </c>
      <c r="N532">
        <v>2009</v>
      </c>
      <c r="O532" s="1">
        <v>44817</v>
      </c>
      <c r="P532" s="1">
        <v>44817</v>
      </c>
      <c r="S532" t="s">
        <v>29</v>
      </c>
      <c r="W532">
        <v>1</v>
      </c>
      <c r="X532">
        <v>0</v>
      </c>
    </row>
    <row r="533" spans="1:24" x14ac:dyDescent="0.25">
      <c r="A533">
        <v>12194816</v>
      </c>
      <c r="B533" t="s">
        <v>1120</v>
      </c>
      <c r="C533" t="s">
        <v>1098</v>
      </c>
      <c r="D533" t="s">
        <v>1099</v>
      </c>
      <c r="E533" t="s">
        <v>1100</v>
      </c>
      <c r="F533" t="str">
        <f>"2350787931"</f>
        <v>2350787931</v>
      </c>
      <c r="G533" t="str">
        <f>"9782350787930"</f>
        <v>9782350787930</v>
      </c>
      <c r="H533">
        <v>3</v>
      </c>
      <c r="I533">
        <v>4.08</v>
      </c>
      <c r="J533" t="s">
        <v>1101</v>
      </c>
      <c r="K533" t="s">
        <v>28</v>
      </c>
      <c r="L533">
        <v>192</v>
      </c>
      <c r="M533">
        <v>2009</v>
      </c>
      <c r="N533">
        <v>2008</v>
      </c>
      <c r="O533" s="1">
        <v>44817</v>
      </c>
      <c r="P533" s="1">
        <v>44817</v>
      </c>
      <c r="S533" t="s">
        <v>29</v>
      </c>
      <c r="W533">
        <v>1</v>
      </c>
      <c r="X533">
        <v>0</v>
      </c>
    </row>
    <row r="534" spans="1:24" x14ac:dyDescent="0.25">
      <c r="A534">
        <v>10318657</v>
      </c>
      <c r="B534" t="s">
        <v>1121</v>
      </c>
      <c r="C534" t="s">
        <v>1098</v>
      </c>
      <c r="D534" t="s">
        <v>1099</v>
      </c>
      <c r="E534" t="s">
        <v>1100</v>
      </c>
      <c r="F534" t="str">
        <f>"2350787184"</f>
        <v>2350787184</v>
      </c>
      <c r="G534" t="str">
        <f>"9782350787183"</f>
        <v>9782350787183</v>
      </c>
      <c r="H534">
        <v>3</v>
      </c>
      <c r="I534">
        <v>3.97</v>
      </c>
      <c r="J534" t="s">
        <v>1101</v>
      </c>
      <c r="K534" t="s">
        <v>28</v>
      </c>
      <c r="L534">
        <v>180</v>
      </c>
      <c r="M534">
        <v>2009</v>
      </c>
      <c r="N534">
        <v>2008</v>
      </c>
      <c r="O534" s="1">
        <v>44817</v>
      </c>
      <c r="P534" s="1">
        <v>44817</v>
      </c>
      <c r="S534" t="s">
        <v>29</v>
      </c>
      <c r="W534">
        <v>1</v>
      </c>
      <c r="X534">
        <v>0</v>
      </c>
    </row>
    <row r="535" spans="1:24" x14ac:dyDescent="0.25">
      <c r="A535">
        <v>10838026</v>
      </c>
      <c r="B535" t="s">
        <v>1122</v>
      </c>
      <c r="C535" t="s">
        <v>1098</v>
      </c>
      <c r="D535" t="s">
        <v>1099</v>
      </c>
      <c r="E535" t="s">
        <v>1100</v>
      </c>
      <c r="F535" t="str">
        <f>"2350786692"</f>
        <v>2350786692</v>
      </c>
      <c r="G535" t="str">
        <f>"9782350786698"</f>
        <v>9782350786698</v>
      </c>
      <c r="H535">
        <v>3</v>
      </c>
      <c r="I535">
        <v>4.04</v>
      </c>
      <c r="J535" t="s">
        <v>1101</v>
      </c>
      <c r="K535" t="s">
        <v>28</v>
      </c>
      <c r="L535">
        <v>192</v>
      </c>
      <c r="M535">
        <v>2009</v>
      </c>
      <c r="N535">
        <v>2008</v>
      </c>
      <c r="O535" s="1">
        <v>44817</v>
      </c>
      <c r="P535" s="1">
        <v>44817</v>
      </c>
      <c r="S535" t="s">
        <v>29</v>
      </c>
      <c r="W535">
        <v>1</v>
      </c>
      <c r="X535">
        <v>0</v>
      </c>
    </row>
    <row r="536" spans="1:24" x14ac:dyDescent="0.25">
      <c r="A536">
        <v>10318654</v>
      </c>
      <c r="B536" t="s">
        <v>1123</v>
      </c>
      <c r="C536" t="s">
        <v>1098</v>
      </c>
      <c r="D536" t="s">
        <v>1099</v>
      </c>
      <c r="F536" t="str">
        <f>"2350786110"</f>
        <v>2350786110</v>
      </c>
      <c r="G536" t="str">
        <f>"9782350786117"</f>
        <v>9782350786117</v>
      </c>
      <c r="H536">
        <v>3</v>
      </c>
      <c r="I536">
        <v>4.05</v>
      </c>
      <c r="J536" t="s">
        <v>1101</v>
      </c>
      <c r="K536" t="s">
        <v>28</v>
      </c>
      <c r="L536">
        <v>192</v>
      </c>
      <c r="M536">
        <v>2009</v>
      </c>
      <c r="N536">
        <v>2007</v>
      </c>
      <c r="O536" s="1">
        <v>44817</v>
      </c>
      <c r="P536" s="1">
        <v>44817</v>
      </c>
      <c r="S536" t="s">
        <v>29</v>
      </c>
      <c r="W536">
        <v>1</v>
      </c>
      <c r="X536">
        <v>0</v>
      </c>
    </row>
    <row r="537" spans="1:24" x14ac:dyDescent="0.25">
      <c r="A537">
        <v>10838024</v>
      </c>
      <c r="B537" t="s">
        <v>1124</v>
      </c>
      <c r="C537" t="s">
        <v>1098</v>
      </c>
      <c r="D537" t="s">
        <v>1099</v>
      </c>
      <c r="E537" t="s">
        <v>1100</v>
      </c>
      <c r="F537" t="str">
        <f>"2350785580"</f>
        <v>2350785580</v>
      </c>
      <c r="G537" t="str">
        <f>"9782350785585"</f>
        <v>9782350785585</v>
      </c>
      <c r="H537">
        <v>3</v>
      </c>
      <c r="I537">
        <v>3.98</v>
      </c>
      <c r="J537" t="s">
        <v>1101</v>
      </c>
      <c r="K537" t="s">
        <v>28</v>
      </c>
      <c r="L537">
        <v>192</v>
      </c>
      <c r="M537">
        <v>2008</v>
      </c>
      <c r="N537">
        <v>2007</v>
      </c>
      <c r="O537" s="1">
        <v>44817</v>
      </c>
      <c r="P537" s="1">
        <v>44816</v>
      </c>
      <c r="S537" t="s">
        <v>29</v>
      </c>
      <c r="W537">
        <v>1</v>
      </c>
      <c r="X537">
        <v>0</v>
      </c>
    </row>
    <row r="538" spans="1:24" x14ac:dyDescent="0.25">
      <c r="A538">
        <v>10838025</v>
      </c>
      <c r="B538" t="s">
        <v>1125</v>
      </c>
      <c r="C538" t="s">
        <v>1098</v>
      </c>
      <c r="D538" t="s">
        <v>1099</v>
      </c>
      <c r="E538" t="s">
        <v>1100</v>
      </c>
      <c r="F538" t="str">
        <f>"2350785297"</f>
        <v>2350785297</v>
      </c>
      <c r="G538" t="str">
        <f>"9782350785295"</f>
        <v>9782350785295</v>
      </c>
      <c r="H538">
        <v>3</v>
      </c>
      <c r="I538">
        <v>3.95</v>
      </c>
      <c r="J538" t="s">
        <v>1101</v>
      </c>
      <c r="K538" t="s">
        <v>28</v>
      </c>
      <c r="L538">
        <v>192</v>
      </c>
      <c r="M538">
        <v>2008</v>
      </c>
      <c r="N538">
        <v>2007</v>
      </c>
      <c r="O538" s="1">
        <v>44816</v>
      </c>
      <c r="P538" s="1">
        <v>44816</v>
      </c>
      <c r="S538" t="s">
        <v>29</v>
      </c>
      <c r="W538">
        <v>1</v>
      </c>
      <c r="X538">
        <v>0</v>
      </c>
    </row>
    <row r="539" spans="1:24" x14ac:dyDescent="0.25">
      <c r="A539">
        <v>10318656</v>
      </c>
      <c r="B539" t="s">
        <v>1126</v>
      </c>
      <c r="C539" t="s">
        <v>1098</v>
      </c>
      <c r="D539" t="s">
        <v>1099</v>
      </c>
      <c r="E539" t="s">
        <v>1100</v>
      </c>
      <c r="F539" t="str">
        <f>"2350785122"</f>
        <v>2350785122</v>
      </c>
      <c r="G539" t="str">
        <f>"9782350785127"</f>
        <v>9782350785127</v>
      </c>
      <c r="H539">
        <v>3</v>
      </c>
      <c r="I539">
        <v>4</v>
      </c>
      <c r="J539" t="s">
        <v>1101</v>
      </c>
      <c r="K539" t="s">
        <v>28</v>
      </c>
      <c r="L539">
        <v>192</v>
      </c>
      <c r="M539">
        <v>2008</v>
      </c>
      <c r="N539">
        <v>2006</v>
      </c>
      <c r="O539" s="1">
        <v>44816</v>
      </c>
      <c r="P539" s="1">
        <v>44816</v>
      </c>
      <c r="S539" t="s">
        <v>29</v>
      </c>
      <c r="W539">
        <v>1</v>
      </c>
      <c r="X539">
        <v>0</v>
      </c>
    </row>
    <row r="540" spans="1:24" x14ac:dyDescent="0.25">
      <c r="A540">
        <v>52916196</v>
      </c>
      <c r="B540" t="s">
        <v>1127</v>
      </c>
      <c r="C540" t="s">
        <v>1128</v>
      </c>
      <c r="D540" t="s">
        <v>1129</v>
      </c>
      <c r="F540" t="str">
        <f>""</f>
        <v/>
      </c>
      <c r="G540" t="str">
        <f>""</f>
        <v/>
      </c>
      <c r="H540">
        <v>2</v>
      </c>
      <c r="I540">
        <v>3.64</v>
      </c>
      <c r="J540" t="s">
        <v>1130</v>
      </c>
      <c r="K540" t="s">
        <v>28</v>
      </c>
      <c r="L540">
        <v>176</v>
      </c>
      <c r="M540">
        <v>2019</v>
      </c>
      <c r="O540" s="1">
        <v>44814</v>
      </c>
      <c r="P540" s="1">
        <v>44557</v>
      </c>
      <c r="S540" t="s">
        <v>29</v>
      </c>
      <c r="W540">
        <v>1</v>
      </c>
      <c r="X540">
        <v>0</v>
      </c>
    </row>
    <row r="541" spans="1:24" x14ac:dyDescent="0.25">
      <c r="A541">
        <v>30843523</v>
      </c>
      <c r="B541" t="s">
        <v>1131</v>
      </c>
      <c r="C541" t="s">
        <v>1006</v>
      </c>
      <c r="D541" t="s">
        <v>1007</v>
      </c>
      <c r="F541" t="str">
        <f>"408880774X"</f>
        <v>408880774X</v>
      </c>
      <c r="G541" t="str">
        <f>"9784088807744"</f>
        <v>9784088807744</v>
      </c>
      <c r="H541">
        <v>1</v>
      </c>
      <c r="I541">
        <v>3.78</v>
      </c>
      <c r="J541" t="s">
        <v>55</v>
      </c>
      <c r="K541" t="s">
        <v>28</v>
      </c>
      <c r="L541">
        <v>232</v>
      </c>
      <c r="M541">
        <v>2016</v>
      </c>
      <c r="N541">
        <v>2016</v>
      </c>
      <c r="O541" s="1">
        <v>44814</v>
      </c>
      <c r="P541" s="1">
        <v>44814</v>
      </c>
      <c r="S541" t="s">
        <v>29</v>
      </c>
      <c r="W541">
        <v>1</v>
      </c>
      <c r="X541">
        <v>0</v>
      </c>
    </row>
    <row r="542" spans="1:24" x14ac:dyDescent="0.25">
      <c r="A542">
        <v>29622590</v>
      </c>
      <c r="B542" t="s">
        <v>1132</v>
      </c>
      <c r="C542" t="s">
        <v>1006</v>
      </c>
      <c r="D542" t="s">
        <v>1007</v>
      </c>
      <c r="E542" t="s">
        <v>1133</v>
      </c>
      <c r="F542" t="str">
        <f>"4088806840"</f>
        <v>4088806840</v>
      </c>
      <c r="G542" t="str">
        <f>"9784088806846"</f>
        <v>9784088806846</v>
      </c>
      <c r="H542">
        <v>1</v>
      </c>
      <c r="I542">
        <v>3.99</v>
      </c>
      <c r="J542" t="s">
        <v>1134</v>
      </c>
      <c r="K542" t="s">
        <v>28</v>
      </c>
      <c r="L542">
        <v>208</v>
      </c>
      <c r="M542">
        <v>2016</v>
      </c>
      <c r="N542">
        <v>2016</v>
      </c>
      <c r="O542" s="1">
        <v>44814</v>
      </c>
      <c r="P542" s="1">
        <v>44814</v>
      </c>
      <c r="S542" t="s">
        <v>29</v>
      </c>
      <c r="W542">
        <v>1</v>
      </c>
      <c r="X542">
        <v>0</v>
      </c>
    </row>
    <row r="543" spans="1:24" x14ac:dyDescent="0.25">
      <c r="A543">
        <v>28696406</v>
      </c>
      <c r="B543" t="s">
        <v>1135</v>
      </c>
      <c r="C543" t="s">
        <v>1006</v>
      </c>
      <c r="D543" t="s">
        <v>1007</v>
      </c>
      <c r="F543" t="str">
        <f>"4088806492"</f>
        <v>4088806492</v>
      </c>
      <c r="G543" t="str">
        <f>"9784088806495"</f>
        <v>9784088806495</v>
      </c>
      <c r="H543">
        <v>1</v>
      </c>
      <c r="I543">
        <v>3.92</v>
      </c>
      <c r="J543" t="s">
        <v>55</v>
      </c>
      <c r="K543" t="s">
        <v>28</v>
      </c>
      <c r="L543">
        <v>208</v>
      </c>
      <c r="M543">
        <v>2016</v>
      </c>
      <c r="N543">
        <v>2016</v>
      </c>
      <c r="O543" s="1">
        <v>44814</v>
      </c>
      <c r="P543" s="1">
        <v>44814</v>
      </c>
      <c r="S543" t="s">
        <v>29</v>
      </c>
      <c r="W543">
        <v>1</v>
      </c>
      <c r="X543">
        <v>0</v>
      </c>
    </row>
    <row r="544" spans="1:24" x14ac:dyDescent="0.25">
      <c r="A544">
        <v>27997699</v>
      </c>
      <c r="B544" t="s">
        <v>1136</v>
      </c>
      <c r="C544" t="s">
        <v>1006</v>
      </c>
      <c r="D544" t="s">
        <v>1007</v>
      </c>
      <c r="F544" t="str">
        <f>"4088806042"</f>
        <v>4088806042</v>
      </c>
      <c r="G544" t="str">
        <f>"9784088806044"</f>
        <v>9784088806044</v>
      </c>
      <c r="H544">
        <v>3</v>
      </c>
      <c r="I544">
        <v>3.97</v>
      </c>
      <c r="J544" t="s">
        <v>55</v>
      </c>
      <c r="K544" t="s">
        <v>28</v>
      </c>
      <c r="L544">
        <v>192</v>
      </c>
      <c r="M544">
        <v>2016</v>
      </c>
      <c r="N544">
        <v>2016</v>
      </c>
      <c r="O544" s="1">
        <v>44814</v>
      </c>
      <c r="P544" s="1">
        <v>44814</v>
      </c>
      <c r="S544" t="s">
        <v>29</v>
      </c>
      <c r="W544">
        <v>1</v>
      </c>
      <c r="X544">
        <v>0</v>
      </c>
    </row>
    <row r="545" spans="1:24" x14ac:dyDescent="0.25">
      <c r="A545">
        <v>25806191</v>
      </c>
      <c r="B545" t="s">
        <v>1137</v>
      </c>
      <c r="C545" t="s">
        <v>1006</v>
      </c>
      <c r="D545" t="s">
        <v>1007</v>
      </c>
      <c r="F545" t="str">
        <f>"408880497X"</f>
        <v>408880497X</v>
      </c>
      <c r="G545" t="str">
        <f>"9784088804972"</f>
        <v>9784088804972</v>
      </c>
      <c r="H545">
        <v>2</v>
      </c>
      <c r="I545">
        <v>3.91</v>
      </c>
      <c r="J545" t="s">
        <v>55</v>
      </c>
      <c r="K545" t="s">
        <v>28</v>
      </c>
      <c r="L545">
        <v>200</v>
      </c>
      <c r="M545">
        <v>2015</v>
      </c>
      <c r="N545">
        <v>2015</v>
      </c>
      <c r="O545" s="1">
        <v>44814</v>
      </c>
      <c r="P545" s="1">
        <v>44814</v>
      </c>
      <c r="S545" t="s">
        <v>29</v>
      </c>
      <c r="W545">
        <v>1</v>
      </c>
      <c r="X545">
        <v>0</v>
      </c>
    </row>
    <row r="546" spans="1:24" x14ac:dyDescent="0.25">
      <c r="A546">
        <v>25640240</v>
      </c>
      <c r="B546" t="s">
        <v>1138</v>
      </c>
      <c r="C546" t="s">
        <v>1006</v>
      </c>
      <c r="D546" t="s">
        <v>1007</v>
      </c>
      <c r="F546" t="str">
        <f>"4088804600"</f>
        <v>4088804600</v>
      </c>
      <c r="G546" t="str">
        <f>"9784088804606"</f>
        <v>9784088804606</v>
      </c>
      <c r="H546">
        <v>2</v>
      </c>
      <c r="I546">
        <v>3.92</v>
      </c>
      <c r="J546" t="s">
        <v>55</v>
      </c>
      <c r="K546" t="s">
        <v>28</v>
      </c>
      <c r="L546">
        <v>192</v>
      </c>
      <c r="M546">
        <v>2015</v>
      </c>
      <c r="N546">
        <v>2015</v>
      </c>
      <c r="O546" s="1">
        <v>44814</v>
      </c>
      <c r="P546" s="1">
        <v>44814</v>
      </c>
      <c r="S546" t="s">
        <v>29</v>
      </c>
      <c r="W546">
        <v>1</v>
      </c>
      <c r="X546">
        <v>0</v>
      </c>
    </row>
    <row r="547" spans="1:24" x14ac:dyDescent="0.25">
      <c r="A547">
        <v>25225891</v>
      </c>
      <c r="B547" t="s">
        <v>1139</v>
      </c>
      <c r="C547" t="s">
        <v>1006</v>
      </c>
      <c r="D547" t="s">
        <v>1007</v>
      </c>
      <c r="F547" t="str">
        <f>"4088804236"</f>
        <v>4088804236</v>
      </c>
      <c r="G547" t="str">
        <f>"9784088804231"</f>
        <v>9784088804231</v>
      </c>
      <c r="H547">
        <v>2</v>
      </c>
      <c r="I547">
        <v>3.9</v>
      </c>
      <c r="J547" t="s">
        <v>55</v>
      </c>
      <c r="K547" t="s">
        <v>28</v>
      </c>
      <c r="L547">
        <v>208</v>
      </c>
      <c r="M547">
        <v>2015</v>
      </c>
      <c r="N547">
        <v>2015</v>
      </c>
      <c r="O547" s="1">
        <v>44814</v>
      </c>
      <c r="P547" s="1">
        <v>44814</v>
      </c>
      <c r="S547" t="s">
        <v>29</v>
      </c>
      <c r="W547">
        <v>1</v>
      </c>
      <c r="X547">
        <v>0</v>
      </c>
    </row>
    <row r="548" spans="1:24" x14ac:dyDescent="0.25">
      <c r="A548">
        <v>24679797</v>
      </c>
      <c r="B548" t="s">
        <v>1140</v>
      </c>
      <c r="C548" t="s">
        <v>1006</v>
      </c>
      <c r="D548" t="s">
        <v>1007</v>
      </c>
      <c r="F548" t="str">
        <f>"4088803272"</f>
        <v>4088803272</v>
      </c>
      <c r="G548" t="str">
        <f>"9784088803272"</f>
        <v>9784088803272</v>
      </c>
      <c r="H548">
        <v>3</v>
      </c>
      <c r="I548">
        <v>3.92</v>
      </c>
      <c r="J548" t="s">
        <v>55</v>
      </c>
      <c r="K548" t="s">
        <v>28</v>
      </c>
      <c r="L548">
        <v>192</v>
      </c>
      <c r="M548">
        <v>2015</v>
      </c>
      <c r="N548">
        <v>2015</v>
      </c>
      <c r="O548" s="1">
        <v>44814</v>
      </c>
      <c r="P548" s="1">
        <v>44814</v>
      </c>
      <c r="S548" t="s">
        <v>29</v>
      </c>
      <c r="W548">
        <v>1</v>
      </c>
      <c r="X548">
        <v>0</v>
      </c>
    </row>
    <row r="549" spans="1:24" x14ac:dyDescent="0.25">
      <c r="A549">
        <v>23509228</v>
      </c>
      <c r="B549" t="s">
        <v>1141</v>
      </c>
      <c r="C549" t="s">
        <v>1006</v>
      </c>
      <c r="D549" t="s">
        <v>1007</v>
      </c>
      <c r="F549" t="str">
        <f>"4088802217"</f>
        <v>4088802217</v>
      </c>
      <c r="G549" t="str">
        <f>"9784088802213"</f>
        <v>9784088802213</v>
      </c>
      <c r="H549">
        <v>2</v>
      </c>
      <c r="I549">
        <v>3.88</v>
      </c>
      <c r="J549" t="s">
        <v>55</v>
      </c>
      <c r="K549" t="s">
        <v>28</v>
      </c>
      <c r="L549">
        <v>192</v>
      </c>
      <c r="M549">
        <v>2015</v>
      </c>
      <c r="N549">
        <v>2015</v>
      </c>
      <c r="O549" s="1">
        <v>44814</v>
      </c>
      <c r="P549" s="1">
        <v>44814</v>
      </c>
      <c r="S549" t="s">
        <v>29</v>
      </c>
      <c r="W549">
        <v>1</v>
      </c>
      <c r="X549">
        <v>0</v>
      </c>
    </row>
    <row r="550" spans="1:24" x14ac:dyDescent="0.25">
      <c r="A550">
        <v>23310383</v>
      </c>
      <c r="B550" t="s">
        <v>1142</v>
      </c>
      <c r="C550" t="s">
        <v>1006</v>
      </c>
      <c r="D550" t="s">
        <v>1007</v>
      </c>
      <c r="F550" t="str">
        <f>"4088801911"</f>
        <v>4088801911</v>
      </c>
      <c r="G550" t="str">
        <f>"9784088801919"</f>
        <v>9784088801919</v>
      </c>
      <c r="H550">
        <v>3</v>
      </c>
      <c r="I550">
        <v>3.94</v>
      </c>
      <c r="J550" t="s">
        <v>55</v>
      </c>
      <c r="K550" t="s">
        <v>28</v>
      </c>
      <c r="L550">
        <v>216</v>
      </c>
      <c r="M550">
        <v>2014</v>
      </c>
      <c r="N550">
        <v>2014</v>
      </c>
      <c r="O550" s="1">
        <v>44814</v>
      </c>
      <c r="P550" s="1">
        <v>44814</v>
      </c>
      <c r="S550" t="s">
        <v>29</v>
      </c>
      <c r="W550">
        <v>1</v>
      </c>
      <c r="X550">
        <v>0</v>
      </c>
    </row>
    <row r="551" spans="1:24" x14ac:dyDescent="0.25">
      <c r="A551">
        <v>22850840</v>
      </c>
      <c r="B551" t="s">
        <v>1143</v>
      </c>
      <c r="C551" t="s">
        <v>1006</v>
      </c>
      <c r="D551" t="s">
        <v>1007</v>
      </c>
      <c r="F551" t="str">
        <f>"4088801342"</f>
        <v>4088801342</v>
      </c>
      <c r="G551" t="str">
        <f>"9784088801346"</f>
        <v>9784088801346</v>
      </c>
      <c r="H551">
        <v>3</v>
      </c>
      <c r="I551">
        <v>4.01</v>
      </c>
      <c r="J551" t="s">
        <v>55</v>
      </c>
      <c r="K551" t="s">
        <v>28</v>
      </c>
      <c r="L551">
        <v>192</v>
      </c>
      <c r="M551">
        <v>2014</v>
      </c>
      <c r="N551">
        <v>2014</v>
      </c>
      <c r="O551" s="1">
        <v>44814</v>
      </c>
      <c r="P551" s="1">
        <v>44814</v>
      </c>
      <c r="S551" t="s">
        <v>29</v>
      </c>
      <c r="W551">
        <v>1</v>
      </c>
      <c r="X551">
        <v>0</v>
      </c>
    </row>
    <row r="552" spans="1:24" x14ac:dyDescent="0.25">
      <c r="A552">
        <v>22117633</v>
      </c>
      <c r="B552" t="s">
        <v>1144</v>
      </c>
      <c r="C552" t="s">
        <v>1006</v>
      </c>
      <c r="D552" t="s">
        <v>1007</v>
      </c>
      <c r="F552" t="str">
        <f>"4088800559"</f>
        <v>4088800559</v>
      </c>
      <c r="G552" t="str">
        <f>"9784088800554"</f>
        <v>9784088800554</v>
      </c>
      <c r="H552">
        <v>3</v>
      </c>
      <c r="I552">
        <v>4.08</v>
      </c>
      <c r="J552" t="s">
        <v>55</v>
      </c>
      <c r="K552" t="s">
        <v>28</v>
      </c>
      <c r="L552">
        <v>192</v>
      </c>
      <c r="M552">
        <v>2014</v>
      </c>
      <c r="N552">
        <v>2014</v>
      </c>
      <c r="O552" s="1">
        <v>44814</v>
      </c>
      <c r="P552" s="1">
        <v>44814</v>
      </c>
      <c r="S552" t="s">
        <v>29</v>
      </c>
      <c r="W552">
        <v>1</v>
      </c>
      <c r="X552">
        <v>0</v>
      </c>
    </row>
    <row r="553" spans="1:24" x14ac:dyDescent="0.25">
      <c r="A553">
        <v>20972696</v>
      </c>
      <c r="B553" t="s">
        <v>1145</v>
      </c>
      <c r="C553" t="s">
        <v>1006</v>
      </c>
      <c r="D553" t="s">
        <v>1007</v>
      </c>
      <c r="F553" t="str">
        <f>"4088708504"</f>
        <v>4088708504</v>
      </c>
      <c r="G553" t="str">
        <f>"9784088708508"</f>
        <v>9784088708508</v>
      </c>
      <c r="H553">
        <v>3</v>
      </c>
      <c r="I553">
        <v>4.05</v>
      </c>
      <c r="J553" t="s">
        <v>1134</v>
      </c>
      <c r="K553" t="s">
        <v>28</v>
      </c>
      <c r="L553">
        <v>192</v>
      </c>
      <c r="M553">
        <v>2014</v>
      </c>
      <c r="N553">
        <v>2014</v>
      </c>
      <c r="O553" s="1">
        <v>44814</v>
      </c>
      <c r="P553" s="1">
        <v>44814</v>
      </c>
      <c r="S553" t="s">
        <v>29</v>
      </c>
      <c r="W553">
        <v>1</v>
      </c>
      <c r="X553">
        <v>0</v>
      </c>
    </row>
    <row r="554" spans="1:24" x14ac:dyDescent="0.25">
      <c r="A554">
        <v>19214819</v>
      </c>
      <c r="B554" t="s">
        <v>1146</v>
      </c>
      <c r="C554" t="s">
        <v>1006</v>
      </c>
      <c r="D554" t="s">
        <v>1007</v>
      </c>
      <c r="F554" t="str">
        <f>"4088708180"</f>
        <v>4088708180</v>
      </c>
      <c r="G554" t="str">
        <f>"9784088708188"</f>
        <v>9784088708188</v>
      </c>
      <c r="H554">
        <v>3</v>
      </c>
      <c r="I554">
        <v>4.0999999999999996</v>
      </c>
      <c r="J554" t="s">
        <v>55</v>
      </c>
      <c r="K554" t="s">
        <v>28</v>
      </c>
      <c r="L554">
        <v>192</v>
      </c>
      <c r="M554">
        <v>2013</v>
      </c>
      <c r="N554">
        <v>2013</v>
      </c>
      <c r="O554" s="1">
        <v>44814</v>
      </c>
      <c r="P554" s="1">
        <v>44813</v>
      </c>
      <c r="S554" t="s">
        <v>29</v>
      </c>
      <c r="W554">
        <v>1</v>
      </c>
      <c r="X554">
        <v>0</v>
      </c>
    </row>
    <row r="555" spans="1:24" x14ac:dyDescent="0.25">
      <c r="A555">
        <v>18143812</v>
      </c>
      <c r="B555" t="s">
        <v>1147</v>
      </c>
      <c r="C555" t="s">
        <v>1006</v>
      </c>
      <c r="D555" t="s">
        <v>1007</v>
      </c>
      <c r="F555" t="str">
        <f>"1421564580"</f>
        <v>1421564580</v>
      </c>
      <c r="G555" t="str">
        <f>"9781421564586"</f>
        <v>9781421564586</v>
      </c>
      <c r="H555">
        <v>4</v>
      </c>
      <c r="I555">
        <v>4.26</v>
      </c>
      <c r="J555" t="s">
        <v>27</v>
      </c>
      <c r="K555" t="s">
        <v>28</v>
      </c>
      <c r="L555">
        <v>192</v>
      </c>
      <c r="M555">
        <v>2014</v>
      </c>
      <c r="N555">
        <v>2013</v>
      </c>
      <c r="O555" s="1">
        <v>44813</v>
      </c>
      <c r="P555" s="1">
        <v>44813</v>
      </c>
      <c r="S555" t="s">
        <v>29</v>
      </c>
      <c r="W555">
        <v>1</v>
      </c>
      <c r="X555">
        <v>0</v>
      </c>
    </row>
    <row r="556" spans="1:24" x14ac:dyDescent="0.25">
      <c r="A556">
        <v>18039559</v>
      </c>
      <c r="B556" t="s">
        <v>1148</v>
      </c>
      <c r="C556" t="s">
        <v>1006</v>
      </c>
      <c r="D556" t="s">
        <v>1007</v>
      </c>
      <c r="F556" t="str">
        <f>"4088706625"</f>
        <v>4088706625</v>
      </c>
      <c r="G556" t="str">
        <f>"9784088706627"</f>
        <v>9784088706627</v>
      </c>
      <c r="H556">
        <v>5</v>
      </c>
      <c r="I556">
        <v>4.24</v>
      </c>
      <c r="J556" t="s">
        <v>55</v>
      </c>
      <c r="K556" t="s">
        <v>28</v>
      </c>
      <c r="L556">
        <v>192</v>
      </c>
      <c r="M556">
        <v>2013</v>
      </c>
      <c r="N556">
        <v>2013</v>
      </c>
      <c r="O556" s="1">
        <v>44813</v>
      </c>
      <c r="P556" s="1">
        <v>44813</v>
      </c>
      <c r="S556" t="s">
        <v>29</v>
      </c>
      <c r="W556">
        <v>1</v>
      </c>
      <c r="X556">
        <v>0</v>
      </c>
    </row>
    <row r="557" spans="1:24" x14ac:dyDescent="0.25">
      <c r="A557">
        <v>16161865</v>
      </c>
      <c r="B557" t="s">
        <v>1149</v>
      </c>
      <c r="C557" t="s">
        <v>1006</v>
      </c>
      <c r="D557" t="s">
        <v>1007</v>
      </c>
      <c r="F557" t="str">
        <f>"4088705165"</f>
        <v>4088705165</v>
      </c>
      <c r="G557" t="str">
        <f>"9784088705163"</f>
        <v>9784088705163</v>
      </c>
      <c r="H557">
        <v>4</v>
      </c>
      <c r="I557">
        <v>4.2699999999999996</v>
      </c>
      <c r="J557" t="s">
        <v>55</v>
      </c>
      <c r="K557" t="s">
        <v>28</v>
      </c>
      <c r="L557">
        <v>192</v>
      </c>
      <c r="M557">
        <v>2012</v>
      </c>
      <c r="N557">
        <v>2012</v>
      </c>
      <c r="O557" s="1">
        <v>44813</v>
      </c>
      <c r="P557" s="1">
        <v>44813</v>
      </c>
      <c r="S557" t="s">
        <v>29</v>
      </c>
      <c r="W557">
        <v>1</v>
      </c>
      <c r="X557">
        <v>0</v>
      </c>
    </row>
    <row r="558" spans="1:24" x14ac:dyDescent="0.25">
      <c r="A558">
        <v>17415942</v>
      </c>
      <c r="B558" t="s">
        <v>1150</v>
      </c>
      <c r="C558" t="s">
        <v>1006</v>
      </c>
      <c r="D558" t="s">
        <v>1007</v>
      </c>
      <c r="F558" t="str">
        <f>"4088705513"</f>
        <v>4088705513</v>
      </c>
      <c r="G558" t="str">
        <f>"9784088705514"</f>
        <v>9784088705514</v>
      </c>
      <c r="H558">
        <v>4</v>
      </c>
      <c r="I558">
        <v>4.24</v>
      </c>
      <c r="J558" t="s">
        <v>55</v>
      </c>
      <c r="K558" t="s">
        <v>28</v>
      </c>
      <c r="L558">
        <v>208</v>
      </c>
      <c r="M558">
        <v>2013</v>
      </c>
      <c r="N558">
        <v>2013</v>
      </c>
      <c r="O558" s="1">
        <v>44813</v>
      </c>
      <c r="P558" s="1">
        <v>44813</v>
      </c>
      <c r="S558" t="s">
        <v>29</v>
      </c>
      <c r="W558">
        <v>1</v>
      </c>
      <c r="X558">
        <v>0</v>
      </c>
    </row>
    <row r="559" spans="1:24" x14ac:dyDescent="0.25">
      <c r="A559">
        <v>16081601</v>
      </c>
      <c r="B559" t="s">
        <v>1151</v>
      </c>
      <c r="C559" t="s">
        <v>1006</v>
      </c>
      <c r="D559" t="s">
        <v>1007</v>
      </c>
      <c r="F559" t="str">
        <f>"4088704789"</f>
        <v>4088704789</v>
      </c>
      <c r="G559" t="str">
        <f>"9784088704784"</f>
        <v>9784088704784</v>
      </c>
      <c r="H559">
        <v>3</v>
      </c>
      <c r="I559">
        <v>4.1399999999999997</v>
      </c>
      <c r="J559" t="s">
        <v>1152</v>
      </c>
      <c r="K559" t="s">
        <v>28</v>
      </c>
      <c r="L559">
        <v>192</v>
      </c>
      <c r="M559">
        <v>2012</v>
      </c>
      <c r="N559">
        <v>2012</v>
      </c>
      <c r="O559" s="1">
        <v>44813</v>
      </c>
      <c r="P559" s="1">
        <v>44813</v>
      </c>
      <c r="S559" t="s">
        <v>29</v>
      </c>
      <c r="W559">
        <v>1</v>
      </c>
      <c r="X559">
        <v>0</v>
      </c>
    </row>
    <row r="560" spans="1:24" x14ac:dyDescent="0.25">
      <c r="A560">
        <v>15724678</v>
      </c>
      <c r="B560" t="s">
        <v>1153</v>
      </c>
      <c r="C560" t="s">
        <v>1006</v>
      </c>
      <c r="D560" t="s">
        <v>1007</v>
      </c>
      <c r="F560" t="str">
        <f>"4088704185"</f>
        <v>4088704185</v>
      </c>
      <c r="G560" t="str">
        <f>"9784088704180"</f>
        <v>9784088704180</v>
      </c>
      <c r="H560">
        <v>3</v>
      </c>
      <c r="I560">
        <v>4.17</v>
      </c>
      <c r="J560" t="s">
        <v>55</v>
      </c>
      <c r="K560" t="s">
        <v>28</v>
      </c>
      <c r="L560">
        <v>200</v>
      </c>
      <c r="M560">
        <v>2012</v>
      </c>
      <c r="N560">
        <v>2012</v>
      </c>
      <c r="O560" s="1">
        <v>44813</v>
      </c>
      <c r="P560" s="1">
        <v>44812</v>
      </c>
      <c r="S560" t="s">
        <v>29</v>
      </c>
      <c r="W560">
        <v>1</v>
      </c>
      <c r="X560">
        <v>0</v>
      </c>
    </row>
    <row r="561" spans="1:24" x14ac:dyDescent="0.25">
      <c r="A561">
        <v>13562988</v>
      </c>
      <c r="B561" t="s">
        <v>1154</v>
      </c>
      <c r="C561" t="s">
        <v>1006</v>
      </c>
      <c r="D561" t="s">
        <v>1007</v>
      </c>
      <c r="F561" t="str">
        <f>"4088703863"</f>
        <v>4088703863</v>
      </c>
      <c r="G561" t="str">
        <f>"9784088703862"</f>
        <v>9784088703862</v>
      </c>
      <c r="H561">
        <v>3</v>
      </c>
      <c r="I561">
        <v>4.09</v>
      </c>
      <c r="J561" t="s">
        <v>55</v>
      </c>
      <c r="K561" t="s">
        <v>28</v>
      </c>
      <c r="L561">
        <v>208</v>
      </c>
      <c r="M561">
        <v>2012</v>
      </c>
      <c r="N561">
        <v>2012</v>
      </c>
      <c r="O561" s="1">
        <v>44812</v>
      </c>
      <c r="P561" s="1">
        <v>44812</v>
      </c>
      <c r="S561" t="s">
        <v>29</v>
      </c>
      <c r="W561">
        <v>1</v>
      </c>
      <c r="X561">
        <v>0</v>
      </c>
    </row>
    <row r="562" spans="1:24" x14ac:dyDescent="0.25">
      <c r="A562">
        <v>13383980</v>
      </c>
      <c r="B562" t="s">
        <v>1155</v>
      </c>
      <c r="C562" t="s">
        <v>1006</v>
      </c>
      <c r="D562" t="s">
        <v>1007</v>
      </c>
      <c r="F562" t="str">
        <f>"4088703138"</f>
        <v>4088703138</v>
      </c>
      <c r="G562" t="str">
        <f>"9784088703138"</f>
        <v>9784088703138</v>
      </c>
      <c r="H562">
        <v>3</v>
      </c>
      <c r="I562">
        <v>4.08</v>
      </c>
      <c r="J562" t="s">
        <v>1152</v>
      </c>
      <c r="K562" t="s">
        <v>28</v>
      </c>
      <c r="L562">
        <v>216</v>
      </c>
      <c r="M562">
        <v>2011</v>
      </c>
      <c r="N562">
        <v>2011</v>
      </c>
      <c r="O562" s="1">
        <v>44812</v>
      </c>
      <c r="P562" s="1">
        <v>44812</v>
      </c>
      <c r="S562" t="s">
        <v>29</v>
      </c>
      <c r="W562">
        <v>1</v>
      </c>
      <c r="X562">
        <v>0</v>
      </c>
    </row>
    <row r="563" spans="1:24" x14ac:dyDescent="0.25">
      <c r="A563">
        <v>12976959</v>
      </c>
      <c r="B563" t="s">
        <v>1156</v>
      </c>
      <c r="C563" t="s">
        <v>1006</v>
      </c>
      <c r="D563" t="s">
        <v>1007</v>
      </c>
      <c r="F563" t="str">
        <f>"4088702913"</f>
        <v>4088702913</v>
      </c>
      <c r="G563" t="str">
        <f>"9784088702919"</f>
        <v>9784088702919</v>
      </c>
      <c r="H563">
        <v>0</v>
      </c>
      <c r="I563">
        <v>4.08</v>
      </c>
      <c r="J563" t="s">
        <v>55</v>
      </c>
      <c r="K563" t="s">
        <v>28</v>
      </c>
      <c r="L563">
        <v>192</v>
      </c>
      <c r="M563">
        <v>2011</v>
      </c>
      <c r="N563">
        <v>2011</v>
      </c>
      <c r="O563" s="1">
        <v>44812</v>
      </c>
      <c r="P563" s="1">
        <v>44812</v>
      </c>
      <c r="S563" t="s">
        <v>29</v>
      </c>
      <c r="W563">
        <v>2</v>
      </c>
      <c r="X563">
        <v>0</v>
      </c>
    </row>
    <row r="564" spans="1:24" x14ac:dyDescent="0.25">
      <c r="A564">
        <v>12361526</v>
      </c>
      <c r="B564" t="s">
        <v>1157</v>
      </c>
      <c r="C564" t="s">
        <v>1006</v>
      </c>
      <c r="D564" t="s">
        <v>1007</v>
      </c>
      <c r="F564" t="str">
        <f>"4088702727"</f>
        <v>4088702727</v>
      </c>
      <c r="G564" t="str">
        <f>"9784088702728"</f>
        <v>9784088702728</v>
      </c>
      <c r="H564">
        <v>3</v>
      </c>
      <c r="I564">
        <v>4</v>
      </c>
      <c r="J564" t="s">
        <v>1158</v>
      </c>
      <c r="K564" t="s">
        <v>28</v>
      </c>
      <c r="L564">
        <v>192</v>
      </c>
      <c r="M564">
        <v>2011</v>
      </c>
      <c r="N564">
        <v>2011</v>
      </c>
      <c r="O564" s="1">
        <v>44812</v>
      </c>
      <c r="P564" s="1">
        <v>44812</v>
      </c>
      <c r="S564" t="s">
        <v>29</v>
      </c>
      <c r="W564">
        <v>1</v>
      </c>
      <c r="X564">
        <v>0</v>
      </c>
    </row>
    <row r="565" spans="1:24" x14ac:dyDescent="0.25">
      <c r="A565">
        <v>11708739</v>
      </c>
      <c r="B565" t="s">
        <v>1159</v>
      </c>
      <c r="C565" t="s">
        <v>1006</v>
      </c>
      <c r="D565" t="s">
        <v>1007</v>
      </c>
      <c r="F565" t="str">
        <f>"4088702190"</f>
        <v>4088702190</v>
      </c>
      <c r="G565" t="str">
        <f>"9784088702193"</f>
        <v>9784088702193</v>
      </c>
      <c r="H565">
        <v>3</v>
      </c>
      <c r="I565">
        <v>4.05</v>
      </c>
      <c r="J565" t="s">
        <v>55</v>
      </c>
      <c r="K565" t="s">
        <v>28</v>
      </c>
      <c r="L565">
        <v>192</v>
      </c>
      <c r="M565">
        <v>2011</v>
      </c>
      <c r="N565">
        <v>2011</v>
      </c>
      <c r="O565" s="1">
        <v>44812</v>
      </c>
      <c r="P565" s="1">
        <v>44812</v>
      </c>
      <c r="S565" t="s">
        <v>29</v>
      </c>
      <c r="W565">
        <v>1</v>
      </c>
      <c r="X565">
        <v>0</v>
      </c>
    </row>
    <row r="566" spans="1:24" x14ac:dyDescent="0.25">
      <c r="A566">
        <v>11192820</v>
      </c>
      <c r="B566" t="s">
        <v>1160</v>
      </c>
      <c r="C566" t="s">
        <v>1006</v>
      </c>
      <c r="D566" t="s">
        <v>1007</v>
      </c>
      <c r="F566" t="str">
        <f>"4088701860"</f>
        <v>4088701860</v>
      </c>
      <c r="G566" t="str">
        <f>"9784088701868"</f>
        <v>9784088701868</v>
      </c>
      <c r="H566">
        <v>4</v>
      </c>
      <c r="I566">
        <v>4.17</v>
      </c>
      <c r="J566" t="s">
        <v>1158</v>
      </c>
      <c r="K566" t="s">
        <v>28</v>
      </c>
      <c r="L566">
        <v>192</v>
      </c>
      <c r="M566">
        <v>2011</v>
      </c>
      <c r="N566">
        <v>2011</v>
      </c>
      <c r="O566" s="1">
        <v>44812</v>
      </c>
      <c r="P566" s="1">
        <v>44812</v>
      </c>
      <c r="S566" t="s">
        <v>29</v>
      </c>
      <c r="W566">
        <v>1</v>
      </c>
      <c r="X566">
        <v>0</v>
      </c>
    </row>
    <row r="567" spans="1:24" x14ac:dyDescent="0.25">
      <c r="A567">
        <v>9994188</v>
      </c>
      <c r="B567" t="s">
        <v>1161</v>
      </c>
      <c r="C567" t="s">
        <v>1006</v>
      </c>
      <c r="D567" t="s">
        <v>1007</v>
      </c>
      <c r="F567" t="str">
        <f>"4088701445"</f>
        <v>4088701445</v>
      </c>
      <c r="G567" t="str">
        <f>"9784088701448"</f>
        <v>9784088701448</v>
      </c>
      <c r="H567">
        <v>4</v>
      </c>
      <c r="I567">
        <v>4.3499999999999996</v>
      </c>
      <c r="J567" t="s">
        <v>53</v>
      </c>
      <c r="K567" t="s">
        <v>28</v>
      </c>
      <c r="L567">
        <v>222</v>
      </c>
      <c r="M567">
        <v>2010</v>
      </c>
      <c r="N567">
        <v>2010</v>
      </c>
      <c r="O567" s="1">
        <v>44812</v>
      </c>
      <c r="P567" s="1">
        <v>44812</v>
      </c>
      <c r="S567" t="s">
        <v>29</v>
      </c>
      <c r="W567">
        <v>1</v>
      </c>
      <c r="X567">
        <v>0</v>
      </c>
    </row>
    <row r="568" spans="1:24" x14ac:dyDescent="0.25">
      <c r="A568">
        <v>9691886</v>
      </c>
      <c r="B568" t="s">
        <v>1162</v>
      </c>
      <c r="C568" t="s">
        <v>1006</v>
      </c>
      <c r="D568" t="s">
        <v>1007</v>
      </c>
      <c r="F568" t="str">
        <f>"4088701100"</f>
        <v>4088701100</v>
      </c>
      <c r="G568" t="str">
        <f>"9784088701103"</f>
        <v>9784088701103</v>
      </c>
      <c r="H568">
        <v>4</v>
      </c>
      <c r="I568">
        <v>4.3</v>
      </c>
      <c r="J568" t="s">
        <v>55</v>
      </c>
      <c r="K568" t="s">
        <v>28</v>
      </c>
      <c r="L568">
        <v>192</v>
      </c>
      <c r="M568">
        <v>2010</v>
      </c>
      <c r="N568">
        <v>2010</v>
      </c>
      <c r="O568" s="1">
        <v>44812</v>
      </c>
      <c r="P568" s="1">
        <v>44811</v>
      </c>
      <c r="S568" t="s">
        <v>29</v>
      </c>
      <c r="W568">
        <v>1</v>
      </c>
      <c r="X568">
        <v>0</v>
      </c>
    </row>
    <row r="569" spans="1:24" x14ac:dyDescent="0.25">
      <c r="A569">
        <v>9182501</v>
      </c>
      <c r="B569" t="s">
        <v>1163</v>
      </c>
      <c r="C569" t="s">
        <v>1006</v>
      </c>
      <c r="D569" t="s">
        <v>1007</v>
      </c>
      <c r="F569" t="str">
        <f>"4088700856"</f>
        <v>4088700856</v>
      </c>
      <c r="G569" t="str">
        <f>"9784088700854"</f>
        <v>9784088700854</v>
      </c>
      <c r="H569">
        <v>4</v>
      </c>
      <c r="I569">
        <v>4.2699999999999996</v>
      </c>
      <c r="J569" t="s">
        <v>55</v>
      </c>
      <c r="K569" t="s">
        <v>28</v>
      </c>
      <c r="L569">
        <v>192</v>
      </c>
      <c r="M569">
        <v>2010</v>
      </c>
      <c r="N569">
        <v>2010</v>
      </c>
      <c r="O569" s="1">
        <v>44811</v>
      </c>
      <c r="P569" s="1">
        <v>44811</v>
      </c>
      <c r="S569" t="s">
        <v>29</v>
      </c>
      <c r="W569">
        <v>1</v>
      </c>
      <c r="X569">
        <v>0</v>
      </c>
    </row>
    <row r="570" spans="1:24" x14ac:dyDescent="0.25">
      <c r="A570">
        <v>8490858</v>
      </c>
      <c r="B570" t="s">
        <v>1164</v>
      </c>
      <c r="C570" t="s">
        <v>1006</v>
      </c>
      <c r="D570" t="s">
        <v>1007</v>
      </c>
      <c r="F570" t="str">
        <f>"4088700465"</f>
        <v>4088700465</v>
      </c>
      <c r="G570" t="str">
        <f>"9784088700465"</f>
        <v>9784088700465</v>
      </c>
      <c r="H570">
        <v>4</v>
      </c>
      <c r="I570">
        <v>4.2699999999999996</v>
      </c>
      <c r="J570" t="s">
        <v>53</v>
      </c>
      <c r="K570" t="s">
        <v>28</v>
      </c>
      <c r="L570">
        <v>192</v>
      </c>
      <c r="M570">
        <v>2010</v>
      </c>
      <c r="N570">
        <v>2010</v>
      </c>
      <c r="O570" s="1">
        <v>44811</v>
      </c>
      <c r="P570" s="1">
        <v>44811</v>
      </c>
      <c r="S570" t="s">
        <v>29</v>
      </c>
      <c r="W570">
        <v>1</v>
      </c>
      <c r="X570">
        <v>0</v>
      </c>
    </row>
    <row r="571" spans="1:24" x14ac:dyDescent="0.25">
      <c r="A571">
        <v>8110231</v>
      </c>
      <c r="B571" t="s">
        <v>1165</v>
      </c>
      <c r="C571" t="s">
        <v>1006</v>
      </c>
      <c r="D571" t="s">
        <v>1007</v>
      </c>
      <c r="F571" t="str">
        <f>"4088700201"</f>
        <v>4088700201</v>
      </c>
      <c r="G571" t="str">
        <f>"9784088700205"</f>
        <v>9784088700205</v>
      </c>
      <c r="H571">
        <v>4</v>
      </c>
      <c r="I571">
        <v>4.21</v>
      </c>
      <c r="J571" t="s">
        <v>55</v>
      </c>
      <c r="K571" t="s">
        <v>28</v>
      </c>
      <c r="L571">
        <v>192</v>
      </c>
      <c r="M571">
        <v>2010</v>
      </c>
      <c r="N571">
        <v>2010</v>
      </c>
      <c r="O571" s="1">
        <v>44811</v>
      </c>
      <c r="P571" s="1">
        <v>44811</v>
      </c>
      <c r="S571" t="s">
        <v>29</v>
      </c>
      <c r="W571">
        <v>1</v>
      </c>
      <c r="X571">
        <v>0</v>
      </c>
    </row>
    <row r="572" spans="1:24" x14ac:dyDescent="0.25">
      <c r="A572">
        <v>7713819</v>
      </c>
      <c r="B572" t="s">
        <v>1166</v>
      </c>
      <c r="C572" t="s">
        <v>1006</v>
      </c>
      <c r="D572" t="s">
        <v>1007</v>
      </c>
      <c r="F572" t="str">
        <f>"4088747941"</f>
        <v>4088747941</v>
      </c>
      <c r="G572" t="str">
        <f>"9784088747941"</f>
        <v>9784088747941</v>
      </c>
      <c r="H572">
        <v>4</v>
      </c>
      <c r="I572">
        <v>4.29</v>
      </c>
      <c r="J572" t="s">
        <v>55</v>
      </c>
      <c r="K572" t="s">
        <v>28</v>
      </c>
      <c r="L572">
        <v>208</v>
      </c>
      <c r="M572">
        <v>2010</v>
      </c>
      <c r="N572">
        <v>2010</v>
      </c>
      <c r="O572" s="1">
        <v>44811</v>
      </c>
      <c r="P572" s="1">
        <v>44811</v>
      </c>
      <c r="S572" t="s">
        <v>29</v>
      </c>
      <c r="W572">
        <v>1</v>
      </c>
      <c r="X572">
        <v>0</v>
      </c>
    </row>
    <row r="573" spans="1:24" x14ac:dyDescent="0.25">
      <c r="A573">
        <v>7662999</v>
      </c>
      <c r="B573" t="s">
        <v>1167</v>
      </c>
      <c r="C573" t="s">
        <v>1006</v>
      </c>
      <c r="D573" t="s">
        <v>1007</v>
      </c>
      <c r="F573" t="str">
        <f>"4088747623"</f>
        <v>4088747623</v>
      </c>
      <c r="G573" t="str">
        <f>"9784088747620"</f>
        <v>9784088747620</v>
      </c>
      <c r="H573">
        <v>4</v>
      </c>
      <c r="I573">
        <v>4.2699999999999996</v>
      </c>
      <c r="J573" t="s">
        <v>55</v>
      </c>
      <c r="K573" t="s">
        <v>28</v>
      </c>
      <c r="L573">
        <v>192</v>
      </c>
      <c r="M573">
        <v>2009</v>
      </c>
      <c r="N573">
        <v>2010</v>
      </c>
      <c r="O573" s="1">
        <v>44811</v>
      </c>
      <c r="P573" s="1">
        <v>44811</v>
      </c>
      <c r="S573" t="s">
        <v>29</v>
      </c>
      <c r="W573">
        <v>1</v>
      </c>
      <c r="X573">
        <v>0</v>
      </c>
    </row>
    <row r="574" spans="1:24" x14ac:dyDescent="0.25">
      <c r="A574">
        <v>6952829</v>
      </c>
      <c r="B574" t="s">
        <v>1168</v>
      </c>
      <c r="C574" t="s">
        <v>1006</v>
      </c>
      <c r="D574" t="s">
        <v>1007</v>
      </c>
      <c r="F574" t="str">
        <f>"4088747348"</f>
        <v>4088747348</v>
      </c>
      <c r="G574" t="str">
        <f>"9784088747347"</f>
        <v>9784088747347</v>
      </c>
      <c r="H574">
        <v>4</v>
      </c>
      <c r="I574">
        <v>4.25</v>
      </c>
      <c r="J574" t="s">
        <v>55</v>
      </c>
      <c r="K574" t="s">
        <v>28</v>
      </c>
      <c r="L574">
        <v>192</v>
      </c>
      <c r="M574">
        <v>2009</v>
      </c>
      <c r="N574">
        <v>2009</v>
      </c>
      <c r="O574" s="1">
        <v>44811</v>
      </c>
      <c r="P574" s="1">
        <v>44811</v>
      </c>
      <c r="S574" t="s">
        <v>29</v>
      </c>
      <c r="W574">
        <v>1</v>
      </c>
      <c r="X574">
        <v>0</v>
      </c>
    </row>
    <row r="575" spans="1:24" x14ac:dyDescent="0.25">
      <c r="A575">
        <v>7110498</v>
      </c>
      <c r="B575" t="s">
        <v>1169</v>
      </c>
      <c r="C575" t="s">
        <v>1006</v>
      </c>
      <c r="D575" t="s">
        <v>1007</v>
      </c>
      <c r="F575" t="str">
        <f>"4088747127"</f>
        <v>4088747127</v>
      </c>
      <c r="G575" t="str">
        <f>"9784088747125"</f>
        <v>9784088747125</v>
      </c>
      <c r="H575">
        <v>4</v>
      </c>
      <c r="I575">
        <v>4.3499999999999996</v>
      </c>
      <c r="J575" t="s">
        <v>55</v>
      </c>
      <c r="K575" t="s">
        <v>28</v>
      </c>
      <c r="L575">
        <v>192</v>
      </c>
      <c r="M575">
        <v>2009</v>
      </c>
      <c r="N575">
        <v>2009</v>
      </c>
      <c r="O575" s="1">
        <v>44811</v>
      </c>
      <c r="P575" s="1">
        <v>44811</v>
      </c>
      <c r="S575" t="s">
        <v>29</v>
      </c>
      <c r="W575">
        <v>1</v>
      </c>
      <c r="X575">
        <v>0</v>
      </c>
    </row>
    <row r="576" spans="1:24" x14ac:dyDescent="0.25">
      <c r="A576">
        <v>6547199</v>
      </c>
      <c r="B576" t="s">
        <v>1170</v>
      </c>
      <c r="C576" t="s">
        <v>1006</v>
      </c>
      <c r="D576" t="s">
        <v>1007</v>
      </c>
      <c r="F576" t="str">
        <f>"4088746740"</f>
        <v>4088746740</v>
      </c>
      <c r="G576" t="str">
        <f>"9784088746746"</f>
        <v>9784088746746</v>
      </c>
      <c r="H576">
        <v>4</v>
      </c>
      <c r="I576">
        <v>4.18</v>
      </c>
      <c r="J576" t="s">
        <v>55</v>
      </c>
      <c r="K576" t="s">
        <v>28</v>
      </c>
      <c r="L576">
        <v>192</v>
      </c>
      <c r="M576">
        <v>2009</v>
      </c>
      <c r="N576">
        <v>2009</v>
      </c>
      <c r="O576" s="1">
        <v>44811</v>
      </c>
      <c r="P576" s="1">
        <v>44811</v>
      </c>
      <c r="S576" t="s">
        <v>29</v>
      </c>
      <c r="W576">
        <v>1</v>
      </c>
      <c r="X576">
        <v>0</v>
      </c>
    </row>
    <row r="577" spans="1:24" x14ac:dyDescent="0.25">
      <c r="A577">
        <v>9182638</v>
      </c>
      <c r="B577" t="s">
        <v>1171</v>
      </c>
      <c r="C577" t="s">
        <v>1006</v>
      </c>
      <c r="D577" t="s">
        <v>1007</v>
      </c>
      <c r="F577" t="str">
        <f>"408874649X"</f>
        <v>408874649X</v>
      </c>
      <c r="G577" t="str">
        <f>"9784088746494"</f>
        <v>9784088746494</v>
      </c>
      <c r="H577">
        <v>4</v>
      </c>
      <c r="I577">
        <v>4.18</v>
      </c>
      <c r="J577" t="s">
        <v>55</v>
      </c>
      <c r="K577" t="s">
        <v>28</v>
      </c>
      <c r="L577">
        <v>200</v>
      </c>
      <c r="M577">
        <v>2009</v>
      </c>
      <c r="N577">
        <v>2009</v>
      </c>
      <c r="O577" s="1">
        <v>44811</v>
      </c>
      <c r="P577" s="1">
        <v>44811</v>
      </c>
      <c r="S577" t="s">
        <v>29</v>
      </c>
      <c r="W577">
        <v>1</v>
      </c>
      <c r="X577">
        <v>0</v>
      </c>
    </row>
    <row r="578" spans="1:24" x14ac:dyDescent="0.25">
      <c r="A578">
        <v>6297050</v>
      </c>
      <c r="B578" t="s">
        <v>1172</v>
      </c>
      <c r="C578" t="s">
        <v>1006</v>
      </c>
      <c r="D578" t="s">
        <v>1007</v>
      </c>
      <c r="F578" t="str">
        <f>"4088746287"</f>
        <v>4088746287</v>
      </c>
      <c r="G578" t="str">
        <f>"9784088746289"</f>
        <v>9784088746289</v>
      </c>
      <c r="H578">
        <v>4</v>
      </c>
      <c r="I578">
        <v>4.2</v>
      </c>
      <c r="J578" t="s">
        <v>55</v>
      </c>
      <c r="K578" t="s">
        <v>28</v>
      </c>
      <c r="L578">
        <v>216</v>
      </c>
      <c r="M578">
        <v>2009</v>
      </c>
      <c r="N578">
        <v>2009</v>
      </c>
      <c r="O578" s="1">
        <v>44811</v>
      </c>
      <c r="P578" s="1">
        <v>44811</v>
      </c>
      <c r="S578" t="s">
        <v>29</v>
      </c>
      <c r="W578">
        <v>1</v>
      </c>
      <c r="X578">
        <v>0</v>
      </c>
    </row>
    <row r="579" spans="1:24" x14ac:dyDescent="0.25">
      <c r="A579">
        <v>6055737</v>
      </c>
      <c r="B579" t="s">
        <v>1173</v>
      </c>
      <c r="C579" t="s">
        <v>1006</v>
      </c>
      <c r="D579" t="s">
        <v>1007</v>
      </c>
      <c r="F579" t="str">
        <f>"4088746031"</f>
        <v>4088746031</v>
      </c>
      <c r="G579" t="str">
        <f>"9784088746036"</f>
        <v>9784088746036</v>
      </c>
      <c r="H579">
        <v>4</v>
      </c>
      <c r="I579">
        <v>4.3600000000000003</v>
      </c>
      <c r="J579" t="s">
        <v>55</v>
      </c>
      <c r="K579" t="s">
        <v>28</v>
      </c>
      <c r="L579">
        <v>200</v>
      </c>
      <c r="M579">
        <v>2008</v>
      </c>
      <c r="N579">
        <v>2008</v>
      </c>
      <c r="O579" s="1">
        <v>44811</v>
      </c>
      <c r="P579" s="1">
        <v>44810</v>
      </c>
      <c r="S579" t="s">
        <v>29</v>
      </c>
      <c r="W579">
        <v>1</v>
      </c>
      <c r="X579">
        <v>0</v>
      </c>
    </row>
    <row r="580" spans="1:24" x14ac:dyDescent="0.25">
      <c r="A580">
        <v>5985288</v>
      </c>
      <c r="B580" t="s">
        <v>1174</v>
      </c>
      <c r="C580" t="s">
        <v>1006</v>
      </c>
      <c r="D580" t="s">
        <v>1007</v>
      </c>
      <c r="F580" t="str">
        <f>"4088745752"</f>
        <v>4088745752</v>
      </c>
      <c r="G580" t="str">
        <f>"9784088745756"</f>
        <v>9784088745756</v>
      </c>
      <c r="H580">
        <v>4</v>
      </c>
      <c r="I580">
        <v>4.24</v>
      </c>
      <c r="J580" t="s">
        <v>55</v>
      </c>
      <c r="K580" t="s">
        <v>28</v>
      </c>
      <c r="L580">
        <v>208</v>
      </c>
      <c r="M580">
        <v>2008</v>
      </c>
      <c r="N580">
        <v>2008</v>
      </c>
      <c r="O580" s="1">
        <v>44810</v>
      </c>
      <c r="P580" s="1">
        <v>44810</v>
      </c>
      <c r="S580" t="s">
        <v>29</v>
      </c>
      <c r="W580">
        <v>1</v>
      </c>
      <c r="X580">
        <v>0</v>
      </c>
    </row>
    <row r="581" spans="1:24" x14ac:dyDescent="0.25">
      <c r="A581">
        <v>3852212</v>
      </c>
      <c r="B581" t="s">
        <v>1175</v>
      </c>
      <c r="C581" t="s">
        <v>1006</v>
      </c>
      <c r="D581" t="s">
        <v>1007</v>
      </c>
      <c r="F581" t="str">
        <f>"4088745418"</f>
        <v>4088745418</v>
      </c>
      <c r="G581" t="str">
        <f>"9784088745411"</f>
        <v>9784088745411</v>
      </c>
      <c r="H581">
        <v>4</v>
      </c>
      <c r="I581">
        <v>4.29</v>
      </c>
      <c r="J581" t="s">
        <v>55</v>
      </c>
      <c r="K581" t="s">
        <v>28</v>
      </c>
      <c r="L581">
        <v>216</v>
      </c>
      <c r="M581">
        <v>2008</v>
      </c>
      <c r="N581">
        <v>2008</v>
      </c>
      <c r="O581" s="1">
        <v>44810</v>
      </c>
      <c r="P581" s="1">
        <v>44810</v>
      </c>
      <c r="S581" t="s">
        <v>29</v>
      </c>
      <c r="W581">
        <v>1</v>
      </c>
      <c r="X581">
        <v>0</v>
      </c>
    </row>
    <row r="582" spans="1:24" x14ac:dyDescent="0.25">
      <c r="A582">
        <v>3852214</v>
      </c>
      <c r="B582" t="s">
        <v>1176</v>
      </c>
      <c r="C582" t="s">
        <v>1006</v>
      </c>
      <c r="D582" t="s">
        <v>1007</v>
      </c>
      <c r="F582" t="str">
        <f>"4088744942"</f>
        <v>4088744942</v>
      </c>
      <c r="G582" t="str">
        <f>"9784088744940"</f>
        <v>9784088744940</v>
      </c>
      <c r="H582">
        <v>4</v>
      </c>
      <c r="I582">
        <v>4.21</v>
      </c>
      <c r="J582" t="s">
        <v>55</v>
      </c>
      <c r="K582" t="s">
        <v>28</v>
      </c>
      <c r="L582">
        <v>192</v>
      </c>
      <c r="M582">
        <v>2008</v>
      </c>
      <c r="N582">
        <v>2008</v>
      </c>
      <c r="O582" s="1">
        <v>44810</v>
      </c>
      <c r="P582" s="1">
        <v>44810</v>
      </c>
      <c r="S582" t="s">
        <v>29</v>
      </c>
      <c r="W582">
        <v>1</v>
      </c>
      <c r="X582">
        <v>0</v>
      </c>
    </row>
    <row r="583" spans="1:24" x14ac:dyDescent="0.25">
      <c r="A583">
        <v>3852215</v>
      </c>
      <c r="B583" t="s">
        <v>1177</v>
      </c>
      <c r="C583" t="s">
        <v>1006</v>
      </c>
      <c r="D583" t="s">
        <v>1007</v>
      </c>
      <c r="F583" t="str">
        <f>"408874473X"</f>
        <v>408874473X</v>
      </c>
      <c r="G583" t="str">
        <f>"9784088744735"</f>
        <v>9784088744735</v>
      </c>
      <c r="H583">
        <v>4</v>
      </c>
      <c r="I583">
        <v>4.3099999999999996</v>
      </c>
      <c r="J583" t="s">
        <v>55</v>
      </c>
      <c r="K583" t="s">
        <v>28</v>
      </c>
      <c r="L583">
        <v>192</v>
      </c>
      <c r="M583">
        <v>2008</v>
      </c>
      <c r="N583">
        <v>2008</v>
      </c>
      <c r="O583" s="1">
        <v>44810</v>
      </c>
      <c r="P583" s="1">
        <v>44810</v>
      </c>
      <c r="S583" t="s">
        <v>29</v>
      </c>
      <c r="W583">
        <v>1</v>
      </c>
      <c r="X583">
        <v>0</v>
      </c>
    </row>
    <row r="584" spans="1:24" x14ac:dyDescent="0.25">
      <c r="A584">
        <v>6764324</v>
      </c>
      <c r="B584" t="s">
        <v>1178</v>
      </c>
      <c r="C584" t="s">
        <v>1006</v>
      </c>
      <c r="D584" t="s">
        <v>1007</v>
      </c>
      <c r="E584" t="s">
        <v>1179</v>
      </c>
      <c r="F584" t="str">
        <f>""</f>
        <v/>
      </c>
      <c r="G584" t="str">
        <f>"9783867192712"</f>
        <v>9783867192712</v>
      </c>
      <c r="H584">
        <v>4</v>
      </c>
      <c r="I584">
        <v>4.21</v>
      </c>
      <c r="J584" t="s">
        <v>882</v>
      </c>
      <c r="K584" t="s">
        <v>28</v>
      </c>
      <c r="L584">
        <v>208</v>
      </c>
      <c r="M584">
        <v>2009</v>
      </c>
      <c r="N584">
        <v>2007</v>
      </c>
      <c r="O584" s="1">
        <v>44810</v>
      </c>
      <c r="P584" s="1">
        <v>44810</v>
      </c>
      <c r="S584" t="s">
        <v>29</v>
      </c>
      <c r="W584">
        <v>1</v>
      </c>
      <c r="X584">
        <v>0</v>
      </c>
    </row>
    <row r="585" spans="1:24" x14ac:dyDescent="0.25">
      <c r="A585">
        <v>6255384</v>
      </c>
      <c r="B585" t="s">
        <v>1180</v>
      </c>
      <c r="C585" t="s">
        <v>1006</v>
      </c>
      <c r="D585" t="s">
        <v>1007</v>
      </c>
      <c r="E585" t="s">
        <v>1181</v>
      </c>
      <c r="F585" t="str">
        <f>"2723466191"</f>
        <v>2723466191</v>
      </c>
      <c r="G585" t="str">
        <f>"9782723466196"</f>
        <v>9782723466196</v>
      </c>
      <c r="H585">
        <v>4</v>
      </c>
      <c r="I585">
        <v>4.28</v>
      </c>
      <c r="J585" t="s">
        <v>1182</v>
      </c>
      <c r="K585" t="s">
        <v>28</v>
      </c>
      <c r="L585">
        <v>192</v>
      </c>
      <c r="M585">
        <v>2009</v>
      </c>
      <c r="O585" s="1">
        <v>44810</v>
      </c>
      <c r="P585" s="1">
        <v>44810</v>
      </c>
      <c r="S585" t="s">
        <v>29</v>
      </c>
      <c r="W585">
        <v>1</v>
      </c>
      <c r="X585">
        <v>0</v>
      </c>
    </row>
    <row r="586" spans="1:24" x14ac:dyDescent="0.25">
      <c r="A586">
        <v>6419543</v>
      </c>
      <c r="B586" t="s">
        <v>1183</v>
      </c>
      <c r="C586" t="s">
        <v>1006</v>
      </c>
      <c r="D586" t="s">
        <v>1007</v>
      </c>
      <c r="F586" t="str">
        <f>"1421523876"</f>
        <v>1421523876</v>
      </c>
      <c r="G586" t="str">
        <f>"9781421523873"</f>
        <v>9781421523873</v>
      </c>
      <c r="H586">
        <v>4</v>
      </c>
      <c r="I586">
        <v>4.2</v>
      </c>
      <c r="J586" t="s">
        <v>27</v>
      </c>
      <c r="K586" t="s">
        <v>28</v>
      </c>
      <c r="L586">
        <v>208</v>
      </c>
      <c r="M586">
        <v>2009</v>
      </c>
      <c r="N586">
        <v>2007</v>
      </c>
      <c r="O586" s="1">
        <v>44810</v>
      </c>
      <c r="P586" s="1">
        <v>44810</v>
      </c>
      <c r="S586" t="s">
        <v>29</v>
      </c>
      <c r="W586">
        <v>1</v>
      </c>
      <c r="X586">
        <v>0</v>
      </c>
    </row>
    <row r="587" spans="1:24" x14ac:dyDescent="0.25">
      <c r="A587">
        <v>6279561</v>
      </c>
      <c r="B587" t="s">
        <v>1184</v>
      </c>
      <c r="C587" t="s">
        <v>1006</v>
      </c>
      <c r="D587" t="s">
        <v>1007</v>
      </c>
      <c r="F587" t="str">
        <f>"1421523868"</f>
        <v>1421523868</v>
      </c>
      <c r="G587" t="str">
        <f>"9781421523866"</f>
        <v>9781421523866</v>
      </c>
      <c r="H587">
        <v>4</v>
      </c>
      <c r="I587">
        <v>4.22</v>
      </c>
      <c r="J587" t="s">
        <v>27</v>
      </c>
      <c r="K587" t="s">
        <v>28</v>
      </c>
      <c r="L587">
        <v>200</v>
      </c>
      <c r="M587">
        <v>2009</v>
      </c>
      <c r="N587">
        <v>2007</v>
      </c>
      <c r="O587" s="1">
        <v>44810</v>
      </c>
      <c r="P587" s="1">
        <v>44810</v>
      </c>
      <c r="S587" t="s">
        <v>29</v>
      </c>
      <c r="W587">
        <v>1</v>
      </c>
      <c r="X587">
        <v>0</v>
      </c>
    </row>
    <row r="588" spans="1:24" x14ac:dyDescent="0.25">
      <c r="A588">
        <v>1704746</v>
      </c>
      <c r="B588" t="s">
        <v>1185</v>
      </c>
      <c r="C588" t="s">
        <v>1006</v>
      </c>
      <c r="D588" t="s">
        <v>1007</v>
      </c>
      <c r="F588" t="str">
        <f>"4088743393"</f>
        <v>4088743393</v>
      </c>
      <c r="G588" t="str">
        <f>"9784088743394"</f>
        <v>9784088743394</v>
      </c>
      <c r="H588">
        <v>4</v>
      </c>
      <c r="I588">
        <v>4.2699999999999996</v>
      </c>
      <c r="J588" t="s">
        <v>1158</v>
      </c>
      <c r="K588" t="s">
        <v>28</v>
      </c>
      <c r="L588">
        <v>192</v>
      </c>
      <c r="M588">
        <v>2007</v>
      </c>
      <c r="N588">
        <v>2007</v>
      </c>
      <c r="O588" s="1">
        <v>44810</v>
      </c>
      <c r="P588" s="1">
        <v>44809</v>
      </c>
      <c r="S588" t="s">
        <v>29</v>
      </c>
      <c r="W588">
        <v>1</v>
      </c>
      <c r="X588">
        <v>0</v>
      </c>
    </row>
    <row r="589" spans="1:24" x14ac:dyDescent="0.25">
      <c r="A589">
        <v>4792273</v>
      </c>
      <c r="B589" t="s">
        <v>1186</v>
      </c>
      <c r="C589" t="s">
        <v>1006</v>
      </c>
      <c r="D589" t="s">
        <v>1007</v>
      </c>
      <c r="F589" t="str">
        <f>"1421523841"</f>
        <v>1421523841</v>
      </c>
      <c r="G589" t="str">
        <f>"9781421523842"</f>
        <v>9781421523842</v>
      </c>
      <c r="H589">
        <v>4</v>
      </c>
      <c r="I589">
        <v>4.29</v>
      </c>
      <c r="J589" t="s">
        <v>27</v>
      </c>
      <c r="K589" t="s">
        <v>28</v>
      </c>
      <c r="L589">
        <v>216</v>
      </c>
      <c r="M589">
        <v>2009</v>
      </c>
      <c r="N589">
        <v>2007</v>
      </c>
      <c r="O589" s="1">
        <v>44809</v>
      </c>
      <c r="P589" s="1">
        <v>44809</v>
      </c>
      <c r="S589" t="s">
        <v>29</v>
      </c>
      <c r="W589">
        <v>1</v>
      </c>
      <c r="X589">
        <v>0</v>
      </c>
    </row>
    <row r="590" spans="1:24" x14ac:dyDescent="0.25">
      <c r="A590">
        <v>2946056</v>
      </c>
      <c r="B590" t="s">
        <v>1187</v>
      </c>
      <c r="C590" t="s">
        <v>1006</v>
      </c>
      <c r="D590" t="s">
        <v>1007</v>
      </c>
      <c r="F590" t="str">
        <f>"1421517965"</f>
        <v>1421517965</v>
      </c>
      <c r="G590" t="str">
        <f>"9781421517964"</f>
        <v>9781421517964</v>
      </c>
      <c r="H590">
        <v>4</v>
      </c>
      <c r="I590">
        <v>4.33</v>
      </c>
      <c r="J590" t="s">
        <v>27</v>
      </c>
      <c r="K590" t="s">
        <v>28</v>
      </c>
      <c r="L590">
        <v>200</v>
      </c>
      <c r="M590">
        <v>2008</v>
      </c>
      <c r="N590">
        <v>2006</v>
      </c>
      <c r="O590" s="1">
        <v>44809</v>
      </c>
      <c r="P590" s="1">
        <v>44809</v>
      </c>
      <c r="S590" t="s">
        <v>29</v>
      </c>
      <c r="W590">
        <v>1</v>
      </c>
      <c r="X590">
        <v>0</v>
      </c>
    </row>
    <row r="591" spans="1:24" x14ac:dyDescent="0.25">
      <c r="A591">
        <v>2323296</v>
      </c>
      <c r="B591" t="s">
        <v>1188</v>
      </c>
      <c r="C591" t="s">
        <v>1006</v>
      </c>
      <c r="D591" t="s">
        <v>1007</v>
      </c>
      <c r="F591" t="str">
        <f>"1421516039"</f>
        <v>1421516039</v>
      </c>
      <c r="G591" t="str">
        <f>"9781421516035"</f>
        <v>9781421516035</v>
      </c>
      <c r="H591">
        <v>4</v>
      </c>
      <c r="I591">
        <v>4.33</v>
      </c>
      <c r="J591" t="s">
        <v>27</v>
      </c>
      <c r="K591" t="s">
        <v>28</v>
      </c>
      <c r="L591">
        <v>208</v>
      </c>
      <c r="M591">
        <v>2008</v>
      </c>
      <c r="N591">
        <v>2006</v>
      </c>
      <c r="O591" s="1">
        <v>44809</v>
      </c>
      <c r="P591" s="1">
        <v>44809</v>
      </c>
      <c r="S591" t="s">
        <v>29</v>
      </c>
      <c r="W591">
        <v>1</v>
      </c>
      <c r="X591">
        <v>0</v>
      </c>
    </row>
    <row r="592" spans="1:24" x14ac:dyDescent="0.25">
      <c r="A592">
        <v>2323295</v>
      </c>
      <c r="B592" t="s">
        <v>1189</v>
      </c>
      <c r="C592" t="s">
        <v>1006</v>
      </c>
      <c r="D592" t="s">
        <v>1007</v>
      </c>
      <c r="F592" t="str">
        <f>"1421515415"</f>
        <v>1421515415</v>
      </c>
      <c r="G592" t="str">
        <f>"9781421515410"</f>
        <v>9781421515410</v>
      </c>
      <c r="H592">
        <v>4</v>
      </c>
      <c r="I592">
        <v>4.32</v>
      </c>
      <c r="J592" t="s">
        <v>27</v>
      </c>
      <c r="K592" t="s">
        <v>28</v>
      </c>
      <c r="L592">
        <v>208</v>
      </c>
      <c r="M592">
        <v>2008</v>
      </c>
      <c r="N592">
        <v>2006</v>
      </c>
      <c r="O592" s="1">
        <v>44809</v>
      </c>
      <c r="P592" s="1">
        <v>44809</v>
      </c>
      <c r="S592" t="s">
        <v>29</v>
      </c>
      <c r="W592">
        <v>1</v>
      </c>
      <c r="X592">
        <v>0</v>
      </c>
    </row>
    <row r="593" spans="1:24" x14ac:dyDescent="0.25">
      <c r="A593">
        <v>544331</v>
      </c>
      <c r="B593" t="s">
        <v>1190</v>
      </c>
      <c r="C593" t="s">
        <v>1006</v>
      </c>
      <c r="D593" t="s">
        <v>1007</v>
      </c>
      <c r="F593" t="str">
        <f>"1421511797"</f>
        <v>1421511797</v>
      </c>
      <c r="G593" t="str">
        <f>"9781421511795"</f>
        <v>9781421511795</v>
      </c>
      <c r="H593">
        <v>4</v>
      </c>
      <c r="I593">
        <v>4.34</v>
      </c>
      <c r="J593" t="s">
        <v>27</v>
      </c>
      <c r="K593" t="s">
        <v>28</v>
      </c>
      <c r="L593">
        <v>216</v>
      </c>
      <c r="M593">
        <v>2008</v>
      </c>
      <c r="N593">
        <v>2006</v>
      </c>
      <c r="O593" s="1">
        <v>44809</v>
      </c>
      <c r="P593" s="1">
        <v>44809</v>
      </c>
      <c r="S593" t="s">
        <v>29</v>
      </c>
      <c r="W593">
        <v>1</v>
      </c>
      <c r="X593">
        <v>0</v>
      </c>
    </row>
    <row r="594" spans="1:24" x14ac:dyDescent="0.25">
      <c r="A594">
        <v>1095395</v>
      </c>
      <c r="B594" t="s">
        <v>1191</v>
      </c>
      <c r="C594" t="s">
        <v>1006</v>
      </c>
      <c r="D594" t="s">
        <v>1007</v>
      </c>
      <c r="F594" t="str">
        <f>""</f>
        <v/>
      </c>
      <c r="G594" t="str">
        <f>"9781421511658"</f>
        <v>9781421511658</v>
      </c>
      <c r="H594">
        <v>4</v>
      </c>
      <c r="I594">
        <v>4.3</v>
      </c>
      <c r="J594" t="s">
        <v>27</v>
      </c>
      <c r="K594" t="s">
        <v>28</v>
      </c>
      <c r="L594">
        <v>200</v>
      </c>
      <c r="M594">
        <v>2007</v>
      </c>
      <c r="N594">
        <v>2006</v>
      </c>
      <c r="O594" s="1">
        <v>44809</v>
      </c>
      <c r="P594" s="1">
        <v>44809</v>
      </c>
      <c r="S594" t="s">
        <v>29</v>
      </c>
      <c r="W594">
        <v>1</v>
      </c>
      <c r="X594">
        <v>0</v>
      </c>
    </row>
    <row r="595" spans="1:24" x14ac:dyDescent="0.25">
      <c r="A595">
        <v>13735</v>
      </c>
      <c r="B595" t="s">
        <v>1192</v>
      </c>
      <c r="C595" t="s">
        <v>1006</v>
      </c>
      <c r="D595" t="s">
        <v>1007</v>
      </c>
      <c r="F595" t="str">
        <f>"1421510448"</f>
        <v>1421510448</v>
      </c>
      <c r="G595" t="str">
        <f>"9781421510446"</f>
        <v>9781421510446</v>
      </c>
      <c r="H595">
        <v>4</v>
      </c>
      <c r="I595">
        <v>4.38</v>
      </c>
      <c r="J595" t="s">
        <v>27</v>
      </c>
      <c r="K595" t="s">
        <v>28</v>
      </c>
      <c r="L595">
        <v>232</v>
      </c>
      <c r="M595">
        <v>2007</v>
      </c>
      <c r="N595">
        <v>2005</v>
      </c>
      <c r="O595" s="1">
        <v>44809</v>
      </c>
      <c r="P595" s="1">
        <v>44809</v>
      </c>
      <c r="S595" t="s">
        <v>29</v>
      </c>
      <c r="W595">
        <v>1</v>
      </c>
      <c r="X595">
        <v>0</v>
      </c>
    </row>
    <row r="596" spans="1:24" x14ac:dyDescent="0.25">
      <c r="A596">
        <v>13733</v>
      </c>
      <c r="B596" t="s">
        <v>1193</v>
      </c>
      <c r="C596" t="s">
        <v>1006</v>
      </c>
      <c r="D596" t="s">
        <v>1007</v>
      </c>
      <c r="F596" t="str">
        <f>"142151043X"</f>
        <v>142151043X</v>
      </c>
      <c r="G596" t="str">
        <f>"9781421510439"</f>
        <v>9781421510439</v>
      </c>
      <c r="H596">
        <v>4</v>
      </c>
      <c r="I596">
        <v>4.38</v>
      </c>
      <c r="J596" t="s">
        <v>27</v>
      </c>
      <c r="K596" t="s">
        <v>28</v>
      </c>
      <c r="L596">
        <v>216</v>
      </c>
      <c r="M596">
        <v>2007</v>
      </c>
      <c r="N596">
        <v>2005</v>
      </c>
      <c r="O596" s="1">
        <v>44809</v>
      </c>
      <c r="P596" s="1">
        <v>44809</v>
      </c>
      <c r="S596" t="s">
        <v>29</v>
      </c>
      <c r="W596">
        <v>1</v>
      </c>
      <c r="X596">
        <v>0</v>
      </c>
    </row>
    <row r="597" spans="1:24" x14ac:dyDescent="0.25">
      <c r="A597">
        <v>13730</v>
      </c>
      <c r="B597" t="s">
        <v>1194</v>
      </c>
      <c r="C597" t="s">
        <v>1006</v>
      </c>
      <c r="D597" t="s">
        <v>1007</v>
      </c>
      <c r="F597" t="str">
        <f>"1421510421"</f>
        <v>1421510421</v>
      </c>
      <c r="G597" t="str">
        <f>"9781421510422"</f>
        <v>9781421510422</v>
      </c>
      <c r="H597">
        <v>4</v>
      </c>
      <c r="I597">
        <v>4.34</v>
      </c>
      <c r="J597" t="s">
        <v>27</v>
      </c>
      <c r="K597" t="s">
        <v>28</v>
      </c>
      <c r="L597">
        <v>216</v>
      </c>
      <c r="M597">
        <v>2008</v>
      </c>
      <c r="N597">
        <v>2005</v>
      </c>
      <c r="O597" s="1">
        <v>44809</v>
      </c>
      <c r="P597" s="1">
        <v>44809</v>
      </c>
      <c r="S597" t="s">
        <v>29</v>
      </c>
      <c r="W597">
        <v>1</v>
      </c>
      <c r="X597">
        <v>0</v>
      </c>
    </row>
    <row r="598" spans="1:24" x14ac:dyDescent="0.25">
      <c r="A598">
        <v>13731</v>
      </c>
      <c r="B598" t="s">
        <v>1195</v>
      </c>
      <c r="C598" t="s">
        <v>1006</v>
      </c>
      <c r="D598" t="s">
        <v>1007</v>
      </c>
      <c r="F598" t="str">
        <f>"1421510413"</f>
        <v>1421510413</v>
      </c>
      <c r="G598" t="str">
        <f>"9781421510415"</f>
        <v>9781421510415</v>
      </c>
      <c r="H598">
        <v>4</v>
      </c>
      <c r="I598">
        <v>4.3600000000000003</v>
      </c>
      <c r="J598" t="s">
        <v>27</v>
      </c>
      <c r="K598" t="s">
        <v>28</v>
      </c>
      <c r="L598">
        <v>224</v>
      </c>
      <c r="M598">
        <v>2008</v>
      </c>
      <c r="N598">
        <v>2005</v>
      </c>
      <c r="O598" s="1">
        <v>44809</v>
      </c>
      <c r="P598" s="1">
        <v>44809</v>
      </c>
      <c r="S598" t="s">
        <v>29</v>
      </c>
      <c r="W598">
        <v>1</v>
      </c>
      <c r="X598">
        <v>0</v>
      </c>
    </row>
    <row r="599" spans="1:24" x14ac:dyDescent="0.25">
      <c r="A599">
        <v>13727</v>
      </c>
      <c r="B599" t="s">
        <v>1196</v>
      </c>
      <c r="C599" t="s">
        <v>1006</v>
      </c>
      <c r="D599" t="s">
        <v>1007</v>
      </c>
      <c r="F599" t="str">
        <f>"1421506149"</f>
        <v>1421506149</v>
      </c>
      <c r="G599" t="str">
        <f>"9781421506142"</f>
        <v>9781421506142</v>
      </c>
      <c r="H599">
        <v>4</v>
      </c>
      <c r="I599">
        <v>4.3499999999999996</v>
      </c>
      <c r="J599" t="s">
        <v>27</v>
      </c>
      <c r="K599" t="s">
        <v>28</v>
      </c>
      <c r="L599">
        <v>200</v>
      </c>
      <c r="M599">
        <v>2006</v>
      </c>
      <c r="N599">
        <v>2005</v>
      </c>
      <c r="O599" s="1">
        <v>44809</v>
      </c>
      <c r="P599" s="1">
        <v>44809</v>
      </c>
      <c r="S599" t="s">
        <v>29</v>
      </c>
      <c r="W599">
        <v>1</v>
      </c>
      <c r="X599">
        <v>0</v>
      </c>
    </row>
    <row r="600" spans="1:24" x14ac:dyDescent="0.25">
      <c r="A600">
        <v>2879</v>
      </c>
      <c r="B600" t="s">
        <v>1197</v>
      </c>
      <c r="C600" t="s">
        <v>1006</v>
      </c>
      <c r="D600" t="s">
        <v>1007</v>
      </c>
      <c r="F600" t="str">
        <f>"1421506130"</f>
        <v>1421506130</v>
      </c>
      <c r="G600" t="str">
        <f>"9781421506135"</f>
        <v>9781421506135</v>
      </c>
      <c r="H600">
        <v>4</v>
      </c>
      <c r="I600">
        <v>4.43</v>
      </c>
      <c r="J600" t="s">
        <v>27</v>
      </c>
      <c r="K600" t="s">
        <v>28</v>
      </c>
      <c r="L600">
        <v>192</v>
      </c>
      <c r="M600">
        <v>2006</v>
      </c>
      <c r="N600">
        <v>2001</v>
      </c>
      <c r="O600" s="1">
        <v>44809</v>
      </c>
      <c r="P600" s="1">
        <v>44809</v>
      </c>
      <c r="S600" t="s">
        <v>29</v>
      </c>
      <c r="W600">
        <v>1</v>
      </c>
      <c r="X600">
        <v>0</v>
      </c>
    </row>
    <row r="601" spans="1:24" x14ac:dyDescent="0.25">
      <c r="A601">
        <v>2881</v>
      </c>
      <c r="B601" t="s">
        <v>1198</v>
      </c>
      <c r="C601" t="s">
        <v>1006</v>
      </c>
      <c r="D601" t="s">
        <v>1007</v>
      </c>
      <c r="F601" t="str">
        <f>"1421506122"</f>
        <v>1421506122</v>
      </c>
      <c r="G601" t="str">
        <f>"9781421506128"</f>
        <v>9781421506128</v>
      </c>
      <c r="H601">
        <v>4</v>
      </c>
      <c r="I601">
        <v>4.3899999999999997</v>
      </c>
      <c r="J601" t="s">
        <v>27</v>
      </c>
      <c r="K601" t="s">
        <v>28</v>
      </c>
      <c r="L601">
        <v>208</v>
      </c>
      <c r="M601">
        <v>2006</v>
      </c>
      <c r="N601">
        <v>2004</v>
      </c>
      <c r="O601" s="1">
        <v>44809</v>
      </c>
      <c r="P601" s="1">
        <v>44809</v>
      </c>
      <c r="S601" t="s">
        <v>29</v>
      </c>
      <c r="W601">
        <v>1</v>
      </c>
      <c r="X601">
        <v>0</v>
      </c>
    </row>
    <row r="602" spans="1:24" x14ac:dyDescent="0.25">
      <c r="A602">
        <v>13728</v>
      </c>
      <c r="B602" t="s">
        <v>1199</v>
      </c>
      <c r="C602" t="s">
        <v>1006</v>
      </c>
      <c r="D602" t="s">
        <v>1007</v>
      </c>
      <c r="F602" t="str">
        <f>"1421506114"</f>
        <v>1421506114</v>
      </c>
      <c r="G602" t="str">
        <f>"9781421506111"</f>
        <v>9781421506111</v>
      </c>
      <c r="H602">
        <v>4</v>
      </c>
      <c r="I602">
        <v>4.37</v>
      </c>
      <c r="J602" t="s">
        <v>27</v>
      </c>
      <c r="K602" t="s">
        <v>28</v>
      </c>
      <c r="L602">
        <v>192</v>
      </c>
      <c r="M602">
        <v>2006</v>
      </c>
      <c r="N602">
        <v>2004</v>
      </c>
      <c r="O602" s="1">
        <v>44809</v>
      </c>
      <c r="P602" s="1">
        <v>44809</v>
      </c>
      <c r="S602" t="s">
        <v>29</v>
      </c>
      <c r="W602">
        <v>1</v>
      </c>
      <c r="X602">
        <v>0</v>
      </c>
    </row>
    <row r="603" spans="1:24" x14ac:dyDescent="0.25">
      <c r="A603">
        <v>2883</v>
      </c>
      <c r="B603" t="s">
        <v>1200</v>
      </c>
      <c r="C603" t="s">
        <v>1006</v>
      </c>
      <c r="D603" t="s">
        <v>1007</v>
      </c>
      <c r="F603" t="str">
        <f>"1421504030"</f>
        <v>1421504030</v>
      </c>
      <c r="G603" t="str">
        <f>"9781421504032"</f>
        <v>9781421504032</v>
      </c>
      <c r="H603">
        <v>4</v>
      </c>
      <c r="I603">
        <v>4.38</v>
      </c>
      <c r="J603" t="s">
        <v>27</v>
      </c>
      <c r="K603" t="s">
        <v>28</v>
      </c>
      <c r="L603">
        <v>208</v>
      </c>
      <c r="M603">
        <v>2006</v>
      </c>
      <c r="N603">
        <v>2004</v>
      </c>
      <c r="O603" s="1">
        <v>44809</v>
      </c>
      <c r="P603" s="1">
        <v>44809</v>
      </c>
      <c r="S603" t="s">
        <v>29</v>
      </c>
      <c r="W603">
        <v>1</v>
      </c>
      <c r="X603">
        <v>0</v>
      </c>
    </row>
    <row r="604" spans="1:24" x14ac:dyDescent="0.25">
      <c r="A604">
        <v>2882</v>
      </c>
      <c r="B604" t="s">
        <v>1201</v>
      </c>
      <c r="C604" t="s">
        <v>1006</v>
      </c>
      <c r="D604" t="s">
        <v>1007</v>
      </c>
      <c r="F604" t="str">
        <f>"1421502712"</f>
        <v>1421502712</v>
      </c>
      <c r="G604" t="str">
        <f>"9781421502717"</f>
        <v>9781421502717</v>
      </c>
      <c r="H604">
        <v>4</v>
      </c>
      <c r="I604">
        <v>4.3600000000000003</v>
      </c>
      <c r="J604" t="s">
        <v>27</v>
      </c>
      <c r="K604" t="s">
        <v>28</v>
      </c>
      <c r="L604">
        <v>208</v>
      </c>
      <c r="M604">
        <v>2006</v>
      </c>
      <c r="N604">
        <v>2003</v>
      </c>
      <c r="O604" s="1">
        <v>44809</v>
      </c>
      <c r="P604" s="1">
        <v>44809</v>
      </c>
      <c r="S604" t="s">
        <v>29</v>
      </c>
      <c r="W604">
        <v>1</v>
      </c>
      <c r="X604">
        <v>0</v>
      </c>
    </row>
    <row r="605" spans="1:24" x14ac:dyDescent="0.25">
      <c r="A605">
        <v>13729</v>
      </c>
      <c r="B605" t="s">
        <v>1202</v>
      </c>
      <c r="C605" t="s">
        <v>1006</v>
      </c>
      <c r="D605" t="s">
        <v>1007</v>
      </c>
      <c r="F605" t="str">
        <f>"1421500817"</f>
        <v>1421500817</v>
      </c>
      <c r="G605" t="str">
        <f>"9781421500812"</f>
        <v>9781421500812</v>
      </c>
      <c r="H605">
        <v>4</v>
      </c>
      <c r="I605">
        <v>4.29</v>
      </c>
      <c r="J605" t="s">
        <v>27</v>
      </c>
      <c r="K605" t="s">
        <v>28</v>
      </c>
      <c r="L605">
        <v>200</v>
      </c>
      <c r="M605">
        <v>2005</v>
      </c>
      <c r="N605">
        <v>2003</v>
      </c>
      <c r="O605" s="1">
        <v>44809</v>
      </c>
      <c r="P605" s="1">
        <v>44809</v>
      </c>
      <c r="S605" t="s">
        <v>29</v>
      </c>
      <c r="W605">
        <v>1</v>
      </c>
      <c r="X605">
        <v>0</v>
      </c>
    </row>
    <row r="606" spans="1:24" x14ac:dyDescent="0.25">
      <c r="A606">
        <v>271248</v>
      </c>
      <c r="B606" t="s">
        <v>1203</v>
      </c>
      <c r="C606" t="s">
        <v>1006</v>
      </c>
      <c r="D606" t="s">
        <v>1007</v>
      </c>
      <c r="F606" t="str">
        <f>"1591169240"</f>
        <v>1591169240</v>
      </c>
      <c r="G606" t="str">
        <f>"9781591169246"</f>
        <v>9781591169246</v>
      </c>
      <c r="H606">
        <v>4</v>
      </c>
      <c r="I606">
        <v>4.28</v>
      </c>
      <c r="J606" t="s">
        <v>27</v>
      </c>
      <c r="K606" t="s">
        <v>28</v>
      </c>
      <c r="L606">
        <v>200</v>
      </c>
      <c r="M606">
        <v>2005</v>
      </c>
      <c r="N606">
        <v>2003</v>
      </c>
      <c r="O606" s="1">
        <v>44809</v>
      </c>
      <c r="P606" s="1">
        <v>44809</v>
      </c>
      <c r="S606" t="s">
        <v>29</v>
      </c>
      <c r="W606">
        <v>1</v>
      </c>
      <c r="X606">
        <v>0</v>
      </c>
    </row>
    <row r="607" spans="1:24" x14ac:dyDescent="0.25">
      <c r="A607">
        <v>271258</v>
      </c>
      <c r="B607" t="s">
        <v>1204</v>
      </c>
      <c r="C607" t="s">
        <v>1006</v>
      </c>
      <c r="D607" t="s">
        <v>1007</v>
      </c>
      <c r="F607" t="str">
        <f>"1591168724"</f>
        <v>1591168724</v>
      </c>
      <c r="G607" t="str">
        <f>"9781591168720"</f>
        <v>9781591168720</v>
      </c>
      <c r="H607">
        <v>4</v>
      </c>
      <c r="I607">
        <v>4.3499999999999996</v>
      </c>
      <c r="J607" t="s">
        <v>27</v>
      </c>
      <c r="K607" t="s">
        <v>28</v>
      </c>
      <c r="L607">
        <v>200</v>
      </c>
      <c r="M607">
        <v>2005</v>
      </c>
      <c r="N607">
        <v>2003</v>
      </c>
      <c r="O607" s="1">
        <v>44809</v>
      </c>
      <c r="P607" s="1">
        <v>44809</v>
      </c>
      <c r="S607" t="s">
        <v>29</v>
      </c>
      <c r="W607">
        <v>2</v>
      </c>
      <c r="X607">
        <v>0</v>
      </c>
    </row>
    <row r="608" spans="1:24" x14ac:dyDescent="0.25">
      <c r="A608">
        <v>271261</v>
      </c>
      <c r="B608" t="s">
        <v>1205</v>
      </c>
      <c r="C608" t="s">
        <v>1006</v>
      </c>
      <c r="D608" t="s">
        <v>1007</v>
      </c>
      <c r="F608" t="str">
        <f>"1591168074"</f>
        <v>1591168074</v>
      </c>
      <c r="G608" t="str">
        <f>"9781591168072"</f>
        <v>9781591168072</v>
      </c>
      <c r="H608">
        <v>4</v>
      </c>
      <c r="I608">
        <v>4.3600000000000003</v>
      </c>
      <c r="J608" t="s">
        <v>27</v>
      </c>
      <c r="K608" t="s">
        <v>28</v>
      </c>
      <c r="L608">
        <v>200</v>
      </c>
      <c r="M608">
        <v>2005</v>
      </c>
      <c r="N608">
        <v>2003</v>
      </c>
      <c r="O608" s="1">
        <v>44809</v>
      </c>
      <c r="P608" s="1">
        <v>44809</v>
      </c>
      <c r="S608" t="s">
        <v>29</v>
      </c>
      <c r="W608">
        <v>1</v>
      </c>
      <c r="X608">
        <v>0</v>
      </c>
    </row>
    <row r="609" spans="1:24" x14ac:dyDescent="0.25">
      <c r="A609">
        <v>271263</v>
      </c>
      <c r="B609" t="s">
        <v>1206</v>
      </c>
      <c r="C609" t="s">
        <v>1006</v>
      </c>
      <c r="D609" t="s">
        <v>1007</v>
      </c>
      <c r="F609" t="str">
        <f>"1591167280"</f>
        <v>1591167280</v>
      </c>
      <c r="G609" t="str">
        <f>"9781591167280"</f>
        <v>9781591167280</v>
      </c>
      <c r="H609">
        <v>3</v>
      </c>
      <c r="I609">
        <v>4.37</v>
      </c>
      <c r="J609" t="s">
        <v>27</v>
      </c>
      <c r="K609" t="s">
        <v>28</v>
      </c>
      <c r="L609">
        <v>200</v>
      </c>
      <c r="M609">
        <v>2005</v>
      </c>
      <c r="N609">
        <v>2002</v>
      </c>
      <c r="O609" s="1">
        <v>44809</v>
      </c>
      <c r="P609" s="1">
        <v>44808</v>
      </c>
      <c r="S609" t="s">
        <v>29</v>
      </c>
      <c r="W609">
        <v>1</v>
      </c>
      <c r="X609">
        <v>0</v>
      </c>
    </row>
    <row r="610" spans="1:24" x14ac:dyDescent="0.25">
      <c r="A610">
        <v>271266</v>
      </c>
      <c r="B610" t="s">
        <v>1207</v>
      </c>
      <c r="C610" t="s">
        <v>1006</v>
      </c>
      <c r="D610" t="s">
        <v>1007</v>
      </c>
      <c r="F610" t="str">
        <f>"1591164451"</f>
        <v>1591164451</v>
      </c>
      <c r="G610" t="str">
        <f>"9781591164456"</f>
        <v>9781591164456</v>
      </c>
      <c r="H610">
        <v>4</v>
      </c>
      <c r="I610">
        <v>4.3</v>
      </c>
      <c r="J610" t="s">
        <v>27</v>
      </c>
      <c r="K610" t="s">
        <v>28</v>
      </c>
      <c r="L610">
        <v>192</v>
      </c>
      <c r="M610">
        <v>2005</v>
      </c>
      <c r="N610">
        <v>2002</v>
      </c>
      <c r="O610" s="1">
        <v>44808</v>
      </c>
      <c r="P610" s="1">
        <v>44808</v>
      </c>
      <c r="S610" t="s">
        <v>29</v>
      </c>
      <c r="W610">
        <v>1</v>
      </c>
      <c r="X610">
        <v>0</v>
      </c>
    </row>
    <row r="611" spans="1:24" x14ac:dyDescent="0.25">
      <c r="A611">
        <v>271265</v>
      </c>
      <c r="B611" t="s">
        <v>1208</v>
      </c>
      <c r="C611" t="s">
        <v>1006</v>
      </c>
      <c r="D611" t="s">
        <v>1007</v>
      </c>
      <c r="F611" t="str">
        <f>"1591164443"</f>
        <v>1591164443</v>
      </c>
      <c r="G611" t="str">
        <f>"9781591164449"</f>
        <v>9781591164449</v>
      </c>
      <c r="H611">
        <v>4</v>
      </c>
      <c r="I611">
        <v>4.28</v>
      </c>
      <c r="J611" t="s">
        <v>27</v>
      </c>
      <c r="K611" t="s">
        <v>28</v>
      </c>
      <c r="L611">
        <v>192</v>
      </c>
      <c r="M611">
        <v>2004</v>
      </c>
      <c r="N611">
        <v>2002</v>
      </c>
      <c r="O611" s="1">
        <v>44808</v>
      </c>
      <c r="P611" s="1">
        <v>44808</v>
      </c>
      <c r="S611" t="s">
        <v>29</v>
      </c>
      <c r="W611">
        <v>1</v>
      </c>
      <c r="X611">
        <v>0</v>
      </c>
    </row>
    <row r="612" spans="1:24" x14ac:dyDescent="0.25">
      <c r="A612">
        <v>271262</v>
      </c>
      <c r="B612" t="s">
        <v>1209</v>
      </c>
      <c r="C612" t="s">
        <v>1006</v>
      </c>
      <c r="D612" t="s">
        <v>1007</v>
      </c>
      <c r="F612" t="str">
        <f>"1591164427"</f>
        <v>1591164427</v>
      </c>
      <c r="G612" t="str">
        <f>"9781591164425"</f>
        <v>9781591164425</v>
      </c>
      <c r="H612">
        <v>5</v>
      </c>
      <c r="I612">
        <v>4.3</v>
      </c>
      <c r="J612" t="s">
        <v>27</v>
      </c>
      <c r="K612" t="s">
        <v>28</v>
      </c>
      <c r="L612">
        <v>192</v>
      </c>
      <c r="M612">
        <v>2004</v>
      </c>
      <c r="N612">
        <v>2002</v>
      </c>
      <c r="O612" s="1">
        <v>44807</v>
      </c>
      <c r="P612" s="1">
        <v>44808</v>
      </c>
      <c r="S612" t="s">
        <v>29</v>
      </c>
      <c r="W612">
        <v>1</v>
      </c>
      <c r="X612">
        <v>0</v>
      </c>
    </row>
    <row r="613" spans="1:24" x14ac:dyDescent="0.25">
      <c r="A613">
        <v>2880</v>
      </c>
      <c r="B613" t="s">
        <v>1210</v>
      </c>
      <c r="C613" t="s">
        <v>1006</v>
      </c>
      <c r="D613" t="s">
        <v>1007</v>
      </c>
      <c r="F613" t="str">
        <f>"1591164419"</f>
        <v>1591164419</v>
      </c>
      <c r="G613" t="str">
        <f>"9781591164418"</f>
        <v>9781591164418</v>
      </c>
      <c r="H613">
        <v>4</v>
      </c>
      <c r="I613">
        <v>4.24</v>
      </c>
      <c r="J613" t="s">
        <v>27</v>
      </c>
      <c r="K613" t="s">
        <v>28</v>
      </c>
      <c r="L613">
        <v>192</v>
      </c>
      <c r="M613">
        <v>2004</v>
      </c>
      <c r="N613">
        <v>2002</v>
      </c>
      <c r="O613" s="1">
        <v>44808</v>
      </c>
      <c r="P613" s="1">
        <v>44808</v>
      </c>
      <c r="S613" t="s">
        <v>29</v>
      </c>
      <c r="W613">
        <v>1</v>
      </c>
      <c r="X613">
        <v>0</v>
      </c>
    </row>
    <row r="614" spans="1:24" x14ac:dyDescent="0.25">
      <c r="A614">
        <v>58474120</v>
      </c>
      <c r="B614" t="s">
        <v>1211</v>
      </c>
      <c r="C614" t="s">
        <v>1212</v>
      </c>
      <c r="D614" t="s">
        <v>1213</v>
      </c>
      <c r="E614" t="s">
        <v>1214</v>
      </c>
      <c r="F614" t="str">
        <f>"4065260345"</f>
        <v>4065260345</v>
      </c>
      <c r="G614" t="str">
        <f>"9784065260340"</f>
        <v>9784065260340</v>
      </c>
      <c r="H614">
        <v>4</v>
      </c>
      <c r="I614">
        <v>4.32</v>
      </c>
      <c r="J614" t="s">
        <v>139</v>
      </c>
      <c r="K614" t="s">
        <v>28</v>
      </c>
      <c r="L614">
        <v>192</v>
      </c>
      <c r="M614">
        <v>2021</v>
      </c>
      <c r="N614">
        <v>2021</v>
      </c>
      <c r="O614" s="1">
        <v>44808</v>
      </c>
      <c r="P614" s="1">
        <v>44807</v>
      </c>
      <c r="S614" t="s">
        <v>29</v>
      </c>
      <c r="W614">
        <v>1</v>
      </c>
      <c r="X614">
        <v>0</v>
      </c>
    </row>
    <row r="615" spans="1:24" x14ac:dyDescent="0.25">
      <c r="A615">
        <v>57607973</v>
      </c>
      <c r="B615" t="s">
        <v>1215</v>
      </c>
      <c r="C615" t="s">
        <v>1212</v>
      </c>
      <c r="D615" t="s">
        <v>1213</v>
      </c>
      <c r="E615" t="s">
        <v>1214</v>
      </c>
      <c r="F615" t="str">
        <f>"4065238374"</f>
        <v>4065238374</v>
      </c>
      <c r="G615" t="str">
        <f>"9784065238370"</f>
        <v>9784065238370</v>
      </c>
      <c r="H615">
        <v>4</v>
      </c>
      <c r="I615">
        <v>4.4800000000000004</v>
      </c>
      <c r="J615" t="s">
        <v>139</v>
      </c>
      <c r="K615" t="s">
        <v>28</v>
      </c>
      <c r="L615">
        <v>207</v>
      </c>
      <c r="M615">
        <v>2021</v>
      </c>
      <c r="N615">
        <v>2021</v>
      </c>
      <c r="O615" s="1">
        <v>44807</v>
      </c>
      <c r="P615" s="1">
        <v>44807</v>
      </c>
      <c r="S615" t="s">
        <v>29</v>
      </c>
      <c r="W615">
        <v>1</v>
      </c>
      <c r="X615">
        <v>0</v>
      </c>
    </row>
    <row r="616" spans="1:24" x14ac:dyDescent="0.25">
      <c r="A616">
        <v>56052837</v>
      </c>
      <c r="B616" t="s">
        <v>1216</v>
      </c>
      <c r="C616" t="s">
        <v>1212</v>
      </c>
      <c r="D616" t="s">
        <v>1213</v>
      </c>
      <c r="E616" t="s">
        <v>1214</v>
      </c>
      <c r="F616" t="str">
        <f>"4065225582"</f>
        <v>4065225582</v>
      </c>
      <c r="G616" t="str">
        <f>"9784065225585"</f>
        <v>9784065225585</v>
      </c>
      <c r="H616">
        <v>4</v>
      </c>
      <c r="I616">
        <v>4.3899999999999997</v>
      </c>
      <c r="J616" t="s">
        <v>139</v>
      </c>
      <c r="K616" t="s">
        <v>28</v>
      </c>
      <c r="L616">
        <v>190</v>
      </c>
      <c r="M616">
        <v>2021</v>
      </c>
      <c r="N616">
        <v>2021</v>
      </c>
      <c r="O616" s="1">
        <v>44807</v>
      </c>
      <c r="P616" s="1">
        <v>44807</v>
      </c>
      <c r="S616" t="s">
        <v>29</v>
      </c>
      <c r="W616">
        <v>1</v>
      </c>
      <c r="X616">
        <v>0</v>
      </c>
    </row>
    <row r="617" spans="1:24" x14ac:dyDescent="0.25">
      <c r="A617">
        <v>54244584</v>
      </c>
      <c r="B617" t="s">
        <v>1217</v>
      </c>
      <c r="C617" t="s">
        <v>1212</v>
      </c>
      <c r="D617" t="s">
        <v>1213</v>
      </c>
      <c r="E617" t="s">
        <v>1214</v>
      </c>
      <c r="F617" t="str">
        <f>"1646511697"</f>
        <v>1646511697</v>
      </c>
      <c r="G617" t="str">
        <f>"9781646511693"</f>
        <v>9781646511693</v>
      </c>
      <c r="H617">
        <v>5</v>
      </c>
      <c r="I617">
        <v>4.37</v>
      </c>
      <c r="J617" t="s">
        <v>847</v>
      </c>
      <c r="K617" t="s">
        <v>28</v>
      </c>
      <c r="L617">
        <v>192</v>
      </c>
      <c r="M617">
        <v>2021</v>
      </c>
      <c r="N617">
        <v>2020</v>
      </c>
      <c r="O617" s="1">
        <v>44807</v>
      </c>
      <c r="P617" s="1">
        <v>44807</v>
      </c>
      <c r="S617" t="s">
        <v>29</v>
      </c>
      <c r="W617">
        <v>1</v>
      </c>
      <c r="X617">
        <v>0</v>
      </c>
    </row>
    <row r="618" spans="1:24" x14ac:dyDescent="0.25">
      <c r="A618">
        <v>56239531</v>
      </c>
      <c r="B618" t="s">
        <v>1218</v>
      </c>
      <c r="C618" t="s">
        <v>1212</v>
      </c>
      <c r="D618" t="s">
        <v>1213</v>
      </c>
      <c r="E618" t="s">
        <v>1214</v>
      </c>
      <c r="F618" t="str">
        <f>""</f>
        <v/>
      </c>
      <c r="G618" t="str">
        <f>""</f>
        <v/>
      </c>
      <c r="H618">
        <v>5</v>
      </c>
      <c r="I618">
        <v>4.47</v>
      </c>
      <c r="J618" t="s">
        <v>847</v>
      </c>
      <c r="K618" t="s">
        <v>133</v>
      </c>
      <c r="L618">
        <v>210</v>
      </c>
      <c r="M618">
        <v>2020</v>
      </c>
      <c r="N618">
        <v>2020</v>
      </c>
      <c r="O618" s="1">
        <v>44807</v>
      </c>
      <c r="P618" s="1">
        <v>44807</v>
      </c>
      <c r="S618" t="s">
        <v>29</v>
      </c>
      <c r="W618">
        <v>1</v>
      </c>
      <c r="X618">
        <v>0</v>
      </c>
    </row>
    <row r="619" spans="1:24" x14ac:dyDescent="0.25">
      <c r="A619">
        <v>53418597</v>
      </c>
      <c r="B619" t="s">
        <v>1219</v>
      </c>
      <c r="C619" t="s">
        <v>1212</v>
      </c>
      <c r="D619" t="s">
        <v>1213</v>
      </c>
      <c r="E619" t="s">
        <v>1214</v>
      </c>
      <c r="F619" t="str">
        <f>"1646510747"</f>
        <v>1646510747</v>
      </c>
      <c r="G619" t="str">
        <f>"9781646510740"</f>
        <v>9781646510740</v>
      </c>
      <c r="H619">
        <v>5</v>
      </c>
      <c r="I619">
        <v>4.45</v>
      </c>
      <c r="J619" t="s">
        <v>847</v>
      </c>
      <c r="K619" t="s">
        <v>28</v>
      </c>
      <c r="L619">
        <v>208</v>
      </c>
      <c r="M619">
        <v>2020</v>
      </c>
      <c r="N619">
        <v>2020</v>
      </c>
      <c r="O619" s="1">
        <v>44807</v>
      </c>
      <c r="P619" s="1">
        <v>44807</v>
      </c>
      <c r="S619" t="s">
        <v>29</v>
      </c>
      <c r="W619">
        <v>1</v>
      </c>
      <c r="X619">
        <v>0</v>
      </c>
    </row>
    <row r="620" spans="1:24" x14ac:dyDescent="0.25">
      <c r="A620">
        <v>50206765</v>
      </c>
      <c r="B620" t="s">
        <v>1220</v>
      </c>
      <c r="C620" t="s">
        <v>1212</v>
      </c>
      <c r="D620" t="s">
        <v>1213</v>
      </c>
      <c r="E620" t="s">
        <v>1214</v>
      </c>
      <c r="F620" t="str">
        <f>"1646510070"</f>
        <v>1646510070</v>
      </c>
      <c r="G620" t="str">
        <f>"9781646510078"</f>
        <v>9781646510078</v>
      </c>
      <c r="H620">
        <v>4</v>
      </c>
      <c r="I620">
        <v>4.43</v>
      </c>
      <c r="J620" t="s">
        <v>847</v>
      </c>
      <c r="K620" t="s">
        <v>28</v>
      </c>
      <c r="L620">
        <v>208</v>
      </c>
      <c r="M620">
        <v>2020</v>
      </c>
      <c r="N620">
        <v>2019</v>
      </c>
      <c r="O620" s="1">
        <v>44807</v>
      </c>
      <c r="P620" s="1">
        <v>44807</v>
      </c>
      <c r="S620" t="s">
        <v>29</v>
      </c>
      <c r="W620">
        <v>1</v>
      </c>
      <c r="X620">
        <v>0</v>
      </c>
    </row>
    <row r="621" spans="1:24" x14ac:dyDescent="0.25">
      <c r="A621">
        <v>48557089</v>
      </c>
      <c r="B621" t="s">
        <v>1221</v>
      </c>
      <c r="C621" t="s">
        <v>1212</v>
      </c>
      <c r="D621" t="s">
        <v>1213</v>
      </c>
      <c r="E621" t="s">
        <v>1214</v>
      </c>
      <c r="F621" t="str">
        <f>"1632369265"</f>
        <v>1632369265</v>
      </c>
      <c r="G621" t="str">
        <f>"9781632369260"</f>
        <v>9781632369260</v>
      </c>
      <c r="H621">
        <v>4</v>
      </c>
      <c r="I621">
        <v>4.32</v>
      </c>
      <c r="J621" t="s">
        <v>847</v>
      </c>
      <c r="K621" t="s">
        <v>28</v>
      </c>
      <c r="L621">
        <v>208</v>
      </c>
      <c r="M621">
        <v>2020</v>
      </c>
      <c r="N621">
        <v>2019</v>
      </c>
      <c r="O621" s="1">
        <v>44807</v>
      </c>
      <c r="P621" s="1">
        <v>44807</v>
      </c>
      <c r="S621" t="s">
        <v>29</v>
      </c>
      <c r="W621">
        <v>1</v>
      </c>
      <c r="X621">
        <v>0</v>
      </c>
    </row>
    <row r="622" spans="1:24" x14ac:dyDescent="0.25">
      <c r="A622">
        <v>44072769</v>
      </c>
      <c r="B622" t="s">
        <v>1222</v>
      </c>
      <c r="C622" t="s">
        <v>1212</v>
      </c>
      <c r="D622" t="s">
        <v>1213</v>
      </c>
      <c r="E622" t="s">
        <v>1214</v>
      </c>
      <c r="F622" t="str">
        <f>"1632367491"</f>
        <v>1632367491</v>
      </c>
      <c r="G622" t="str">
        <f>"9781632367495"</f>
        <v>9781632367495</v>
      </c>
      <c r="H622">
        <v>4</v>
      </c>
      <c r="I622">
        <v>4.3600000000000003</v>
      </c>
      <c r="J622" t="s">
        <v>847</v>
      </c>
      <c r="K622" t="s">
        <v>28</v>
      </c>
      <c r="L622">
        <v>208</v>
      </c>
      <c r="M622">
        <v>2019</v>
      </c>
      <c r="N622">
        <v>2019</v>
      </c>
      <c r="O622" s="1">
        <v>44807</v>
      </c>
      <c r="P622" s="1">
        <v>44807</v>
      </c>
      <c r="S622" t="s">
        <v>29</v>
      </c>
      <c r="W622">
        <v>1</v>
      </c>
      <c r="X622">
        <v>0</v>
      </c>
    </row>
    <row r="623" spans="1:24" x14ac:dyDescent="0.25">
      <c r="A623">
        <v>42966218</v>
      </c>
      <c r="B623" t="s">
        <v>1223</v>
      </c>
      <c r="C623" t="s">
        <v>1212</v>
      </c>
      <c r="D623" t="s">
        <v>1213</v>
      </c>
      <c r="E623" t="s">
        <v>1224</v>
      </c>
      <c r="F623" t="str">
        <f>"4065139163"</f>
        <v>4065139163</v>
      </c>
      <c r="G623" t="str">
        <f>"9784065139165"</f>
        <v>9784065139165</v>
      </c>
      <c r="H623">
        <v>4</v>
      </c>
      <c r="I623">
        <v>4.33</v>
      </c>
      <c r="J623" t="s">
        <v>852</v>
      </c>
      <c r="K623" t="s">
        <v>28</v>
      </c>
      <c r="L623">
        <v>192</v>
      </c>
      <c r="M623">
        <v>2018</v>
      </c>
      <c r="N623">
        <v>2018</v>
      </c>
      <c r="O623" s="1">
        <v>44807</v>
      </c>
      <c r="P623" s="1">
        <v>44807</v>
      </c>
      <c r="S623" t="s">
        <v>29</v>
      </c>
      <c r="W623">
        <v>1</v>
      </c>
      <c r="X623">
        <v>0</v>
      </c>
    </row>
    <row r="624" spans="1:24" x14ac:dyDescent="0.25">
      <c r="A624">
        <v>44155877</v>
      </c>
      <c r="B624" t="s">
        <v>1225</v>
      </c>
      <c r="C624" t="s">
        <v>1212</v>
      </c>
      <c r="D624" t="s">
        <v>1213</v>
      </c>
      <c r="E624" t="s">
        <v>1226</v>
      </c>
      <c r="F624" t="str">
        <f>""</f>
        <v/>
      </c>
      <c r="G624" t="str">
        <f>""</f>
        <v/>
      </c>
      <c r="H624">
        <v>4</v>
      </c>
      <c r="I624">
        <v>4.3499999999999996</v>
      </c>
      <c r="J624" t="s">
        <v>847</v>
      </c>
      <c r="K624" t="s">
        <v>133</v>
      </c>
      <c r="L624">
        <v>208</v>
      </c>
      <c r="M624">
        <v>2019</v>
      </c>
      <c r="N624">
        <v>2018</v>
      </c>
      <c r="O624" s="1">
        <v>44807</v>
      </c>
      <c r="P624" s="1">
        <v>44807</v>
      </c>
      <c r="S624" t="s">
        <v>29</v>
      </c>
      <c r="W624">
        <v>1</v>
      </c>
      <c r="X624">
        <v>0</v>
      </c>
    </row>
    <row r="625" spans="1:24" x14ac:dyDescent="0.25">
      <c r="A625">
        <v>42086727</v>
      </c>
      <c r="B625" t="s">
        <v>1227</v>
      </c>
      <c r="C625" t="s">
        <v>1212</v>
      </c>
      <c r="D625" t="s">
        <v>1213</v>
      </c>
      <c r="E625" t="s">
        <v>1226</v>
      </c>
      <c r="F625" t="str">
        <f>""</f>
        <v/>
      </c>
      <c r="G625" t="str">
        <f>""</f>
        <v/>
      </c>
      <c r="H625">
        <v>4</v>
      </c>
      <c r="I625">
        <v>4.37</v>
      </c>
      <c r="J625" t="s">
        <v>847</v>
      </c>
      <c r="K625" t="s">
        <v>133</v>
      </c>
      <c r="L625">
        <v>192</v>
      </c>
      <c r="M625">
        <v>2018</v>
      </c>
      <c r="N625">
        <v>2018</v>
      </c>
      <c r="O625" s="1">
        <v>44807</v>
      </c>
      <c r="P625" s="1">
        <v>44806</v>
      </c>
      <c r="S625" t="s">
        <v>29</v>
      </c>
      <c r="W625">
        <v>1</v>
      </c>
      <c r="X625">
        <v>0</v>
      </c>
    </row>
    <row r="626" spans="1:24" x14ac:dyDescent="0.25">
      <c r="A626">
        <v>41028048</v>
      </c>
      <c r="B626" t="s">
        <v>1228</v>
      </c>
      <c r="C626" t="s">
        <v>1212</v>
      </c>
      <c r="D626" t="s">
        <v>1213</v>
      </c>
      <c r="E626" t="s">
        <v>1226</v>
      </c>
      <c r="F626" t="str">
        <f>""</f>
        <v/>
      </c>
      <c r="G626" t="str">
        <f>""</f>
        <v/>
      </c>
      <c r="H626">
        <v>3</v>
      </c>
      <c r="I626">
        <v>4.37</v>
      </c>
      <c r="J626" t="s">
        <v>847</v>
      </c>
      <c r="K626" t="s">
        <v>133</v>
      </c>
      <c r="L626">
        <v>176</v>
      </c>
      <c r="M626">
        <v>2018</v>
      </c>
      <c r="N626">
        <v>2018</v>
      </c>
      <c r="O626" s="1">
        <v>44806</v>
      </c>
      <c r="P626" s="1">
        <v>44806</v>
      </c>
      <c r="S626" t="s">
        <v>29</v>
      </c>
      <c r="W626">
        <v>1</v>
      </c>
      <c r="X626">
        <v>0</v>
      </c>
    </row>
    <row r="627" spans="1:24" x14ac:dyDescent="0.25">
      <c r="A627">
        <v>40187657</v>
      </c>
      <c r="B627" t="s">
        <v>1229</v>
      </c>
      <c r="C627" t="s">
        <v>1212</v>
      </c>
      <c r="D627" t="s">
        <v>1213</v>
      </c>
      <c r="E627" t="s">
        <v>1226</v>
      </c>
      <c r="F627" t="str">
        <f>""</f>
        <v/>
      </c>
      <c r="G627" t="str">
        <f>""</f>
        <v/>
      </c>
      <c r="H627">
        <v>5</v>
      </c>
      <c r="I627">
        <v>4.3600000000000003</v>
      </c>
      <c r="J627" t="s">
        <v>847</v>
      </c>
      <c r="K627" t="s">
        <v>133</v>
      </c>
      <c r="L627">
        <v>192</v>
      </c>
      <c r="M627">
        <v>2018</v>
      </c>
      <c r="N627">
        <v>2017</v>
      </c>
      <c r="O627" s="1">
        <v>44806</v>
      </c>
      <c r="P627" s="1">
        <v>44806</v>
      </c>
      <c r="S627" t="s">
        <v>29</v>
      </c>
      <c r="W627">
        <v>1</v>
      </c>
      <c r="X627">
        <v>0</v>
      </c>
    </row>
    <row r="628" spans="1:24" x14ac:dyDescent="0.25">
      <c r="A628">
        <v>39355855</v>
      </c>
      <c r="B628" t="s">
        <v>1230</v>
      </c>
      <c r="C628" t="s">
        <v>1212</v>
      </c>
      <c r="D628" t="s">
        <v>1213</v>
      </c>
      <c r="E628" t="s">
        <v>1226</v>
      </c>
      <c r="F628" t="str">
        <f>""</f>
        <v/>
      </c>
      <c r="G628" t="str">
        <f>""</f>
        <v/>
      </c>
      <c r="H628">
        <v>5</v>
      </c>
      <c r="I628">
        <v>4.42</v>
      </c>
      <c r="J628" t="s">
        <v>847</v>
      </c>
      <c r="K628" t="s">
        <v>133</v>
      </c>
      <c r="L628">
        <v>192</v>
      </c>
      <c r="M628">
        <v>2018</v>
      </c>
      <c r="N628">
        <v>2017</v>
      </c>
      <c r="O628" s="1">
        <v>44806</v>
      </c>
      <c r="P628" s="1">
        <v>44806</v>
      </c>
      <c r="S628" t="s">
        <v>29</v>
      </c>
      <c r="W628">
        <v>1</v>
      </c>
      <c r="X628">
        <v>0</v>
      </c>
    </row>
    <row r="629" spans="1:24" x14ac:dyDescent="0.25">
      <c r="A629">
        <v>38457856</v>
      </c>
      <c r="B629" t="s">
        <v>1231</v>
      </c>
      <c r="C629" t="s">
        <v>1212</v>
      </c>
      <c r="D629" t="s">
        <v>1213</v>
      </c>
      <c r="E629" t="s">
        <v>1226</v>
      </c>
      <c r="F629" t="str">
        <f>""</f>
        <v/>
      </c>
      <c r="G629" t="str">
        <f>""</f>
        <v/>
      </c>
      <c r="H629">
        <v>4</v>
      </c>
      <c r="I629">
        <v>4.3600000000000003</v>
      </c>
      <c r="J629" t="s">
        <v>847</v>
      </c>
      <c r="K629" t="s">
        <v>133</v>
      </c>
      <c r="L629">
        <v>192</v>
      </c>
      <c r="M629">
        <v>2018</v>
      </c>
      <c r="N629">
        <v>2017</v>
      </c>
      <c r="O629" s="1">
        <v>44806</v>
      </c>
      <c r="P629" s="1">
        <v>44806</v>
      </c>
      <c r="S629" t="s">
        <v>29</v>
      </c>
      <c r="W629">
        <v>1</v>
      </c>
      <c r="X629">
        <v>0</v>
      </c>
    </row>
    <row r="630" spans="1:24" x14ac:dyDescent="0.25">
      <c r="A630">
        <v>35228680</v>
      </c>
      <c r="B630" t="s">
        <v>1232</v>
      </c>
      <c r="C630" t="s">
        <v>1212</v>
      </c>
      <c r="D630" t="s">
        <v>1213</v>
      </c>
      <c r="E630" t="s">
        <v>1226</v>
      </c>
      <c r="F630" t="str">
        <f>"1632365081"</f>
        <v>1632365081</v>
      </c>
      <c r="G630" t="str">
        <f>"9781632365088"</f>
        <v>9781632365088</v>
      </c>
      <c r="H630">
        <v>5</v>
      </c>
      <c r="I630">
        <v>4.3600000000000003</v>
      </c>
      <c r="J630" t="s">
        <v>847</v>
      </c>
      <c r="K630" t="s">
        <v>28</v>
      </c>
      <c r="L630">
        <v>224</v>
      </c>
      <c r="M630">
        <v>2017</v>
      </c>
      <c r="N630">
        <v>2016</v>
      </c>
      <c r="O630" s="1">
        <v>44806</v>
      </c>
      <c r="P630" s="1">
        <v>44806</v>
      </c>
      <c r="S630" t="s">
        <v>29</v>
      </c>
      <c r="W630">
        <v>1</v>
      </c>
      <c r="X630">
        <v>0</v>
      </c>
    </row>
    <row r="631" spans="1:24" x14ac:dyDescent="0.25">
      <c r="A631">
        <v>36492822</v>
      </c>
      <c r="B631" t="s">
        <v>1233</v>
      </c>
      <c r="C631" t="s">
        <v>1212</v>
      </c>
      <c r="D631" t="s">
        <v>1213</v>
      </c>
      <c r="E631" t="s">
        <v>1226</v>
      </c>
      <c r="F631" t="str">
        <f>""</f>
        <v/>
      </c>
      <c r="G631" t="str">
        <f>""</f>
        <v/>
      </c>
      <c r="H631">
        <v>4</v>
      </c>
      <c r="I631">
        <v>4.33</v>
      </c>
      <c r="J631" t="s">
        <v>139</v>
      </c>
      <c r="K631" t="s">
        <v>133</v>
      </c>
      <c r="L631">
        <v>192</v>
      </c>
      <c r="M631">
        <v>2017</v>
      </c>
      <c r="N631">
        <v>2016</v>
      </c>
      <c r="O631" s="1">
        <v>44806</v>
      </c>
      <c r="P631" s="1">
        <v>44806</v>
      </c>
      <c r="S631" t="s">
        <v>29</v>
      </c>
      <c r="W631">
        <v>1</v>
      </c>
      <c r="X631">
        <v>0</v>
      </c>
    </row>
    <row r="632" spans="1:24" x14ac:dyDescent="0.25">
      <c r="A632">
        <v>36102364</v>
      </c>
      <c r="B632" t="s">
        <v>1234</v>
      </c>
      <c r="C632" t="s">
        <v>1212</v>
      </c>
      <c r="D632" t="s">
        <v>1213</v>
      </c>
      <c r="E632" t="s">
        <v>1226</v>
      </c>
      <c r="F632" t="str">
        <f>""</f>
        <v/>
      </c>
      <c r="G632" t="str">
        <f>""</f>
        <v/>
      </c>
      <c r="H632">
        <v>5</v>
      </c>
      <c r="I632">
        <v>4.26</v>
      </c>
      <c r="J632" t="s">
        <v>847</v>
      </c>
      <c r="K632" t="s">
        <v>133</v>
      </c>
      <c r="L632">
        <v>240</v>
      </c>
      <c r="M632">
        <v>2017</v>
      </c>
      <c r="N632">
        <v>2015</v>
      </c>
      <c r="O632" s="1">
        <v>44806</v>
      </c>
      <c r="P632" s="1">
        <v>44806</v>
      </c>
      <c r="S632" t="s">
        <v>29</v>
      </c>
      <c r="W632">
        <v>1</v>
      </c>
      <c r="X632">
        <v>0</v>
      </c>
    </row>
    <row r="633" spans="1:24" x14ac:dyDescent="0.25">
      <c r="A633">
        <v>38717017</v>
      </c>
      <c r="B633" t="s">
        <v>1235</v>
      </c>
      <c r="C633" t="s">
        <v>1236</v>
      </c>
      <c r="D633" t="s">
        <v>1237</v>
      </c>
      <c r="F633" t="str">
        <f>"4107720810"</f>
        <v>4107720810</v>
      </c>
      <c r="G633" t="str">
        <f>"9784107720818"</f>
        <v>9784107720818</v>
      </c>
      <c r="H633">
        <v>5</v>
      </c>
      <c r="I633">
        <v>4.41</v>
      </c>
      <c r="J633" t="s">
        <v>1238</v>
      </c>
      <c r="K633" t="s">
        <v>28</v>
      </c>
      <c r="L633">
        <v>190</v>
      </c>
      <c r="M633">
        <v>2018</v>
      </c>
      <c r="N633">
        <v>2018</v>
      </c>
      <c r="O633" s="1">
        <v>44806</v>
      </c>
      <c r="P633" s="1">
        <v>44806</v>
      </c>
      <c r="S633" t="s">
        <v>29</v>
      </c>
      <c r="W633">
        <v>1</v>
      </c>
      <c r="X633">
        <v>0</v>
      </c>
    </row>
    <row r="634" spans="1:24" x14ac:dyDescent="0.25">
      <c r="A634">
        <v>26017696</v>
      </c>
      <c r="B634" t="s">
        <v>1239</v>
      </c>
      <c r="C634" t="s">
        <v>1236</v>
      </c>
      <c r="D634" t="s">
        <v>1237</v>
      </c>
      <c r="F634" t="str">
        <f>"4107718263"</f>
        <v>4107718263</v>
      </c>
      <c r="G634" t="str">
        <f>"9784107718266"</f>
        <v>9784107718266</v>
      </c>
      <c r="H634">
        <v>5</v>
      </c>
      <c r="I634">
        <v>4.41</v>
      </c>
      <c r="J634" t="s">
        <v>1240</v>
      </c>
      <c r="K634" t="s">
        <v>28</v>
      </c>
      <c r="L634">
        <v>193</v>
      </c>
      <c r="M634">
        <v>2015</v>
      </c>
      <c r="N634">
        <v>2015</v>
      </c>
      <c r="O634" s="1">
        <v>44806</v>
      </c>
      <c r="P634" s="1">
        <v>44806</v>
      </c>
      <c r="S634" t="s">
        <v>29</v>
      </c>
      <c r="W634">
        <v>1</v>
      </c>
      <c r="X634">
        <v>0</v>
      </c>
    </row>
    <row r="635" spans="1:24" x14ac:dyDescent="0.25">
      <c r="A635">
        <v>22910591</v>
      </c>
      <c r="B635" t="s">
        <v>1241</v>
      </c>
      <c r="C635" t="s">
        <v>1236</v>
      </c>
      <c r="D635" t="s">
        <v>1237</v>
      </c>
      <c r="F635" t="str">
        <f>"4107717550"</f>
        <v>4107717550</v>
      </c>
      <c r="G635" t="str">
        <f>"9784107717559"</f>
        <v>9784107717559</v>
      </c>
      <c r="H635">
        <v>5</v>
      </c>
      <c r="I635">
        <v>4.47</v>
      </c>
      <c r="J635" t="s">
        <v>1238</v>
      </c>
      <c r="K635" t="s">
        <v>28</v>
      </c>
      <c r="L635">
        <v>188</v>
      </c>
      <c r="M635">
        <v>2014</v>
      </c>
      <c r="N635">
        <v>2014</v>
      </c>
      <c r="O635" s="1">
        <v>44806</v>
      </c>
      <c r="P635" s="1">
        <v>44806</v>
      </c>
      <c r="S635" t="s">
        <v>29</v>
      </c>
      <c r="W635">
        <v>1</v>
      </c>
      <c r="X635">
        <v>0</v>
      </c>
    </row>
    <row r="636" spans="1:24" x14ac:dyDescent="0.25">
      <c r="A636">
        <v>20933260</v>
      </c>
      <c r="B636" t="s">
        <v>1242</v>
      </c>
      <c r="C636" t="s">
        <v>1236</v>
      </c>
      <c r="D636" t="s">
        <v>1237</v>
      </c>
      <c r="F636" t="str">
        <f>"4107717194"</f>
        <v>4107717194</v>
      </c>
      <c r="G636" t="str">
        <f>"9784107717191"</f>
        <v>9784107717191</v>
      </c>
      <c r="H636">
        <v>4</v>
      </c>
      <c r="I636">
        <v>4.3600000000000003</v>
      </c>
      <c r="J636" t="s">
        <v>1238</v>
      </c>
      <c r="K636" t="s">
        <v>28</v>
      </c>
      <c r="L636">
        <v>193</v>
      </c>
      <c r="M636">
        <v>2013</v>
      </c>
      <c r="N636">
        <v>2013</v>
      </c>
      <c r="O636" s="1">
        <v>44806</v>
      </c>
      <c r="P636" s="1">
        <v>44805</v>
      </c>
      <c r="S636" t="s">
        <v>29</v>
      </c>
      <c r="W636">
        <v>1</v>
      </c>
      <c r="X636">
        <v>0</v>
      </c>
    </row>
    <row r="637" spans="1:24" x14ac:dyDescent="0.25">
      <c r="A637">
        <v>17706591</v>
      </c>
      <c r="B637" t="s">
        <v>1243</v>
      </c>
      <c r="C637" t="s">
        <v>1236</v>
      </c>
      <c r="D637" t="s">
        <v>1237</v>
      </c>
      <c r="F637" t="str">
        <f>"4107716945"</f>
        <v>4107716945</v>
      </c>
      <c r="G637" t="str">
        <f>"9784107716941"</f>
        <v>9784107716941</v>
      </c>
      <c r="H637">
        <v>5</v>
      </c>
      <c r="I637">
        <v>4.42</v>
      </c>
      <c r="J637" t="s">
        <v>1238</v>
      </c>
      <c r="K637" t="s">
        <v>28</v>
      </c>
      <c r="L637">
        <v>193</v>
      </c>
      <c r="M637">
        <v>2013</v>
      </c>
      <c r="N637">
        <v>2013</v>
      </c>
      <c r="O637" s="1">
        <v>44805</v>
      </c>
      <c r="P637" s="1">
        <v>44804</v>
      </c>
      <c r="S637" t="s">
        <v>29</v>
      </c>
      <c r="W637">
        <v>1</v>
      </c>
      <c r="X637">
        <v>0</v>
      </c>
    </row>
    <row r="638" spans="1:24" x14ac:dyDescent="0.25">
      <c r="A638">
        <v>17706584</v>
      </c>
      <c r="B638" t="s">
        <v>1244</v>
      </c>
      <c r="C638" t="s">
        <v>1236</v>
      </c>
      <c r="D638" t="s">
        <v>1237</v>
      </c>
      <c r="F638" t="str">
        <f>"4107716678"</f>
        <v>4107716678</v>
      </c>
      <c r="G638" t="str">
        <f>"9784107716675"</f>
        <v>9784107716675</v>
      </c>
      <c r="H638">
        <v>5</v>
      </c>
      <c r="I638">
        <v>4.4800000000000004</v>
      </c>
      <c r="J638" t="s">
        <v>1238</v>
      </c>
      <c r="K638" t="s">
        <v>28</v>
      </c>
      <c r="L638">
        <v>193</v>
      </c>
      <c r="M638">
        <v>2012</v>
      </c>
      <c r="N638">
        <v>2012</v>
      </c>
      <c r="O638" s="1">
        <v>44804</v>
      </c>
      <c r="P638" s="1">
        <v>44803</v>
      </c>
      <c r="S638" t="s">
        <v>29</v>
      </c>
      <c r="W638">
        <v>1</v>
      </c>
      <c r="X638">
        <v>0</v>
      </c>
    </row>
    <row r="639" spans="1:24" x14ac:dyDescent="0.25">
      <c r="A639">
        <v>386162</v>
      </c>
      <c r="B639" t="s">
        <v>1245</v>
      </c>
      <c r="C639" t="s">
        <v>689</v>
      </c>
      <c r="D639" t="s">
        <v>690</v>
      </c>
      <c r="F639" t="str">
        <f>""</f>
        <v/>
      </c>
      <c r="G639" t="str">
        <f>""</f>
        <v/>
      </c>
      <c r="H639">
        <v>5</v>
      </c>
      <c r="I639">
        <v>4.2300000000000004</v>
      </c>
      <c r="J639" t="s">
        <v>691</v>
      </c>
      <c r="K639" t="s">
        <v>28</v>
      </c>
      <c r="L639">
        <v>193</v>
      </c>
      <c r="M639">
        <v>2007</v>
      </c>
      <c r="N639">
        <v>1979</v>
      </c>
      <c r="O639" s="1">
        <v>44609</v>
      </c>
      <c r="P639" s="1">
        <v>43688</v>
      </c>
      <c r="S639" t="s">
        <v>29</v>
      </c>
      <c r="W639">
        <v>2</v>
      </c>
      <c r="X639">
        <v>0</v>
      </c>
    </row>
    <row r="640" spans="1:24" x14ac:dyDescent="0.25">
      <c r="A640">
        <v>17706572</v>
      </c>
      <c r="B640" t="s">
        <v>1246</v>
      </c>
      <c r="C640" t="s">
        <v>1236</v>
      </c>
      <c r="D640" t="s">
        <v>1237</v>
      </c>
      <c r="F640" t="str">
        <f>"4107716465"</f>
        <v>4107716465</v>
      </c>
      <c r="G640" t="str">
        <f>"9784107716460"</f>
        <v>9784107716460</v>
      </c>
      <c r="H640">
        <v>5</v>
      </c>
      <c r="I640">
        <v>4.38</v>
      </c>
      <c r="J640" t="s">
        <v>1238</v>
      </c>
      <c r="K640" t="s">
        <v>28</v>
      </c>
      <c r="L640">
        <v>209</v>
      </c>
      <c r="M640">
        <v>2012</v>
      </c>
      <c r="N640">
        <v>2012</v>
      </c>
      <c r="O640" s="1">
        <v>44803</v>
      </c>
      <c r="P640" s="1">
        <v>44803</v>
      </c>
      <c r="S640" t="s">
        <v>29</v>
      </c>
      <c r="W640">
        <v>1</v>
      </c>
      <c r="X640">
        <v>0</v>
      </c>
    </row>
    <row r="641" spans="1:24" x14ac:dyDescent="0.25">
      <c r="A641">
        <v>17706570</v>
      </c>
      <c r="B641" t="s">
        <v>1247</v>
      </c>
      <c r="C641" t="s">
        <v>1236</v>
      </c>
      <c r="D641" t="s">
        <v>1237</v>
      </c>
      <c r="F641" t="str">
        <f>"4107716252"</f>
        <v>4107716252</v>
      </c>
      <c r="G641" t="str">
        <f>"9784107716255"</f>
        <v>9784107716255</v>
      </c>
      <c r="H641">
        <v>5</v>
      </c>
      <c r="I641">
        <v>4.3099999999999996</v>
      </c>
      <c r="J641" t="s">
        <v>1238</v>
      </c>
      <c r="K641" t="s">
        <v>28</v>
      </c>
      <c r="L641">
        <v>193</v>
      </c>
      <c r="M641">
        <v>2011</v>
      </c>
      <c r="N641">
        <v>2011</v>
      </c>
      <c r="O641" s="1">
        <v>44803</v>
      </c>
      <c r="P641" s="1">
        <v>44803</v>
      </c>
      <c r="S641" t="s">
        <v>29</v>
      </c>
      <c r="W641">
        <v>1</v>
      </c>
      <c r="X641">
        <v>0</v>
      </c>
    </row>
    <row r="642" spans="1:24" x14ac:dyDescent="0.25">
      <c r="A642">
        <v>6909334</v>
      </c>
      <c r="B642" t="s">
        <v>1248</v>
      </c>
      <c r="C642" t="s">
        <v>1249</v>
      </c>
      <c r="D642" t="s">
        <v>1250</v>
      </c>
      <c r="F642" t="str">
        <f>"9953890315"</f>
        <v>9953890315</v>
      </c>
      <c r="G642" t="str">
        <f>"9789953890319"</f>
        <v>9789953890319</v>
      </c>
      <c r="H642">
        <v>5</v>
      </c>
      <c r="I642">
        <v>4.33</v>
      </c>
      <c r="J642" t="s">
        <v>1251</v>
      </c>
      <c r="K642" t="s">
        <v>28</v>
      </c>
      <c r="L642">
        <v>383</v>
      </c>
      <c r="M642">
        <v>2008</v>
      </c>
      <c r="N642">
        <v>2007</v>
      </c>
      <c r="O642" s="1">
        <v>44802</v>
      </c>
      <c r="P642" s="1">
        <v>44802</v>
      </c>
      <c r="S642" t="s">
        <v>29</v>
      </c>
      <c r="W642">
        <v>1</v>
      </c>
      <c r="X642">
        <v>0</v>
      </c>
    </row>
    <row r="643" spans="1:24" x14ac:dyDescent="0.25">
      <c r="A643">
        <v>13541297</v>
      </c>
      <c r="B643" t="s">
        <v>1252</v>
      </c>
      <c r="C643" t="s">
        <v>1253</v>
      </c>
      <c r="D643" t="s">
        <v>1254</v>
      </c>
      <c r="F643" t="str">
        <f>""</f>
        <v/>
      </c>
      <c r="G643" t="str">
        <f>"9784088701882"</f>
        <v>9784088701882</v>
      </c>
      <c r="H643">
        <v>4</v>
      </c>
      <c r="I643">
        <v>4.2699999999999996</v>
      </c>
      <c r="J643" t="s">
        <v>53</v>
      </c>
      <c r="K643" t="s">
        <v>28</v>
      </c>
      <c r="L643">
        <v>208</v>
      </c>
      <c r="M643">
        <v>2011</v>
      </c>
      <c r="N643">
        <v>2011</v>
      </c>
      <c r="O643" s="1">
        <v>44802</v>
      </c>
      <c r="P643" s="1">
        <v>44802</v>
      </c>
      <c r="S643" t="s">
        <v>29</v>
      </c>
      <c r="W643">
        <v>1</v>
      </c>
      <c r="X643">
        <v>0</v>
      </c>
    </row>
    <row r="644" spans="1:24" x14ac:dyDescent="0.25">
      <c r="A644">
        <v>12407419</v>
      </c>
      <c r="B644" t="s">
        <v>1255</v>
      </c>
      <c r="C644" t="s">
        <v>1253</v>
      </c>
      <c r="D644" t="s">
        <v>1254</v>
      </c>
      <c r="E644" t="s">
        <v>1253</v>
      </c>
      <c r="F644" t="str">
        <f>""</f>
        <v/>
      </c>
      <c r="G644" t="str">
        <f>""</f>
        <v/>
      </c>
      <c r="H644">
        <v>3</v>
      </c>
      <c r="I644">
        <v>4.28</v>
      </c>
      <c r="J644" t="s">
        <v>53</v>
      </c>
      <c r="K644" t="s">
        <v>28</v>
      </c>
      <c r="L644">
        <v>192</v>
      </c>
      <c r="M644">
        <v>2011</v>
      </c>
      <c r="N644">
        <v>2011</v>
      </c>
      <c r="O644" s="1">
        <v>44802</v>
      </c>
      <c r="P644" s="1">
        <v>44802</v>
      </c>
      <c r="S644" t="s">
        <v>29</v>
      </c>
      <c r="W644">
        <v>1</v>
      </c>
      <c r="X644">
        <v>0</v>
      </c>
    </row>
    <row r="645" spans="1:24" x14ac:dyDescent="0.25">
      <c r="A645">
        <v>13541294</v>
      </c>
      <c r="B645" t="s">
        <v>1256</v>
      </c>
      <c r="C645" t="s">
        <v>1253</v>
      </c>
      <c r="D645" t="s">
        <v>1254</v>
      </c>
      <c r="F645" t="str">
        <f>""</f>
        <v/>
      </c>
      <c r="G645" t="str">
        <f>"9784088701585"</f>
        <v>9784088701585</v>
      </c>
      <c r="H645">
        <v>4</v>
      </c>
      <c r="I645">
        <v>4.3099999999999996</v>
      </c>
      <c r="J645" t="s">
        <v>53</v>
      </c>
      <c r="K645" t="s">
        <v>28</v>
      </c>
      <c r="L645">
        <v>192</v>
      </c>
      <c r="M645">
        <v>2010</v>
      </c>
      <c r="N645">
        <v>2010</v>
      </c>
      <c r="O645" s="1">
        <v>44802</v>
      </c>
      <c r="P645" s="1">
        <v>44802</v>
      </c>
      <c r="S645" t="s">
        <v>29</v>
      </c>
      <c r="W645">
        <v>1</v>
      </c>
      <c r="X645">
        <v>0</v>
      </c>
    </row>
    <row r="646" spans="1:24" x14ac:dyDescent="0.25">
      <c r="A646">
        <v>9249561</v>
      </c>
      <c r="B646" t="s">
        <v>1257</v>
      </c>
      <c r="C646" t="s">
        <v>1253</v>
      </c>
      <c r="D646" t="s">
        <v>1254</v>
      </c>
      <c r="E646" t="s">
        <v>1253</v>
      </c>
      <c r="F646" t="str">
        <f>"4088701496"</f>
        <v>4088701496</v>
      </c>
      <c r="G646" t="str">
        <f>"9784088701493"</f>
        <v>9784088701493</v>
      </c>
      <c r="H646">
        <v>4</v>
      </c>
      <c r="I646">
        <v>4.2699999999999996</v>
      </c>
      <c r="J646" t="s">
        <v>53</v>
      </c>
      <c r="K646" t="s">
        <v>28</v>
      </c>
      <c r="L646">
        <v>192</v>
      </c>
      <c r="M646">
        <v>2010</v>
      </c>
      <c r="N646">
        <v>2010</v>
      </c>
      <c r="O646" s="1">
        <v>44802</v>
      </c>
      <c r="P646" s="1">
        <v>44801</v>
      </c>
      <c r="S646" t="s">
        <v>29</v>
      </c>
      <c r="W646">
        <v>1</v>
      </c>
      <c r="X646">
        <v>0</v>
      </c>
    </row>
    <row r="647" spans="1:24" x14ac:dyDescent="0.25">
      <c r="A647">
        <v>10135395</v>
      </c>
      <c r="B647" t="s">
        <v>1258</v>
      </c>
      <c r="C647" t="s">
        <v>1253</v>
      </c>
      <c r="D647" t="s">
        <v>1254</v>
      </c>
      <c r="F647" t="str">
        <f>"4088701046"</f>
        <v>4088701046</v>
      </c>
      <c r="G647" t="str">
        <f>"9784088701042"</f>
        <v>9784088701042</v>
      </c>
      <c r="H647">
        <v>4</v>
      </c>
      <c r="I647">
        <v>4.29</v>
      </c>
      <c r="J647" t="s">
        <v>53</v>
      </c>
      <c r="K647" t="s">
        <v>28</v>
      </c>
      <c r="L647">
        <v>200</v>
      </c>
      <c r="M647">
        <v>2010</v>
      </c>
      <c r="N647">
        <v>2010</v>
      </c>
      <c r="O647" s="1">
        <v>44800</v>
      </c>
      <c r="P647" s="1">
        <v>44801</v>
      </c>
      <c r="S647" t="s">
        <v>29</v>
      </c>
      <c r="W647">
        <v>1</v>
      </c>
      <c r="X647">
        <v>0</v>
      </c>
    </row>
    <row r="648" spans="1:24" x14ac:dyDescent="0.25">
      <c r="A648">
        <v>7992585</v>
      </c>
      <c r="B648" t="s">
        <v>1259</v>
      </c>
      <c r="C648" t="s">
        <v>1253</v>
      </c>
      <c r="D648" t="s">
        <v>1254</v>
      </c>
      <c r="F648" t="str">
        <f>"4088700481"</f>
        <v>4088700481</v>
      </c>
      <c r="G648" t="str">
        <f>"9784088700489"</f>
        <v>9784088700489</v>
      </c>
      <c r="H648">
        <v>5</v>
      </c>
      <c r="I648">
        <v>4.26</v>
      </c>
      <c r="J648" t="s">
        <v>53</v>
      </c>
      <c r="K648" t="s">
        <v>28</v>
      </c>
      <c r="L648">
        <v>192</v>
      </c>
      <c r="M648">
        <v>2010</v>
      </c>
      <c r="N648">
        <v>2010</v>
      </c>
      <c r="O648" s="1">
        <v>44801</v>
      </c>
      <c r="P648" s="1">
        <v>44801</v>
      </c>
      <c r="S648" t="s">
        <v>29</v>
      </c>
      <c r="W648">
        <v>1</v>
      </c>
      <c r="X648">
        <v>0</v>
      </c>
    </row>
    <row r="649" spans="1:24" x14ac:dyDescent="0.25">
      <c r="A649">
        <v>7992584</v>
      </c>
      <c r="B649" t="s">
        <v>1260</v>
      </c>
      <c r="C649" t="s">
        <v>1253</v>
      </c>
      <c r="D649" t="s">
        <v>1254</v>
      </c>
      <c r="F649" t="str">
        <f>"4088700139"</f>
        <v>4088700139</v>
      </c>
      <c r="G649" t="str">
        <f>"9784088700137"</f>
        <v>9784088700137</v>
      </c>
      <c r="H649">
        <v>5</v>
      </c>
      <c r="I649">
        <v>4.3499999999999996</v>
      </c>
      <c r="J649" t="s">
        <v>53</v>
      </c>
      <c r="K649" t="s">
        <v>28</v>
      </c>
      <c r="L649">
        <v>192</v>
      </c>
      <c r="M649">
        <v>2010</v>
      </c>
      <c r="N649">
        <v>2010</v>
      </c>
      <c r="O649" s="1">
        <v>44801</v>
      </c>
      <c r="P649" s="1">
        <v>44801</v>
      </c>
      <c r="S649" t="s">
        <v>29</v>
      </c>
      <c r="W649">
        <v>1</v>
      </c>
      <c r="X649">
        <v>0</v>
      </c>
    </row>
    <row r="650" spans="1:24" x14ac:dyDescent="0.25">
      <c r="A650">
        <v>7952698</v>
      </c>
      <c r="B650" t="s">
        <v>1261</v>
      </c>
      <c r="C650" t="s">
        <v>1253</v>
      </c>
      <c r="D650" t="s">
        <v>1254</v>
      </c>
      <c r="F650" t="str">
        <f>"4088747666"</f>
        <v>4088747666</v>
      </c>
      <c r="G650" t="str">
        <f>"9784088747668"</f>
        <v>9784088747668</v>
      </c>
      <c r="H650">
        <v>5</v>
      </c>
      <c r="I650">
        <v>4.33</v>
      </c>
      <c r="J650" t="s">
        <v>1158</v>
      </c>
      <c r="K650" t="s">
        <v>28</v>
      </c>
      <c r="L650">
        <v>192</v>
      </c>
      <c r="M650">
        <v>2010</v>
      </c>
      <c r="N650">
        <v>2010</v>
      </c>
      <c r="O650" s="1">
        <v>44801</v>
      </c>
      <c r="P650" s="1">
        <v>44801</v>
      </c>
      <c r="S650" t="s">
        <v>29</v>
      </c>
      <c r="W650">
        <v>1</v>
      </c>
      <c r="X650">
        <v>0</v>
      </c>
    </row>
    <row r="651" spans="1:24" x14ac:dyDescent="0.25">
      <c r="A651">
        <v>7952699</v>
      </c>
      <c r="B651" t="s">
        <v>1262</v>
      </c>
      <c r="C651" t="s">
        <v>1253</v>
      </c>
      <c r="D651" t="s">
        <v>1254</v>
      </c>
      <c r="F651" t="str">
        <f>"4088747372"</f>
        <v>4088747372</v>
      </c>
      <c r="G651" t="str">
        <f>"9784088747378"</f>
        <v>9784088747378</v>
      </c>
      <c r="H651">
        <v>5</v>
      </c>
      <c r="I651">
        <v>4.38</v>
      </c>
      <c r="J651" t="s">
        <v>1158</v>
      </c>
      <c r="K651" t="s">
        <v>28</v>
      </c>
      <c r="L651">
        <v>200</v>
      </c>
      <c r="M651">
        <v>2009</v>
      </c>
      <c r="N651">
        <v>2009</v>
      </c>
      <c r="O651" s="1">
        <v>44801</v>
      </c>
      <c r="P651" s="1">
        <v>44801</v>
      </c>
      <c r="S651" t="s">
        <v>29</v>
      </c>
      <c r="W651">
        <v>1</v>
      </c>
      <c r="X651">
        <v>0</v>
      </c>
    </row>
    <row r="652" spans="1:24" x14ac:dyDescent="0.25">
      <c r="A652">
        <v>7992587</v>
      </c>
      <c r="B652" t="s">
        <v>1263</v>
      </c>
      <c r="C652" t="s">
        <v>1253</v>
      </c>
      <c r="D652" t="s">
        <v>1254</v>
      </c>
      <c r="F652" t="str">
        <f>"408874716"</f>
        <v>408874716</v>
      </c>
      <c r="G652" t="str">
        <f>"9784088747163"</f>
        <v>9784088747163</v>
      </c>
      <c r="H652">
        <v>5</v>
      </c>
      <c r="I652">
        <v>4.3099999999999996</v>
      </c>
      <c r="J652" t="s">
        <v>1158</v>
      </c>
      <c r="K652" t="s">
        <v>28</v>
      </c>
      <c r="L652">
        <v>192</v>
      </c>
      <c r="M652">
        <v>2009</v>
      </c>
      <c r="N652">
        <v>2009</v>
      </c>
      <c r="O652" s="1">
        <v>44801</v>
      </c>
      <c r="P652" s="1">
        <v>44801</v>
      </c>
      <c r="S652" t="s">
        <v>29</v>
      </c>
      <c r="W652">
        <v>1</v>
      </c>
      <c r="X652">
        <v>0</v>
      </c>
    </row>
    <row r="653" spans="1:24" x14ac:dyDescent="0.25">
      <c r="A653">
        <v>13259265</v>
      </c>
      <c r="B653" t="s">
        <v>1264</v>
      </c>
      <c r="C653" t="s">
        <v>1253</v>
      </c>
      <c r="D653" t="s">
        <v>1254</v>
      </c>
      <c r="F653" t="str">
        <f>"1421536811"</f>
        <v>1421536811</v>
      </c>
      <c r="G653" t="str">
        <f>"9781421536811"</f>
        <v>9781421536811</v>
      </c>
      <c r="H653">
        <v>5</v>
      </c>
      <c r="I653">
        <v>4.3</v>
      </c>
      <c r="J653" t="s">
        <v>1265</v>
      </c>
      <c r="K653" t="s">
        <v>1266</v>
      </c>
      <c r="L653">
        <v>192</v>
      </c>
      <c r="M653">
        <v>2012</v>
      </c>
      <c r="N653">
        <v>2009</v>
      </c>
      <c r="O653" s="1">
        <v>44801</v>
      </c>
      <c r="P653" s="1">
        <v>44800</v>
      </c>
      <c r="S653" t="s">
        <v>29</v>
      </c>
      <c r="W653">
        <v>1</v>
      </c>
      <c r="X653">
        <v>0</v>
      </c>
    </row>
    <row r="654" spans="1:24" x14ac:dyDescent="0.25">
      <c r="A654">
        <v>55577662</v>
      </c>
      <c r="B654" t="s">
        <v>1267</v>
      </c>
      <c r="C654" t="s">
        <v>1268</v>
      </c>
      <c r="D654" t="s">
        <v>1269</v>
      </c>
      <c r="E654" t="s">
        <v>1270</v>
      </c>
      <c r="F654" t="str">
        <f>"0062996215"</f>
        <v>0062996215</v>
      </c>
      <c r="G654" t="str">
        <f>"9780062996213"</f>
        <v>9780062996213</v>
      </c>
      <c r="H654">
        <v>4</v>
      </c>
      <c r="I654">
        <v>4.22</v>
      </c>
      <c r="J654" t="s">
        <v>1271</v>
      </c>
      <c r="K654" t="s">
        <v>34</v>
      </c>
      <c r="L654">
        <v>336</v>
      </c>
      <c r="M654">
        <v>2021</v>
      </c>
      <c r="N654">
        <v>2021</v>
      </c>
      <c r="O654" s="1">
        <v>44801</v>
      </c>
      <c r="P654" s="1">
        <v>44801</v>
      </c>
      <c r="S654" t="s">
        <v>29</v>
      </c>
      <c r="W654">
        <v>1</v>
      </c>
      <c r="X654">
        <v>0</v>
      </c>
    </row>
    <row r="655" spans="1:24" x14ac:dyDescent="0.25">
      <c r="A655">
        <v>61038961</v>
      </c>
      <c r="B655" t="s">
        <v>1272</v>
      </c>
      <c r="C655" t="s">
        <v>1071</v>
      </c>
      <c r="D655" t="s">
        <v>1072</v>
      </c>
      <c r="F655" t="str">
        <f>""</f>
        <v/>
      </c>
      <c r="G655" t="str">
        <f>"9786030359349"</f>
        <v>9786030359349</v>
      </c>
      <c r="H655">
        <v>0</v>
      </c>
      <c r="I655">
        <v>0</v>
      </c>
      <c r="J655" t="s">
        <v>1273</v>
      </c>
      <c r="K655" t="s">
        <v>34</v>
      </c>
      <c r="L655">
        <v>411</v>
      </c>
      <c r="M655">
        <v>2021</v>
      </c>
      <c r="P655" s="1">
        <v>44800</v>
      </c>
      <c r="Q655" t="s">
        <v>35</v>
      </c>
      <c r="R655" t="s">
        <v>1274</v>
      </c>
      <c r="S655" t="s">
        <v>35</v>
      </c>
      <c r="W655">
        <v>0</v>
      </c>
      <c r="X655">
        <v>0</v>
      </c>
    </row>
    <row r="656" spans="1:24" x14ac:dyDescent="0.25">
      <c r="A656">
        <v>13259250</v>
      </c>
      <c r="B656" t="s">
        <v>1275</v>
      </c>
      <c r="C656" t="s">
        <v>1253</v>
      </c>
      <c r="D656" t="s">
        <v>1254</v>
      </c>
      <c r="F656" t="str">
        <f>"1421536803"</f>
        <v>1421536803</v>
      </c>
      <c r="G656" t="str">
        <f>"9781421536804"</f>
        <v>9781421536804</v>
      </c>
      <c r="H656">
        <v>5</v>
      </c>
      <c r="I656">
        <v>4.29</v>
      </c>
      <c r="J656" t="s">
        <v>1265</v>
      </c>
      <c r="K656" t="s">
        <v>1266</v>
      </c>
      <c r="L656">
        <v>192</v>
      </c>
      <c r="M656">
        <v>2012</v>
      </c>
      <c r="N656">
        <v>2009</v>
      </c>
      <c r="O656" s="1">
        <v>44800</v>
      </c>
      <c r="P656" s="1">
        <v>44800</v>
      </c>
      <c r="S656" t="s">
        <v>29</v>
      </c>
      <c r="W656">
        <v>1</v>
      </c>
      <c r="X656">
        <v>0</v>
      </c>
    </row>
    <row r="657" spans="1:24" x14ac:dyDescent="0.25">
      <c r="A657">
        <v>13259896</v>
      </c>
      <c r="B657" t="s">
        <v>1276</v>
      </c>
      <c r="C657" t="s">
        <v>1253</v>
      </c>
      <c r="D657" t="s">
        <v>1254</v>
      </c>
      <c r="F657" t="str">
        <f>"142153679X"</f>
        <v>142153679X</v>
      </c>
      <c r="G657" t="str">
        <f>"9781421536798"</f>
        <v>9781421536798</v>
      </c>
      <c r="H657">
        <v>5</v>
      </c>
      <c r="I657">
        <v>4.34</v>
      </c>
      <c r="J657" t="s">
        <v>27</v>
      </c>
      <c r="K657" t="s">
        <v>28</v>
      </c>
      <c r="L657">
        <v>208</v>
      </c>
      <c r="M657">
        <v>2012</v>
      </c>
      <c r="N657">
        <v>2009</v>
      </c>
      <c r="O657" s="1">
        <v>44800</v>
      </c>
      <c r="P657" s="1">
        <v>44800</v>
      </c>
      <c r="S657" t="s">
        <v>29</v>
      </c>
      <c r="W657">
        <v>1</v>
      </c>
      <c r="X657">
        <v>0</v>
      </c>
    </row>
    <row r="658" spans="1:24" x14ac:dyDescent="0.25">
      <c r="A658">
        <v>54511226</v>
      </c>
      <c r="B658" t="s">
        <v>1277</v>
      </c>
      <c r="C658" t="s">
        <v>160</v>
      </c>
      <c r="D658" t="s">
        <v>161</v>
      </c>
      <c r="F658" t="str">
        <f>""</f>
        <v/>
      </c>
      <c r="G658" t="str">
        <f>""</f>
        <v/>
      </c>
      <c r="H658">
        <v>5</v>
      </c>
      <c r="I658">
        <v>4.51</v>
      </c>
      <c r="J658" t="s">
        <v>1278</v>
      </c>
      <c r="K658" t="s">
        <v>133</v>
      </c>
      <c r="L658">
        <v>171</v>
      </c>
      <c r="M658">
        <v>2020</v>
      </c>
      <c r="N658">
        <v>2020</v>
      </c>
      <c r="O658" s="1">
        <v>44800</v>
      </c>
      <c r="P658" s="1">
        <v>44795</v>
      </c>
      <c r="S658" t="s">
        <v>29</v>
      </c>
      <c r="W658">
        <v>1</v>
      </c>
      <c r="X658">
        <v>0</v>
      </c>
    </row>
    <row r="659" spans="1:24" x14ac:dyDescent="0.25">
      <c r="A659">
        <v>13259897</v>
      </c>
      <c r="B659" t="s">
        <v>1279</v>
      </c>
      <c r="C659" t="s">
        <v>1253</v>
      </c>
      <c r="D659" t="s">
        <v>1254</v>
      </c>
      <c r="F659" t="str">
        <f>"1421536781"</f>
        <v>1421536781</v>
      </c>
      <c r="G659" t="str">
        <f>"9781421536781"</f>
        <v>9781421536781</v>
      </c>
      <c r="H659">
        <v>5</v>
      </c>
      <c r="I659">
        <v>4.2699999999999996</v>
      </c>
      <c r="J659" t="s">
        <v>27</v>
      </c>
      <c r="K659" t="s">
        <v>28</v>
      </c>
      <c r="L659">
        <v>192</v>
      </c>
      <c r="M659">
        <v>2012</v>
      </c>
      <c r="N659">
        <v>2008</v>
      </c>
      <c r="O659" s="1">
        <v>44800</v>
      </c>
      <c r="P659" s="1">
        <v>44800</v>
      </c>
      <c r="S659" t="s">
        <v>29</v>
      </c>
      <c r="W659">
        <v>1</v>
      </c>
      <c r="X659">
        <v>0</v>
      </c>
    </row>
    <row r="660" spans="1:24" x14ac:dyDescent="0.25">
      <c r="A660">
        <v>12713359</v>
      </c>
      <c r="B660" t="s">
        <v>1280</v>
      </c>
      <c r="C660" t="s">
        <v>1253</v>
      </c>
      <c r="D660" t="s">
        <v>1254</v>
      </c>
      <c r="F660" t="str">
        <f>"1421536773"</f>
        <v>1421536773</v>
      </c>
      <c r="G660" t="str">
        <f>"9781421536774"</f>
        <v>9781421536774</v>
      </c>
      <c r="H660">
        <v>5</v>
      </c>
      <c r="I660">
        <v>4.1900000000000004</v>
      </c>
      <c r="J660" t="s">
        <v>27</v>
      </c>
      <c r="K660" t="s">
        <v>28</v>
      </c>
      <c r="L660">
        <v>192</v>
      </c>
      <c r="M660">
        <v>2012</v>
      </c>
      <c r="N660">
        <v>2008</v>
      </c>
      <c r="O660" s="1">
        <v>44800</v>
      </c>
      <c r="P660" s="1">
        <v>44800</v>
      </c>
      <c r="S660" t="s">
        <v>29</v>
      </c>
      <c r="W660">
        <v>1</v>
      </c>
      <c r="X660">
        <v>0</v>
      </c>
    </row>
    <row r="661" spans="1:24" x14ac:dyDescent="0.25">
      <c r="A661">
        <v>9939629</v>
      </c>
      <c r="B661" t="s">
        <v>1281</v>
      </c>
      <c r="C661" t="s">
        <v>1253</v>
      </c>
      <c r="D661" t="s">
        <v>1254</v>
      </c>
      <c r="F661" t="str">
        <f>"1421536765"</f>
        <v>1421536765</v>
      </c>
      <c r="G661" t="str">
        <f>"9781421536767"</f>
        <v>9781421536767</v>
      </c>
      <c r="H661">
        <v>5</v>
      </c>
      <c r="I661">
        <v>4.16</v>
      </c>
      <c r="J661" t="s">
        <v>399</v>
      </c>
      <c r="K661" t="s">
        <v>28</v>
      </c>
      <c r="L661">
        <v>200</v>
      </c>
      <c r="M661">
        <v>2011</v>
      </c>
      <c r="N661">
        <v>2008</v>
      </c>
      <c r="O661" s="1">
        <v>44800</v>
      </c>
      <c r="P661" s="1">
        <v>44800</v>
      </c>
      <c r="S661" t="s">
        <v>29</v>
      </c>
      <c r="W661">
        <v>1</v>
      </c>
      <c r="X661">
        <v>0</v>
      </c>
    </row>
    <row r="662" spans="1:24" x14ac:dyDescent="0.25">
      <c r="A662">
        <v>22401422</v>
      </c>
      <c r="B662" t="s">
        <v>1282</v>
      </c>
      <c r="C662" t="s">
        <v>1283</v>
      </c>
      <c r="D662" t="s">
        <v>1284</v>
      </c>
      <c r="F662" t="str">
        <f>"4088802284"</f>
        <v>4088802284</v>
      </c>
      <c r="G662" t="str">
        <f>"9784088802282"</f>
        <v>9784088802282</v>
      </c>
      <c r="H662">
        <v>5</v>
      </c>
      <c r="I662">
        <v>4.46</v>
      </c>
      <c r="J662" t="s">
        <v>55</v>
      </c>
      <c r="K662" t="s">
        <v>28</v>
      </c>
      <c r="L662">
        <v>192</v>
      </c>
      <c r="M662">
        <v>2014</v>
      </c>
      <c r="N662">
        <v>2014</v>
      </c>
      <c r="O662" s="1">
        <v>44799</v>
      </c>
      <c r="P662" s="1">
        <v>44799</v>
      </c>
      <c r="S662" t="s">
        <v>29</v>
      </c>
      <c r="W662">
        <v>1</v>
      </c>
      <c r="X662">
        <v>0</v>
      </c>
    </row>
    <row r="663" spans="1:24" x14ac:dyDescent="0.25">
      <c r="A663">
        <v>22399863</v>
      </c>
      <c r="B663" t="s">
        <v>1285</v>
      </c>
      <c r="C663" t="s">
        <v>1283</v>
      </c>
      <c r="D663" t="s">
        <v>1284</v>
      </c>
      <c r="F663" t="str">
        <f>"4088800761"</f>
        <v>4088800761</v>
      </c>
      <c r="G663" t="str">
        <f>"9784088800769"</f>
        <v>9784088800769</v>
      </c>
      <c r="H663">
        <v>4</v>
      </c>
      <c r="I663">
        <v>4.34</v>
      </c>
      <c r="J663" t="s">
        <v>53</v>
      </c>
      <c r="K663" t="s">
        <v>28</v>
      </c>
      <c r="L663">
        <v>192</v>
      </c>
      <c r="M663">
        <v>2014</v>
      </c>
      <c r="N663">
        <v>2014</v>
      </c>
      <c r="O663" s="1">
        <v>44799</v>
      </c>
      <c r="P663" s="1">
        <v>44799</v>
      </c>
      <c r="S663" t="s">
        <v>29</v>
      </c>
      <c r="W663">
        <v>1</v>
      </c>
      <c r="X663">
        <v>0</v>
      </c>
    </row>
    <row r="664" spans="1:24" x14ac:dyDescent="0.25">
      <c r="A664">
        <v>19810420</v>
      </c>
      <c r="B664" t="s">
        <v>1286</v>
      </c>
      <c r="C664" t="s">
        <v>1283</v>
      </c>
      <c r="D664" t="s">
        <v>1284</v>
      </c>
      <c r="F664" t="str">
        <f>"408870858X"</f>
        <v>408870858X</v>
      </c>
      <c r="G664" t="str">
        <f>"9784088708584"</f>
        <v>9784088708584</v>
      </c>
      <c r="H664">
        <v>4</v>
      </c>
      <c r="I664">
        <v>4.29</v>
      </c>
      <c r="J664" t="s">
        <v>55</v>
      </c>
      <c r="K664" t="s">
        <v>28</v>
      </c>
      <c r="L664">
        <v>192</v>
      </c>
      <c r="M664">
        <v>2013</v>
      </c>
      <c r="N664">
        <v>2013</v>
      </c>
      <c r="O664" s="1">
        <v>44799</v>
      </c>
      <c r="P664" s="1">
        <v>44799</v>
      </c>
      <c r="S664" t="s">
        <v>29</v>
      </c>
      <c r="W664">
        <v>1</v>
      </c>
      <c r="X664">
        <v>0</v>
      </c>
    </row>
    <row r="665" spans="1:24" x14ac:dyDescent="0.25">
      <c r="A665">
        <v>18206263</v>
      </c>
      <c r="B665" t="s">
        <v>1287</v>
      </c>
      <c r="C665" t="s">
        <v>1283</v>
      </c>
      <c r="D665" t="s">
        <v>1284</v>
      </c>
      <c r="F665" t="str">
        <f>"4088706889"</f>
        <v>4088706889</v>
      </c>
      <c r="G665" t="str">
        <f>"9784088706887"</f>
        <v>9784088706887</v>
      </c>
      <c r="H665">
        <v>5</v>
      </c>
      <c r="I665">
        <v>4.24</v>
      </c>
      <c r="J665" t="s">
        <v>55</v>
      </c>
      <c r="K665" t="s">
        <v>28</v>
      </c>
      <c r="L665">
        <v>192</v>
      </c>
      <c r="M665">
        <v>2013</v>
      </c>
      <c r="N665">
        <v>2013</v>
      </c>
      <c r="O665" s="1">
        <v>44799</v>
      </c>
      <c r="P665" s="1">
        <v>44799</v>
      </c>
      <c r="S665" t="s">
        <v>29</v>
      </c>
      <c r="W665">
        <v>1</v>
      </c>
      <c r="X665">
        <v>0</v>
      </c>
    </row>
    <row r="666" spans="1:24" x14ac:dyDescent="0.25">
      <c r="A666">
        <v>16069778</v>
      </c>
      <c r="B666" t="s">
        <v>1288</v>
      </c>
      <c r="C666" t="s">
        <v>1283</v>
      </c>
      <c r="D666" t="s">
        <v>1284</v>
      </c>
      <c r="F666" t="str">
        <f>"4088705572"</f>
        <v>4088705572</v>
      </c>
      <c r="G666" t="str">
        <f>"9784088705576"</f>
        <v>9784088705576</v>
      </c>
      <c r="H666">
        <v>4</v>
      </c>
      <c r="I666">
        <v>4.29</v>
      </c>
      <c r="J666" t="s">
        <v>55</v>
      </c>
      <c r="K666" t="s">
        <v>28</v>
      </c>
      <c r="L666">
        <v>200</v>
      </c>
      <c r="M666">
        <v>2012</v>
      </c>
      <c r="N666">
        <v>2012</v>
      </c>
      <c r="O666" s="1">
        <v>44799</v>
      </c>
      <c r="P666" s="1">
        <v>44799</v>
      </c>
      <c r="S666" t="s">
        <v>29</v>
      </c>
      <c r="W666">
        <v>1</v>
      </c>
      <c r="X666">
        <v>0</v>
      </c>
    </row>
    <row r="667" spans="1:24" x14ac:dyDescent="0.25">
      <c r="A667">
        <v>15803922</v>
      </c>
      <c r="B667" t="s">
        <v>1289</v>
      </c>
      <c r="C667" t="s">
        <v>1283</v>
      </c>
      <c r="D667" t="s">
        <v>1284</v>
      </c>
      <c r="F667" t="str">
        <f>"1421552388"</f>
        <v>1421552388</v>
      </c>
      <c r="G667" t="str">
        <f>"9781421552385"</f>
        <v>9781421552385</v>
      </c>
      <c r="H667">
        <v>5</v>
      </c>
      <c r="I667">
        <v>4.26</v>
      </c>
      <c r="J667" t="s">
        <v>27</v>
      </c>
      <c r="K667" t="s">
        <v>28</v>
      </c>
      <c r="L667">
        <v>189</v>
      </c>
      <c r="M667">
        <v>2013</v>
      </c>
      <c r="N667">
        <v>2012</v>
      </c>
      <c r="O667" s="1">
        <v>44799</v>
      </c>
      <c r="P667" s="1">
        <v>44799</v>
      </c>
      <c r="S667" t="s">
        <v>29</v>
      </c>
      <c r="W667">
        <v>1</v>
      </c>
      <c r="X667">
        <v>0</v>
      </c>
    </row>
    <row r="668" spans="1:24" x14ac:dyDescent="0.25">
      <c r="A668">
        <v>15800513</v>
      </c>
      <c r="B668" t="s">
        <v>1290</v>
      </c>
      <c r="C668" t="s">
        <v>1283</v>
      </c>
      <c r="D668" t="s">
        <v>1284</v>
      </c>
      <c r="F668" t="str">
        <f>"1421548801"</f>
        <v>1421548801</v>
      </c>
      <c r="G668" t="str">
        <f>"9781421548807"</f>
        <v>9781421548807</v>
      </c>
      <c r="H668">
        <v>5</v>
      </c>
      <c r="I668">
        <v>4.29</v>
      </c>
      <c r="J668" t="s">
        <v>27</v>
      </c>
      <c r="K668" t="s">
        <v>28</v>
      </c>
      <c r="L668">
        <v>197</v>
      </c>
      <c r="M668">
        <v>2012</v>
      </c>
      <c r="N668">
        <v>2011</v>
      </c>
      <c r="O668" s="1">
        <v>44799</v>
      </c>
      <c r="P668" s="1">
        <v>44799</v>
      </c>
      <c r="S668" t="s">
        <v>29</v>
      </c>
      <c r="W668">
        <v>1</v>
      </c>
      <c r="X668">
        <v>0</v>
      </c>
    </row>
    <row r="669" spans="1:24" x14ac:dyDescent="0.25">
      <c r="A669">
        <v>12283389</v>
      </c>
      <c r="B669" t="s">
        <v>1291</v>
      </c>
      <c r="C669" t="s">
        <v>1283</v>
      </c>
      <c r="D669" t="s">
        <v>1284</v>
      </c>
      <c r="F669" t="str">
        <f>"4088702417"</f>
        <v>4088702417</v>
      </c>
      <c r="G669" t="str">
        <f>"9784088702414"</f>
        <v>9784088702414</v>
      </c>
      <c r="H669">
        <v>5</v>
      </c>
      <c r="I669">
        <v>4.3099999999999996</v>
      </c>
      <c r="J669" t="s">
        <v>294</v>
      </c>
      <c r="K669" t="s">
        <v>28</v>
      </c>
      <c r="L669">
        <v>185</v>
      </c>
      <c r="M669">
        <v>2011</v>
      </c>
      <c r="N669">
        <v>2011</v>
      </c>
      <c r="O669" s="1">
        <v>44799</v>
      </c>
      <c r="P669" s="1">
        <v>44799</v>
      </c>
      <c r="S669" t="s">
        <v>29</v>
      </c>
      <c r="W669">
        <v>1</v>
      </c>
      <c r="X669">
        <v>0</v>
      </c>
    </row>
    <row r="670" spans="1:24" x14ac:dyDescent="0.25">
      <c r="A670">
        <v>11831715</v>
      </c>
      <c r="B670" t="s">
        <v>1292</v>
      </c>
      <c r="C670" t="s">
        <v>1283</v>
      </c>
      <c r="D670" t="s">
        <v>1284</v>
      </c>
      <c r="F670" t="str">
        <f>"1421540789"</f>
        <v>1421540789</v>
      </c>
      <c r="G670" t="str">
        <f>"9781421540788"</f>
        <v>9781421540788</v>
      </c>
      <c r="H670">
        <v>5</v>
      </c>
      <c r="I670">
        <v>4.2699999999999996</v>
      </c>
      <c r="J670" t="s">
        <v>27</v>
      </c>
      <c r="K670" t="s">
        <v>28</v>
      </c>
      <c r="L670">
        <v>189</v>
      </c>
      <c r="M670">
        <v>2011</v>
      </c>
      <c r="N670">
        <v>2010</v>
      </c>
      <c r="O670" s="1">
        <v>44799</v>
      </c>
      <c r="P670" s="1">
        <v>44799</v>
      </c>
      <c r="S670" t="s">
        <v>29</v>
      </c>
      <c r="W670">
        <v>1</v>
      </c>
      <c r="X670">
        <v>0</v>
      </c>
    </row>
    <row r="671" spans="1:24" x14ac:dyDescent="0.25">
      <c r="A671">
        <v>10434001</v>
      </c>
      <c r="B671" t="s">
        <v>1293</v>
      </c>
      <c r="C671" t="s">
        <v>1283</v>
      </c>
      <c r="D671" t="s">
        <v>1284</v>
      </c>
      <c r="F671" t="str">
        <f>"1421539357"</f>
        <v>1421539357</v>
      </c>
      <c r="G671" t="str">
        <f>"9781421539355"</f>
        <v>9781421539355</v>
      </c>
      <c r="H671">
        <v>4</v>
      </c>
      <c r="I671">
        <v>4.28</v>
      </c>
      <c r="J671" t="s">
        <v>27</v>
      </c>
      <c r="K671" t="s">
        <v>28</v>
      </c>
      <c r="L671">
        <v>191</v>
      </c>
      <c r="M671">
        <v>2011</v>
      </c>
      <c r="N671">
        <v>2010</v>
      </c>
      <c r="O671" s="1">
        <v>44799</v>
      </c>
      <c r="P671" s="1">
        <v>44799</v>
      </c>
      <c r="S671" t="s">
        <v>29</v>
      </c>
      <c r="W671">
        <v>1</v>
      </c>
      <c r="X671">
        <v>0</v>
      </c>
    </row>
    <row r="672" spans="1:24" x14ac:dyDescent="0.25">
      <c r="A672">
        <v>7310906</v>
      </c>
      <c r="B672" t="s">
        <v>1294</v>
      </c>
      <c r="C672" t="s">
        <v>1283</v>
      </c>
      <c r="D672" t="s">
        <v>1284</v>
      </c>
      <c r="F672" t="str">
        <f>"4088747429"</f>
        <v>4088747429</v>
      </c>
      <c r="G672" t="str">
        <f>"9784088747422"</f>
        <v>9784088747422</v>
      </c>
      <c r="H672">
        <v>5</v>
      </c>
      <c r="I672">
        <v>4.3</v>
      </c>
      <c r="J672" t="s">
        <v>53</v>
      </c>
      <c r="K672" t="s">
        <v>28</v>
      </c>
      <c r="L672">
        <v>191</v>
      </c>
      <c r="M672">
        <v>2009</v>
      </c>
      <c r="N672">
        <v>2009</v>
      </c>
      <c r="O672" s="1">
        <v>44799</v>
      </c>
      <c r="P672" s="1">
        <v>44799</v>
      </c>
      <c r="S672" t="s">
        <v>29</v>
      </c>
      <c r="W672">
        <v>1</v>
      </c>
      <c r="X672">
        <v>0</v>
      </c>
    </row>
    <row r="673" spans="1:24" x14ac:dyDescent="0.25">
      <c r="A673">
        <v>6535071</v>
      </c>
      <c r="B673" t="s">
        <v>1295</v>
      </c>
      <c r="C673" t="s">
        <v>1283</v>
      </c>
      <c r="D673" t="s">
        <v>1284</v>
      </c>
      <c r="F673" t="str">
        <f>"4088746686"</f>
        <v>4088746686</v>
      </c>
      <c r="G673" t="str">
        <f>"9784088746685"</f>
        <v>9784088746685</v>
      </c>
      <c r="H673">
        <v>5</v>
      </c>
      <c r="I673">
        <v>4.29</v>
      </c>
      <c r="J673" t="s">
        <v>53</v>
      </c>
      <c r="K673" t="s">
        <v>28</v>
      </c>
      <c r="L673">
        <v>187</v>
      </c>
      <c r="M673">
        <v>2009</v>
      </c>
      <c r="N673">
        <v>2009</v>
      </c>
      <c r="O673" s="1">
        <v>44799</v>
      </c>
      <c r="P673" s="1">
        <v>44799</v>
      </c>
      <c r="S673" t="s">
        <v>29</v>
      </c>
      <c r="W673">
        <v>1</v>
      </c>
      <c r="X673">
        <v>0</v>
      </c>
    </row>
    <row r="674" spans="1:24" x14ac:dyDescent="0.25">
      <c r="A674">
        <v>6535069</v>
      </c>
      <c r="B674" t="s">
        <v>1296</v>
      </c>
      <c r="C674" t="s">
        <v>1283</v>
      </c>
      <c r="D674" t="s">
        <v>1284</v>
      </c>
      <c r="F674" t="str">
        <f>"1421531496"</f>
        <v>1421531496</v>
      </c>
      <c r="G674" t="str">
        <f>"9781421531496"</f>
        <v>9781421531496</v>
      </c>
      <c r="H674">
        <v>5</v>
      </c>
      <c r="I674">
        <v>4.3099999999999996</v>
      </c>
      <c r="J674" t="s">
        <v>27</v>
      </c>
      <c r="K674" t="s">
        <v>28</v>
      </c>
      <c r="L674">
        <v>197</v>
      </c>
      <c r="M674">
        <v>2009</v>
      </c>
      <c r="N674">
        <v>2008</v>
      </c>
      <c r="O674" s="1">
        <v>44799</v>
      </c>
      <c r="P674" s="1">
        <v>44799</v>
      </c>
      <c r="S674" t="s">
        <v>29</v>
      </c>
      <c r="W674">
        <v>1</v>
      </c>
      <c r="X674">
        <v>0</v>
      </c>
    </row>
    <row r="675" spans="1:24" x14ac:dyDescent="0.25">
      <c r="A675">
        <v>4923484</v>
      </c>
      <c r="B675" t="s">
        <v>1297</v>
      </c>
      <c r="C675" t="s">
        <v>1283</v>
      </c>
      <c r="D675" t="s">
        <v>1284</v>
      </c>
      <c r="F675" t="str">
        <f>"1421526689"</f>
        <v>1421526689</v>
      </c>
      <c r="G675" t="str">
        <f>"9781421526683"</f>
        <v>9781421526683</v>
      </c>
      <c r="H675">
        <v>4</v>
      </c>
      <c r="I675">
        <v>4.24</v>
      </c>
      <c r="J675" t="s">
        <v>27</v>
      </c>
      <c r="K675" t="s">
        <v>28</v>
      </c>
      <c r="L675">
        <v>191</v>
      </c>
      <c r="M675">
        <v>2009</v>
      </c>
      <c r="N675">
        <v>2008</v>
      </c>
      <c r="O675" s="1">
        <v>44799</v>
      </c>
      <c r="P675" s="1">
        <v>44799</v>
      </c>
      <c r="S675" t="s">
        <v>29</v>
      </c>
      <c r="W675">
        <v>1</v>
      </c>
      <c r="X675">
        <v>0</v>
      </c>
    </row>
    <row r="676" spans="1:24" x14ac:dyDescent="0.25">
      <c r="A676">
        <v>1930557</v>
      </c>
      <c r="B676" t="s">
        <v>1298</v>
      </c>
      <c r="C676" t="s">
        <v>1283</v>
      </c>
      <c r="D676" t="s">
        <v>1284</v>
      </c>
      <c r="F676" t="str">
        <f>"4088744306"</f>
        <v>4088744306</v>
      </c>
      <c r="G676" t="str">
        <f>"9784088744308"</f>
        <v>9784088744308</v>
      </c>
      <c r="H676">
        <v>4</v>
      </c>
      <c r="I676">
        <v>4.25</v>
      </c>
      <c r="J676" t="s">
        <v>53</v>
      </c>
      <c r="K676" t="s">
        <v>28</v>
      </c>
      <c r="L676">
        <v>192</v>
      </c>
      <c r="M676">
        <v>2007</v>
      </c>
      <c r="N676">
        <v>2007</v>
      </c>
      <c r="O676" s="1">
        <v>44799</v>
      </c>
      <c r="P676" s="1">
        <v>44799</v>
      </c>
      <c r="S676" t="s">
        <v>29</v>
      </c>
      <c r="W676">
        <v>1</v>
      </c>
      <c r="X676">
        <v>0</v>
      </c>
    </row>
    <row r="677" spans="1:24" x14ac:dyDescent="0.25">
      <c r="A677">
        <v>2348385</v>
      </c>
      <c r="B677" t="s">
        <v>1299</v>
      </c>
      <c r="C677" t="s">
        <v>1283</v>
      </c>
      <c r="D677" t="s">
        <v>1284</v>
      </c>
      <c r="F677" t="str">
        <f>"1421519364"</f>
        <v>1421519364</v>
      </c>
      <c r="G677" t="str">
        <f>"9781421519364"</f>
        <v>9781421519364</v>
      </c>
      <c r="H677">
        <v>5</v>
      </c>
      <c r="I677">
        <v>4.28</v>
      </c>
      <c r="J677" t="s">
        <v>27</v>
      </c>
      <c r="K677" t="s">
        <v>28</v>
      </c>
      <c r="L677">
        <v>192</v>
      </c>
      <c r="M677">
        <v>2008</v>
      </c>
      <c r="N677">
        <v>2007</v>
      </c>
      <c r="O677" s="1">
        <v>44799</v>
      </c>
      <c r="P677" s="1">
        <v>44799</v>
      </c>
      <c r="S677" t="s">
        <v>29</v>
      </c>
      <c r="W677">
        <v>1</v>
      </c>
      <c r="X677">
        <v>0</v>
      </c>
    </row>
    <row r="678" spans="1:24" x14ac:dyDescent="0.25">
      <c r="A678">
        <v>1822316</v>
      </c>
      <c r="B678" t="s">
        <v>1300</v>
      </c>
      <c r="C678" t="s">
        <v>1283</v>
      </c>
      <c r="D678" t="s">
        <v>1284</v>
      </c>
      <c r="F678" t="str">
        <f>"1421515717"</f>
        <v>1421515717</v>
      </c>
      <c r="G678" t="str">
        <f>"9781421515717"</f>
        <v>9781421515717</v>
      </c>
      <c r="H678">
        <v>4</v>
      </c>
      <c r="I678">
        <v>4.33</v>
      </c>
      <c r="J678" t="s">
        <v>27</v>
      </c>
      <c r="K678" t="s">
        <v>28</v>
      </c>
      <c r="L678">
        <v>200</v>
      </c>
      <c r="M678">
        <v>2008</v>
      </c>
      <c r="N678">
        <v>2006</v>
      </c>
      <c r="O678" s="1">
        <v>44798</v>
      </c>
      <c r="P678" s="1">
        <v>44798</v>
      </c>
      <c r="S678" t="s">
        <v>29</v>
      </c>
      <c r="W678">
        <v>1</v>
      </c>
      <c r="X678">
        <v>0</v>
      </c>
    </row>
    <row r="679" spans="1:24" x14ac:dyDescent="0.25">
      <c r="A679">
        <v>777425</v>
      </c>
      <c r="B679" t="s">
        <v>1301</v>
      </c>
      <c r="C679" t="s">
        <v>1283</v>
      </c>
      <c r="D679" t="s">
        <v>1284</v>
      </c>
      <c r="F679" t="str">
        <f>"1421511827"</f>
        <v>1421511827</v>
      </c>
      <c r="G679" t="str">
        <f>"9781421511825"</f>
        <v>9781421511825</v>
      </c>
      <c r="H679">
        <v>4</v>
      </c>
      <c r="I679">
        <v>4.32</v>
      </c>
      <c r="J679" t="s">
        <v>27</v>
      </c>
      <c r="K679" t="s">
        <v>28</v>
      </c>
      <c r="L679">
        <v>192</v>
      </c>
      <c r="M679">
        <v>2007</v>
      </c>
      <c r="N679">
        <v>2006</v>
      </c>
      <c r="O679" s="1">
        <v>44798</v>
      </c>
      <c r="P679" s="1">
        <v>44798</v>
      </c>
      <c r="S679" t="s">
        <v>29</v>
      </c>
      <c r="W679">
        <v>1</v>
      </c>
      <c r="X679">
        <v>0</v>
      </c>
    </row>
    <row r="680" spans="1:24" x14ac:dyDescent="0.25">
      <c r="A680">
        <v>777422</v>
      </c>
      <c r="B680" t="s">
        <v>1302</v>
      </c>
      <c r="C680" t="s">
        <v>1283</v>
      </c>
      <c r="D680" t="s">
        <v>1284</v>
      </c>
      <c r="F680" t="str">
        <f>"1421510510"</f>
        <v>1421510510</v>
      </c>
      <c r="G680" t="str">
        <f>"9781421510514"</f>
        <v>9781421510514</v>
      </c>
      <c r="H680">
        <v>5</v>
      </c>
      <c r="I680">
        <v>4.29</v>
      </c>
      <c r="J680" t="s">
        <v>27</v>
      </c>
      <c r="K680" t="s">
        <v>28</v>
      </c>
      <c r="L680">
        <v>200</v>
      </c>
      <c r="M680">
        <v>2007</v>
      </c>
      <c r="N680">
        <v>2005</v>
      </c>
      <c r="O680" s="1">
        <v>44798</v>
      </c>
      <c r="P680" s="1">
        <v>44798</v>
      </c>
      <c r="S680" t="s">
        <v>29</v>
      </c>
      <c r="W680">
        <v>1</v>
      </c>
      <c r="X680">
        <v>0</v>
      </c>
    </row>
    <row r="681" spans="1:24" x14ac:dyDescent="0.25">
      <c r="A681">
        <v>777421</v>
      </c>
      <c r="B681" t="s">
        <v>1303</v>
      </c>
      <c r="C681" t="s">
        <v>1283</v>
      </c>
      <c r="D681" t="s">
        <v>1284</v>
      </c>
      <c r="F681" t="str">
        <f>"1421510502"</f>
        <v>1421510502</v>
      </c>
      <c r="G681" t="str">
        <f>"9781421510507"</f>
        <v>9781421510507</v>
      </c>
      <c r="H681">
        <v>5</v>
      </c>
      <c r="I681">
        <v>4.29</v>
      </c>
      <c r="J681" t="s">
        <v>27</v>
      </c>
      <c r="K681" t="s">
        <v>28</v>
      </c>
      <c r="L681">
        <v>200</v>
      </c>
      <c r="M681">
        <v>2007</v>
      </c>
      <c r="N681">
        <v>2005</v>
      </c>
      <c r="O681" s="1">
        <v>44798</v>
      </c>
      <c r="P681" s="1">
        <v>44798</v>
      </c>
      <c r="S681" t="s">
        <v>29</v>
      </c>
      <c r="W681">
        <v>1</v>
      </c>
      <c r="X681">
        <v>0</v>
      </c>
    </row>
    <row r="682" spans="1:24" x14ac:dyDescent="0.25">
      <c r="A682">
        <v>777418</v>
      </c>
      <c r="B682" t="s">
        <v>1304</v>
      </c>
      <c r="C682" t="s">
        <v>1283</v>
      </c>
      <c r="D682" t="s">
        <v>1284</v>
      </c>
      <c r="F682" t="str">
        <f>"1421510499"</f>
        <v>1421510499</v>
      </c>
      <c r="G682" t="str">
        <f>"9781421510491"</f>
        <v>9781421510491</v>
      </c>
      <c r="H682">
        <v>5</v>
      </c>
      <c r="I682">
        <v>4.32</v>
      </c>
      <c r="J682" t="s">
        <v>27</v>
      </c>
      <c r="K682" t="s">
        <v>28</v>
      </c>
      <c r="L682">
        <v>192</v>
      </c>
      <c r="M682">
        <v>2007</v>
      </c>
      <c r="N682">
        <v>2004</v>
      </c>
      <c r="O682" s="1">
        <v>44798</v>
      </c>
      <c r="P682" s="1">
        <v>44798</v>
      </c>
      <c r="S682" t="s">
        <v>29</v>
      </c>
      <c r="W682">
        <v>1</v>
      </c>
      <c r="X682">
        <v>0</v>
      </c>
    </row>
    <row r="683" spans="1:24" x14ac:dyDescent="0.25">
      <c r="A683">
        <v>777419</v>
      </c>
      <c r="B683" t="s">
        <v>1305</v>
      </c>
      <c r="C683" t="s">
        <v>1283</v>
      </c>
      <c r="D683" t="s">
        <v>1284</v>
      </c>
      <c r="F683" t="str">
        <f>"1421510480"</f>
        <v>1421510480</v>
      </c>
      <c r="G683" t="str">
        <f>"9781421510484"</f>
        <v>9781421510484</v>
      </c>
      <c r="H683">
        <v>5</v>
      </c>
      <c r="I683">
        <v>4.3099999999999996</v>
      </c>
      <c r="J683" t="s">
        <v>27</v>
      </c>
      <c r="K683" t="s">
        <v>28</v>
      </c>
      <c r="L683">
        <v>200</v>
      </c>
      <c r="M683">
        <v>2007</v>
      </c>
      <c r="N683">
        <v>2004</v>
      </c>
      <c r="O683" s="1">
        <v>44798</v>
      </c>
      <c r="P683" s="1">
        <v>44798</v>
      </c>
      <c r="S683" t="s">
        <v>29</v>
      </c>
      <c r="W683">
        <v>1</v>
      </c>
      <c r="X683">
        <v>0</v>
      </c>
    </row>
    <row r="684" spans="1:24" x14ac:dyDescent="0.25">
      <c r="A684">
        <v>777420</v>
      </c>
      <c r="B684" t="s">
        <v>1306</v>
      </c>
      <c r="C684" t="s">
        <v>1283</v>
      </c>
      <c r="D684" t="s">
        <v>1284</v>
      </c>
      <c r="F684" t="str">
        <f>"142150622X"</f>
        <v>142150622X</v>
      </c>
      <c r="G684" t="str">
        <f>"9781421506227"</f>
        <v>9781421506227</v>
      </c>
      <c r="H684">
        <v>5</v>
      </c>
      <c r="I684">
        <v>4.34</v>
      </c>
      <c r="J684" t="s">
        <v>27</v>
      </c>
      <c r="K684" t="s">
        <v>28</v>
      </c>
      <c r="L684">
        <v>195</v>
      </c>
      <c r="M684">
        <v>2006</v>
      </c>
      <c r="N684">
        <v>2003</v>
      </c>
      <c r="O684" s="1">
        <v>44798</v>
      </c>
      <c r="P684" s="1">
        <v>44798</v>
      </c>
      <c r="S684" t="s">
        <v>29</v>
      </c>
      <c r="W684">
        <v>1</v>
      </c>
      <c r="X684">
        <v>0</v>
      </c>
    </row>
    <row r="685" spans="1:24" x14ac:dyDescent="0.25">
      <c r="A685">
        <v>777424</v>
      </c>
      <c r="B685" t="s">
        <v>1307</v>
      </c>
      <c r="C685" t="s">
        <v>1283</v>
      </c>
      <c r="D685" t="s">
        <v>1284</v>
      </c>
      <c r="F685" t="str">
        <f>"1421506211"</f>
        <v>1421506211</v>
      </c>
      <c r="G685" t="str">
        <f>"9781421506210"</f>
        <v>9781421506210</v>
      </c>
      <c r="H685">
        <v>5</v>
      </c>
      <c r="I685">
        <v>4.3499999999999996</v>
      </c>
      <c r="J685" t="s">
        <v>27</v>
      </c>
      <c r="K685" t="s">
        <v>28</v>
      </c>
      <c r="L685">
        <v>200</v>
      </c>
      <c r="M685">
        <v>2006</v>
      </c>
      <c r="N685">
        <v>2003</v>
      </c>
      <c r="O685" s="1">
        <v>44798</v>
      </c>
      <c r="P685" s="1">
        <v>44798</v>
      </c>
      <c r="S685" t="s">
        <v>29</v>
      </c>
      <c r="W685">
        <v>1</v>
      </c>
      <c r="X685">
        <v>0</v>
      </c>
    </row>
    <row r="686" spans="1:24" x14ac:dyDescent="0.25">
      <c r="A686">
        <v>808828</v>
      </c>
      <c r="B686" t="s">
        <v>1308</v>
      </c>
      <c r="C686" t="s">
        <v>1283</v>
      </c>
      <c r="D686" t="s">
        <v>1284</v>
      </c>
      <c r="F686" t="str">
        <f>"1421506203"</f>
        <v>1421506203</v>
      </c>
      <c r="G686" t="str">
        <f>"9781421506203"</f>
        <v>9781421506203</v>
      </c>
      <c r="H686">
        <v>5</v>
      </c>
      <c r="I686">
        <v>4.3099999999999996</v>
      </c>
      <c r="J686" t="s">
        <v>27</v>
      </c>
      <c r="K686" t="s">
        <v>28</v>
      </c>
      <c r="L686">
        <v>200</v>
      </c>
      <c r="M686">
        <v>2006</v>
      </c>
      <c r="N686">
        <v>2002</v>
      </c>
      <c r="O686" s="1">
        <v>44798</v>
      </c>
      <c r="P686" s="1">
        <v>44798</v>
      </c>
      <c r="S686" t="s">
        <v>29</v>
      </c>
      <c r="W686">
        <v>1</v>
      </c>
      <c r="X686">
        <v>0</v>
      </c>
    </row>
    <row r="687" spans="1:24" x14ac:dyDescent="0.25">
      <c r="A687">
        <v>1359900</v>
      </c>
      <c r="B687" t="s">
        <v>1309</v>
      </c>
      <c r="C687" t="s">
        <v>1283</v>
      </c>
      <c r="D687" t="s">
        <v>1284</v>
      </c>
      <c r="F687" t="str">
        <f>"142150619X"</f>
        <v>142150619X</v>
      </c>
      <c r="G687" t="str">
        <f>"9781421506197"</f>
        <v>9781421506197</v>
      </c>
      <c r="H687">
        <v>5</v>
      </c>
      <c r="I687">
        <v>4.1900000000000004</v>
      </c>
      <c r="J687" t="s">
        <v>27</v>
      </c>
      <c r="K687" t="s">
        <v>28</v>
      </c>
      <c r="L687">
        <v>185</v>
      </c>
      <c r="M687">
        <v>2006</v>
      </c>
      <c r="N687">
        <v>2002</v>
      </c>
      <c r="O687" s="1">
        <v>44798</v>
      </c>
      <c r="P687" s="1">
        <v>44798</v>
      </c>
      <c r="S687" t="s">
        <v>29</v>
      </c>
      <c r="W687">
        <v>1</v>
      </c>
      <c r="X687">
        <v>0</v>
      </c>
    </row>
    <row r="688" spans="1:24" x14ac:dyDescent="0.25">
      <c r="A688">
        <v>777423</v>
      </c>
      <c r="B688" t="s">
        <v>1310</v>
      </c>
      <c r="C688" t="s">
        <v>1283</v>
      </c>
      <c r="D688" t="s">
        <v>1284</v>
      </c>
      <c r="E688" t="s">
        <v>1311</v>
      </c>
      <c r="F688" t="str">
        <f>"1421506181"</f>
        <v>1421506181</v>
      </c>
      <c r="G688" t="str">
        <f>"9781421506180"</f>
        <v>9781421506180</v>
      </c>
      <c r="H688">
        <v>5</v>
      </c>
      <c r="I688">
        <v>4.09</v>
      </c>
      <c r="J688" t="s">
        <v>27</v>
      </c>
      <c r="K688" t="s">
        <v>28</v>
      </c>
      <c r="L688">
        <v>187</v>
      </c>
      <c r="M688">
        <v>2006</v>
      </c>
      <c r="N688">
        <v>2002</v>
      </c>
      <c r="O688" s="1">
        <v>44798</v>
      </c>
      <c r="P688" s="1">
        <v>44792</v>
      </c>
      <c r="S688" t="s">
        <v>29</v>
      </c>
      <c r="W688">
        <v>1</v>
      </c>
      <c r="X688">
        <v>0</v>
      </c>
    </row>
    <row r="689" spans="1:24" x14ac:dyDescent="0.25">
      <c r="A689">
        <v>38942805</v>
      </c>
      <c r="B689" t="s">
        <v>1312</v>
      </c>
      <c r="C689" t="s">
        <v>1313</v>
      </c>
      <c r="D689" t="s">
        <v>1314</v>
      </c>
      <c r="F689" t="str">
        <f>"1631466720"</f>
        <v>1631466720</v>
      </c>
      <c r="G689" t="str">
        <f>"9781631466724"</f>
        <v>9781631466724</v>
      </c>
      <c r="H689">
        <v>5</v>
      </c>
      <c r="I689">
        <v>4.63</v>
      </c>
      <c r="J689" t="s">
        <v>1315</v>
      </c>
      <c r="K689" t="s">
        <v>28</v>
      </c>
      <c r="L689">
        <v>224</v>
      </c>
      <c r="M689">
        <v>2018</v>
      </c>
      <c r="N689">
        <v>2018</v>
      </c>
      <c r="O689" s="1">
        <v>44797</v>
      </c>
      <c r="P689" s="1">
        <v>44796</v>
      </c>
      <c r="S689" t="s">
        <v>29</v>
      </c>
      <c r="W689">
        <v>1</v>
      </c>
      <c r="X689">
        <v>0</v>
      </c>
    </row>
    <row r="690" spans="1:24" x14ac:dyDescent="0.25">
      <c r="A690">
        <v>18335634</v>
      </c>
      <c r="B690" t="s">
        <v>1316</v>
      </c>
      <c r="C690" t="s">
        <v>1317</v>
      </c>
      <c r="D690" t="s">
        <v>1318</v>
      </c>
      <c r="F690" t="str">
        <f>"1406321346"</f>
        <v>1406321346</v>
      </c>
      <c r="G690" t="str">
        <f>"9781406321340"</f>
        <v>9781406321340</v>
      </c>
      <c r="H690">
        <v>0</v>
      </c>
      <c r="I690">
        <v>4.5599999999999996</v>
      </c>
      <c r="J690" t="s">
        <v>1319</v>
      </c>
      <c r="K690" t="s">
        <v>28</v>
      </c>
      <c r="L690">
        <v>567</v>
      </c>
      <c r="M690">
        <v>2013</v>
      </c>
      <c r="N690">
        <v>2013</v>
      </c>
      <c r="P690" s="1">
        <v>44797</v>
      </c>
      <c r="Q690" t="s">
        <v>35</v>
      </c>
      <c r="R690" t="s">
        <v>1320</v>
      </c>
      <c r="S690" t="s">
        <v>35</v>
      </c>
      <c r="W690">
        <v>0</v>
      </c>
      <c r="X690">
        <v>0</v>
      </c>
    </row>
    <row r="691" spans="1:24" x14ac:dyDescent="0.25">
      <c r="A691">
        <v>33376337</v>
      </c>
      <c r="B691" t="s">
        <v>1321</v>
      </c>
      <c r="C691" t="s">
        <v>1322</v>
      </c>
      <c r="D691" t="s">
        <v>1323</v>
      </c>
      <c r="F691" t="str">
        <f>"1632364271"</f>
        <v>1632364271</v>
      </c>
      <c r="G691" t="str">
        <f>"9781632364272"</f>
        <v>9781632364272</v>
      </c>
      <c r="H691">
        <v>3</v>
      </c>
      <c r="I691">
        <v>4.3099999999999996</v>
      </c>
      <c r="J691" t="s">
        <v>847</v>
      </c>
      <c r="K691" t="s">
        <v>28</v>
      </c>
      <c r="L691">
        <v>164</v>
      </c>
      <c r="M691">
        <v>2021</v>
      </c>
      <c r="N691">
        <v>2021</v>
      </c>
      <c r="O691" s="1">
        <v>44796</v>
      </c>
      <c r="P691" s="1">
        <v>44796</v>
      </c>
      <c r="S691" t="s">
        <v>29</v>
      </c>
      <c r="W691">
        <v>1</v>
      </c>
      <c r="X691">
        <v>0</v>
      </c>
    </row>
    <row r="692" spans="1:24" x14ac:dyDescent="0.25">
      <c r="A692">
        <v>32171348</v>
      </c>
      <c r="B692" t="s">
        <v>1324</v>
      </c>
      <c r="C692" t="s">
        <v>1322</v>
      </c>
      <c r="D692" t="s">
        <v>1323</v>
      </c>
      <c r="F692" t="str">
        <f>"1632364263"</f>
        <v>1632364263</v>
      </c>
      <c r="G692" t="str">
        <f>"9781632364265"</f>
        <v>9781632364265</v>
      </c>
      <c r="H692">
        <v>4</v>
      </c>
      <c r="I692">
        <v>4.38</v>
      </c>
      <c r="J692" t="s">
        <v>847</v>
      </c>
      <c r="K692" t="s">
        <v>28</v>
      </c>
      <c r="L692">
        <v>224</v>
      </c>
      <c r="M692">
        <v>2017</v>
      </c>
      <c r="N692">
        <v>2017</v>
      </c>
      <c r="O692" s="1">
        <v>44796</v>
      </c>
      <c r="P692" s="1">
        <v>44796</v>
      </c>
      <c r="S692" t="s">
        <v>29</v>
      </c>
      <c r="W692">
        <v>1</v>
      </c>
      <c r="X692">
        <v>0</v>
      </c>
    </row>
    <row r="693" spans="1:24" x14ac:dyDescent="0.25">
      <c r="A693">
        <v>33932358</v>
      </c>
      <c r="B693" t="s">
        <v>1325</v>
      </c>
      <c r="C693" t="s">
        <v>1326</v>
      </c>
      <c r="D693" t="s">
        <v>1327</v>
      </c>
      <c r="F693" t="str">
        <f>"1250141923"</f>
        <v>1250141923</v>
      </c>
      <c r="G693" t="str">
        <f>"9781250141927"</f>
        <v>9781250141927</v>
      </c>
      <c r="H693">
        <v>4</v>
      </c>
      <c r="I693">
        <v>3.96</v>
      </c>
      <c r="J693" t="s">
        <v>1328</v>
      </c>
      <c r="K693" t="s">
        <v>34</v>
      </c>
      <c r="L693">
        <v>288</v>
      </c>
      <c r="M693">
        <v>2017</v>
      </c>
      <c r="N693">
        <v>2017</v>
      </c>
      <c r="O693" s="1">
        <v>44796</v>
      </c>
      <c r="P693" s="1">
        <v>44794</v>
      </c>
      <c r="S693" t="s">
        <v>29</v>
      </c>
      <c r="W693">
        <v>1</v>
      </c>
      <c r="X693">
        <v>0</v>
      </c>
    </row>
    <row r="694" spans="1:24" x14ac:dyDescent="0.25">
      <c r="A694">
        <v>59364173</v>
      </c>
      <c r="B694" t="s">
        <v>1329</v>
      </c>
      <c r="C694" t="s">
        <v>1330</v>
      </c>
      <c r="D694" t="s">
        <v>1331</v>
      </c>
      <c r="F694" t="str">
        <f>"1982185848"</f>
        <v>1982185848</v>
      </c>
      <c r="G694" t="str">
        <f>"9781982185848"</f>
        <v>9781982185848</v>
      </c>
      <c r="H694">
        <v>5</v>
      </c>
      <c r="I694">
        <v>4.6100000000000003</v>
      </c>
      <c r="J694" t="s">
        <v>1332</v>
      </c>
      <c r="K694" t="s">
        <v>609</v>
      </c>
      <c r="L694">
        <v>320</v>
      </c>
      <c r="M694">
        <v>2022</v>
      </c>
      <c r="N694">
        <v>2022</v>
      </c>
      <c r="O694" s="1">
        <v>44794</v>
      </c>
      <c r="P694" s="1">
        <v>44793</v>
      </c>
      <c r="S694" t="s">
        <v>29</v>
      </c>
      <c r="W694">
        <v>1</v>
      </c>
      <c r="X694">
        <v>0</v>
      </c>
    </row>
    <row r="695" spans="1:24" x14ac:dyDescent="0.25">
      <c r="A695">
        <v>36613747</v>
      </c>
      <c r="B695" t="s">
        <v>1333</v>
      </c>
      <c r="C695" t="s">
        <v>1334</v>
      </c>
      <c r="D695" t="s">
        <v>1335</v>
      </c>
      <c r="F695" t="str">
        <f>"0241294223"</f>
        <v>0241294223</v>
      </c>
      <c r="G695" t="str">
        <f>"9780241294222"</f>
        <v>9780241294222</v>
      </c>
      <c r="H695">
        <v>0</v>
      </c>
      <c r="I695">
        <v>4.26</v>
      </c>
      <c r="J695" t="s">
        <v>1336</v>
      </c>
      <c r="K695" t="s">
        <v>34</v>
      </c>
      <c r="L695">
        <v>480</v>
      </c>
      <c r="M695">
        <v>2018</v>
      </c>
      <c r="N695">
        <v>2018</v>
      </c>
      <c r="P695" s="1">
        <v>44794</v>
      </c>
      <c r="Q695" t="s">
        <v>35</v>
      </c>
      <c r="R695" t="s">
        <v>1337</v>
      </c>
      <c r="S695" t="s">
        <v>35</v>
      </c>
      <c r="W695">
        <v>0</v>
      </c>
      <c r="X695">
        <v>0</v>
      </c>
    </row>
    <row r="696" spans="1:24" x14ac:dyDescent="0.25">
      <c r="A696">
        <v>48999862</v>
      </c>
      <c r="B696" t="s">
        <v>1338</v>
      </c>
      <c r="C696" t="s">
        <v>1339</v>
      </c>
      <c r="D696" t="s">
        <v>1340</v>
      </c>
      <c r="E696" t="s">
        <v>1341</v>
      </c>
      <c r="F696" t="str">
        <f>""</f>
        <v/>
      </c>
      <c r="G696" t="str">
        <f>""</f>
        <v/>
      </c>
      <c r="H696">
        <v>4</v>
      </c>
      <c r="I696">
        <v>4.57</v>
      </c>
      <c r="J696" t="s">
        <v>1342</v>
      </c>
      <c r="K696" t="s">
        <v>28</v>
      </c>
      <c r="M696">
        <v>2020</v>
      </c>
      <c r="N696">
        <v>2020</v>
      </c>
      <c r="O696" s="1">
        <v>44794</v>
      </c>
      <c r="P696" s="1">
        <v>44793</v>
      </c>
      <c r="S696" t="s">
        <v>29</v>
      </c>
      <c r="W696">
        <v>1</v>
      </c>
      <c r="X696">
        <v>0</v>
      </c>
    </row>
    <row r="697" spans="1:24" x14ac:dyDescent="0.25">
      <c r="A697">
        <v>42733961</v>
      </c>
      <c r="B697" t="s">
        <v>1343</v>
      </c>
      <c r="C697" t="s">
        <v>1339</v>
      </c>
      <c r="D697" t="s">
        <v>1340</v>
      </c>
      <c r="E697" t="s">
        <v>1344</v>
      </c>
      <c r="F697" t="str">
        <f>""</f>
        <v/>
      </c>
      <c r="G697" t="str">
        <f>"9791189320294"</f>
        <v>9791189320294</v>
      </c>
      <c r="H697">
        <v>5</v>
      </c>
      <c r="I697">
        <v>4.49</v>
      </c>
      <c r="J697" t="s">
        <v>1345</v>
      </c>
      <c r="K697" t="s">
        <v>28</v>
      </c>
      <c r="L697">
        <v>312</v>
      </c>
      <c r="M697">
        <v>2019</v>
      </c>
      <c r="N697">
        <v>2019</v>
      </c>
      <c r="O697" s="1">
        <v>44793</v>
      </c>
      <c r="P697" s="1">
        <v>44789</v>
      </c>
      <c r="S697" t="s">
        <v>29</v>
      </c>
      <c r="W697">
        <v>1</v>
      </c>
      <c r="X697">
        <v>0</v>
      </c>
    </row>
    <row r="698" spans="1:24" x14ac:dyDescent="0.25">
      <c r="A698">
        <v>8385276</v>
      </c>
      <c r="B698" t="s">
        <v>1346</v>
      </c>
      <c r="C698" t="s">
        <v>1347</v>
      </c>
      <c r="D698" t="s">
        <v>1348</v>
      </c>
      <c r="F698" t="str">
        <f>"1906388296"</f>
        <v>1906388296</v>
      </c>
      <c r="G698" t="str">
        <f>"9781906388294"</f>
        <v>9781906388294</v>
      </c>
      <c r="H698">
        <v>0</v>
      </c>
      <c r="I698">
        <v>4.07</v>
      </c>
      <c r="J698" t="s">
        <v>1349</v>
      </c>
      <c r="K698" t="s">
        <v>28</v>
      </c>
      <c r="L698">
        <v>748</v>
      </c>
      <c r="M698">
        <v>2009</v>
      </c>
      <c r="N698">
        <v>1972</v>
      </c>
      <c r="P698" s="1">
        <v>44792</v>
      </c>
      <c r="Q698" t="s">
        <v>35</v>
      </c>
      <c r="R698" t="s">
        <v>1350</v>
      </c>
      <c r="S698" t="s">
        <v>35</v>
      </c>
      <c r="W698">
        <v>0</v>
      </c>
      <c r="X698">
        <v>0</v>
      </c>
    </row>
    <row r="699" spans="1:24" x14ac:dyDescent="0.25">
      <c r="A699">
        <v>6080704</v>
      </c>
      <c r="B699" t="s">
        <v>1351</v>
      </c>
      <c r="C699" t="s">
        <v>1045</v>
      </c>
      <c r="D699" t="s">
        <v>1046</v>
      </c>
      <c r="F699" t="str">
        <f>"0345500369"</f>
        <v>0345500369</v>
      </c>
      <c r="G699" t="str">
        <f>"9780345500366"</f>
        <v>9780345500366</v>
      </c>
      <c r="H699">
        <v>5</v>
      </c>
      <c r="I699">
        <v>4.3600000000000003</v>
      </c>
      <c r="J699" t="s">
        <v>691</v>
      </c>
      <c r="K699" t="s">
        <v>28</v>
      </c>
      <c r="L699">
        <v>288</v>
      </c>
      <c r="M699">
        <v>2009</v>
      </c>
      <c r="N699">
        <v>1994</v>
      </c>
      <c r="O699" s="1">
        <v>44791</v>
      </c>
      <c r="P699" s="1">
        <v>44790</v>
      </c>
      <c r="S699" t="s">
        <v>29</v>
      </c>
      <c r="W699">
        <v>1</v>
      </c>
      <c r="X699">
        <v>0</v>
      </c>
    </row>
    <row r="700" spans="1:24" x14ac:dyDescent="0.25">
      <c r="A700">
        <v>149267</v>
      </c>
      <c r="B700" t="s">
        <v>1352</v>
      </c>
      <c r="C700" t="s">
        <v>516</v>
      </c>
      <c r="D700" t="s">
        <v>517</v>
      </c>
      <c r="E700" t="s">
        <v>980</v>
      </c>
      <c r="F700" t="str">
        <f>""</f>
        <v/>
      </c>
      <c r="G700" t="str">
        <f>""</f>
        <v/>
      </c>
      <c r="H700">
        <v>3</v>
      </c>
      <c r="I700">
        <v>4.34</v>
      </c>
      <c r="J700" t="s">
        <v>1353</v>
      </c>
      <c r="K700" t="s">
        <v>34</v>
      </c>
      <c r="L700">
        <v>1152</v>
      </c>
      <c r="M700">
        <v>1990</v>
      </c>
      <c r="N700">
        <v>1978</v>
      </c>
      <c r="O700" s="1">
        <v>44791</v>
      </c>
      <c r="P700" s="1">
        <v>44569</v>
      </c>
      <c r="S700" t="s">
        <v>29</v>
      </c>
      <c r="W700">
        <v>1</v>
      </c>
      <c r="X700">
        <v>0</v>
      </c>
    </row>
    <row r="701" spans="1:24" x14ac:dyDescent="0.25">
      <c r="A701">
        <v>3327259</v>
      </c>
      <c r="B701" t="s">
        <v>1354</v>
      </c>
      <c r="C701" t="s">
        <v>1045</v>
      </c>
      <c r="D701" t="s">
        <v>1046</v>
      </c>
      <c r="F701" t="str">
        <f>"0345500334"</f>
        <v>0345500334</v>
      </c>
      <c r="G701" t="str">
        <f>"9780345500335"</f>
        <v>9780345500335</v>
      </c>
      <c r="H701">
        <v>5</v>
      </c>
      <c r="I701">
        <v>4.2699999999999996</v>
      </c>
      <c r="J701" t="s">
        <v>691</v>
      </c>
      <c r="K701" t="s">
        <v>28</v>
      </c>
      <c r="L701">
        <v>304</v>
      </c>
      <c r="M701">
        <v>2008</v>
      </c>
      <c r="N701">
        <v>1992</v>
      </c>
      <c r="O701" s="1">
        <v>44790</v>
      </c>
      <c r="P701" s="1">
        <v>44790</v>
      </c>
      <c r="S701" t="s">
        <v>29</v>
      </c>
      <c r="W701">
        <v>1</v>
      </c>
      <c r="X701">
        <v>0</v>
      </c>
    </row>
    <row r="702" spans="1:24" x14ac:dyDescent="0.25">
      <c r="A702">
        <v>6065983</v>
      </c>
      <c r="B702" t="s">
        <v>1355</v>
      </c>
      <c r="C702" t="s">
        <v>1045</v>
      </c>
      <c r="D702" t="s">
        <v>1046</v>
      </c>
      <c r="F702" t="str">
        <f>"0345500342"</f>
        <v>0345500342</v>
      </c>
      <c r="G702" t="str">
        <f>"9780345500342"</f>
        <v>9780345500342</v>
      </c>
      <c r="H702">
        <v>5</v>
      </c>
      <c r="I702">
        <v>4.29</v>
      </c>
      <c r="J702" t="s">
        <v>691</v>
      </c>
      <c r="K702" t="s">
        <v>28</v>
      </c>
      <c r="L702">
        <v>288</v>
      </c>
      <c r="M702">
        <v>2009</v>
      </c>
      <c r="N702">
        <v>1993</v>
      </c>
      <c r="O702" s="1">
        <v>44790</v>
      </c>
      <c r="P702" s="1">
        <v>44790</v>
      </c>
      <c r="S702" t="s">
        <v>29</v>
      </c>
      <c r="W702">
        <v>1</v>
      </c>
      <c r="X702">
        <v>0</v>
      </c>
    </row>
    <row r="703" spans="1:24" x14ac:dyDescent="0.25">
      <c r="A703">
        <v>3327258</v>
      </c>
      <c r="B703" t="s">
        <v>1356</v>
      </c>
      <c r="C703" t="s">
        <v>1045</v>
      </c>
      <c r="D703" t="s">
        <v>1046</v>
      </c>
      <c r="F703" t="str">
        <f>"0345498267"</f>
        <v>0345498267</v>
      </c>
      <c r="G703" t="str">
        <f>"9780345498267"</f>
        <v>9780345498267</v>
      </c>
      <c r="H703">
        <v>5</v>
      </c>
      <c r="I703">
        <v>4.28</v>
      </c>
      <c r="J703" t="s">
        <v>691</v>
      </c>
      <c r="K703" t="s">
        <v>28</v>
      </c>
      <c r="L703">
        <v>287</v>
      </c>
      <c r="M703">
        <v>2008</v>
      </c>
      <c r="N703">
        <v>1992</v>
      </c>
      <c r="O703" s="1">
        <v>44790</v>
      </c>
      <c r="P703" s="1">
        <v>44790</v>
      </c>
      <c r="S703" t="s">
        <v>29</v>
      </c>
      <c r="W703">
        <v>1</v>
      </c>
      <c r="X703">
        <v>0</v>
      </c>
    </row>
    <row r="704" spans="1:24" x14ac:dyDescent="0.25">
      <c r="A704">
        <v>2000460</v>
      </c>
      <c r="B704" t="s">
        <v>1357</v>
      </c>
      <c r="C704" t="s">
        <v>1045</v>
      </c>
      <c r="D704" t="s">
        <v>1046</v>
      </c>
      <c r="F704" t="str">
        <f>"0345498259"</f>
        <v>0345498259</v>
      </c>
      <c r="G704" t="str">
        <f>"9780345498250"</f>
        <v>9780345498250</v>
      </c>
      <c r="H704">
        <v>4</v>
      </c>
      <c r="I704">
        <v>4.28</v>
      </c>
      <c r="J704" t="s">
        <v>691</v>
      </c>
      <c r="K704" t="s">
        <v>28</v>
      </c>
      <c r="L704">
        <v>283</v>
      </c>
      <c r="M704">
        <v>2008</v>
      </c>
      <c r="N704">
        <v>1991</v>
      </c>
      <c r="O704" s="1">
        <v>44790</v>
      </c>
      <c r="P704" s="1">
        <v>44790</v>
      </c>
      <c r="S704" t="s">
        <v>29</v>
      </c>
      <c r="W704">
        <v>1</v>
      </c>
      <c r="X704">
        <v>0</v>
      </c>
    </row>
    <row r="705" spans="1:24" x14ac:dyDescent="0.25">
      <c r="A705">
        <v>2000458</v>
      </c>
      <c r="B705" t="s">
        <v>1358</v>
      </c>
      <c r="C705" t="s">
        <v>1045</v>
      </c>
      <c r="D705" t="s">
        <v>1046</v>
      </c>
      <c r="F705" t="str">
        <f>"0345496817"</f>
        <v>0345496817</v>
      </c>
      <c r="G705" t="str">
        <f>"9780345496812"</f>
        <v>9780345496812</v>
      </c>
      <c r="H705">
        <v>5</v>
      </c>
      <c r="I705">
        <v>4.32</v>
      </c>
      <c r="J705" t="s">
        <v>691</v>
      </c>
      <c r="K705" t="s">
        <v>28</v>
      </c>
      <c r="L705">
        <v>288</v>
      </c>
      <c r="M705">
        <v>2007</v>
      </c>
      <c r="N705">
        <v>1991</v>
      </c>
      <c r="O705" s="1">
        <v>44790</v>
      </c>
      <c r="P705" s="1">
        <v>44790</v>
      </c>
      <c r="S705" t="s">
        <v>29</v>
      </c>
      <c r="W705">
        <v>1</v>
      </c>
      <c r="X705">
        <v>0</v>
      </c>
    </row>
    <row r="706" spans="1:24" x14ac:dyDescent="0.25">
      <c r="A706">
        <v>13607306</v>
      </c>
      <c r="B706" t="s">
        <v>1359</v>
      </c>
      <c r="C706" t="s">
        <v>1360</v>
      </c>
      <c r="D706" t="s">
        <v>1361</v>
      </c>
      <c r="E706" t="s">
        <v>1362</v>
      </c>
      <c r="F706" t="str">
        <f>""</f>
        <v/>
      </c>
      <c r="G706" t="str">
        <f>""</f>
        <v/>
      </c>
      <c r="H706">
        <v>3</v>
      </c>
      <c r="I706">
        <v>4</v>
      </c>
      <c r="J706" t="s">
        <v>1363</v>
      </c>
      <c r="K706" t="s">
        <v>34</v>
      </c>
      <c r="L706">
        <v>288</v>
      </c>
      <c r="M706">
        <v>1994</v>
      </c>
      <c r="N706">
        <v>1994</v>
      </c>
      <c r="O706" s="1">
        <v>44789</v>
      </c>
      <c r="P706" s="1">
        <v>44789</v>
      </c>
      <c r="S706" t="s">
        <v>29</v>
      </c>
      <c r="W706">
        <v>1</v>
      </c>
      <c r="X706">
        <v>0</v>
      </c>
    </row>
    <row r="707" spans="1:24" x14ac:dyDescent="0.25">
      <c r="A707">
        <v>31258460</v>
      </c>
      <c r="B707" t="s">
        <v>1364</v>
      </c>
      <c r="C707" t="s">
        <v>1322</v>
      </c>
      <c r="D707" t="s">
        <v>1323</v>
      </c>
      <c r="F707" t="str">
        <f>"1632363917"</f>
        <v>1632363917</v>
      </c>
      <c r="G707" t="str">
        <f>"9781632363916"</f>
        <v>9781632363916</v>
      </c>
      <c r="H707">
        <v>4</v>
      </c>
      <c r="I707">
        <v>4.34</v>
      </c>
      <c r="J707" t="s">
        <v>847</v>
      </c>
      <c r="K707" t="s">
        <v>28</v>
      </c>
      <c r="L707">
        <v>176</v>
      </c>
      <c r="M707">
        <v>2017</v>
      </c>
      <c r="N707">
        <v>2016</v>
      </c>
      <c r="O707" s="1">
        <v>44788</v>
      </c>
      <c r="P707" s="1">
        <v>44788</v>
      </c>
      <c r="S707" t="s">
        <v>29</v>
      </c>
      <c r="W707">
        <v>1</v>
      </c>
      <c r="X707">
        <v>0</v>
      </c>
    </row>
    <row r="708" spans="1:24" x14ac:dyDescent="0.25">
      <c r="A708">
        <v>33946211</v>
      </c>
      <c r="B708" t="s">
        <v>1365</v>
      </c>
      <c r="C708" t="s">
        <v>1366</v>
      </c>
      <c r="D708" t="s">
        <v>1367</v>
      </c>
      <c r="F708" t="str">
        <f>"1626925461"</f>
        <v>1626925461</v>
      </c>
      <c r="G708" t="str">
        <f>"9781626925465"</f>
        <v>9781626925465</v>
      </c>
      <c r="H708">
        <v>2</v>
      </c>
      <c r="I708">
        <v>4.2</v>
      </c>
      <c r="J708" t="s">
        <v>1368</v>
      </c>
      <c r="K708" t="s">
        <v>28</v>
      </c>
      <c r="L708">
        <v>180</v>
      </c>
      <c r="M708">
        <v>2017</v>
      </c>
      <c r="N708">
        <v>2016</v>
      </c>
      <c r="O708" s="1">
        <v>44788</v>
      </c>
      <c r="P708" s="1">
        <v>44788</v>
      </c>
      <c r="S708" t="s">
        <v>29</v>
      </c>
      <c r="W708">
        <v>1</v>
      </c>
      <c r="X708">
        <v>0</v>
      </c>
    </row>
    <row r="709" spans="1:24" x14ac:dyDescent="0.25">
      <c r="A709">
        <v>31949124</v>
      </c>
      <c r="B709" t="s">
        <v>1369</v>
      </c>
      <c r="C709" t="s">
        <v>1366</v>
      </c>
      <c r="D709" t="s">
        <v>1367</v>
      </c>
      <c r="F709" t="str">
        <f>"1626924856"</f>
        <v>1626924856</v>
      </c>
      <c r="G709" t="str">
        <f>"9781626924857"</f>
        <v>9781626924857</v>
      </c>
      <c r="H709">
        <v>3</v>
      </c>
      <c r="I709">
        <v>4.24</v>
      </c>
      <c r="J709" t="s">
        <v>1368</v>
      </c>
      <c r="K709" t="s">
        <v>28</v>
      </c>
      <c r="L709">
        <v>180</v>
      </c>
      <c r="M709">
        <v>2017</v>
      </c>
      <c r="N709">
        <v>2015</v>
      </c>
      <c r="O709" s="1">
        <v>44788</v>
      </c>
      <c r="P709" s="1">
        <v>44788</v>
      </c>
      <c r="S709" t="s">
        <v>29</v>
      </c>
      <c r="W709">
        <v>1</v>
      </c>
      <c r="X709">
        <v>0</v>
      </c>
    </row>
    <row r="710" spans="1:24" x14ac:dyDescent="0.25">
      <c r="A710">
        <v>30139711</v>
      </c>
      <c r="B710" t="s">
        <v>1370</v>
      </c>
      <c r="C710" t="s">
        <v>1366</v>
      </c>
      <c r="D710" t="s">
        <v>1367</v>
      </c>
      <c r="F710" t="str">
        <f>"1626924317"</f>
        <v>1626924317</v>
      </c>
      <c r="G710" t="str">
        <f>"9781626924314"</f>
        <v>9781626924314</v>
      </c>
      <c r="H710">
        <v>4</v>
      </c>
      <c r="I710">
        <v>4.3</v>
      </c>
      <c r="J710" t="s">
        <v>1368</v>
      </c>
      <c r="K710" t="s">
        <v>28</v>
      </c>
      <c r="L710">
        <v>144</v>
      </c>
      <c r="M710">
        <v>2017</v>
      </c>
      <c r="N710">
        <v>2015</v>
      </c>
      <c r="O710" s="1">
        <v>44788</v>
      </c>
      <c r="P710" s="1">
        <v>44786</v>
      </c>
      <c r="S710" t="s">
        <v>29</v>
      </c>
      <c r="W710">
        <v>1</v>
      </c>
      <c r="X710">
        <v>0</v>
      </c>
    </row>
    <row r="711" spans="1:24" x14ac:dyDescent="0.25">
      <c r="A711">
        <v>15849749</v>
      </c>
      <c r="B711" t="s">
        <v>1371</v>
      </c>
      <c r="C711" t="s">
        <v>1372</v>
      </c>
      <c r="D711" t="s">
        <v>1373</v>
      </c>
      <c r="E711" t="s">
        <v>1374</v>
      </c>
      <c r="F711" t="str">
        <f>"0143416332"</f>
        <v>0143416332</v>
      </c>
      <c r="G711" t="str">
        <f>"9780143416333"</f>
        <v>9780143416333</v>
      </c>
      <c r="H711">
        <v>4</v>
      </c>
      <c r="I711">
        <v>4.2699999999999996</v>
      </c>
      <c r="J711" t="s">
        <v>617</v>
      </c>
      <c r="K711" t="s">
        <v>28</v>
      </c>
      <c r="L711">
        <v>255</v>
      </c>
      <c r="M711">
        <v>2012</v>
      </c>
      <c r="N711">
        <v>2008</v>
      </c>
      <c r="O711" s="1">
        <v>44787</v>
      </c>
      <c r="P711" s="1">
        <v>44787</v>
      </c>
      <c r="S711" t="s">
        <v>29</v>
      </c>
      <c r="W711">
        <v>1</v>
      </c>
      <c r="X711">
        <v>0</v>
      </c>
    </row>
    <row r="712" spans="1:24" x14ac:dyDescent="0.25">
      <c r="A712">
        <v>77203</v>
      </c>
      <c r="B712" t="s">
        <v>1375</v>
      </c>
      <c r="C712" t="s">
        <v>1376</v>
      </c>
      <c r="D712" t="s">
        <v>1377</v>
      </c>
      <c r="F712" t="str">
        <f>""</f>
        <v/>
      </c>
      <c r="G712" t="str">
        <f>""</f>
        <v/>
      </c>
      <c r="H712">
        <v>4</v>
      </c>
      <c r="I712">
        <v>4.33</v>
      </c>
      <c r="J712" t="s">
        <v>1378</v>
      </c>
      <c r="K712" t="s">
        <v>28</v>
      </c>
      <c r="L712">
        <v>371</v>
      </c>
      <c r="M712">
        <v>2004</v>
      </c>
      <c r="N712">
        <v>2003</v>
      </c>
      <c r="O712" s="1">
        <v>44786</v>
      </c>
      <c r="P712" s="1">
        <v>44785</v>
      </c>
      <c r="S712" t="s">
        <v>29</v>
      </c>
      <c r="W712">
        <v>1</v>
      </c>
      <c r="X712">
        <v>0</v>
      </c>
    </row>
    <row r="713" spans="1:24" x14ac:dyDescent="0.25">
      <c r="A713">
        <v>28260438</v>
      </c>
      <c r="B713" t="s">
        <v>1379</v>
      </c>
      <c r="C713" t="s">
        <v>1366</v>
      </c>
      <c r="D713" t="s">
        <v>1367</v>
      </c>
      <c r="F713" t="str">
        <f>"1626923485"</f>
        <v>1626923485</v>
      </c>
      <c r="G713" t="str">
        <f>"9781626923485"</f>
        <v>9781626923485</v>
      </c>
      <c r="H713">
        <v>4</v>
      </c>
      <c r="I713">
        <v>4.16</v>
      </c>
      <c r="J713" t="s">
        <v>1368</v>
      </c>
      <c r="K713" t="s">
        <v>28</v>
      </c>
      <c r="L713">
        <v>180</v>
      </c>
      <c r="M713">
        <v>2016</v>
      </c>
      <c r="N713">
        <v>2014</v>
      </c>
      <c r="O713" s="1">
        <v>44786</v>
      </c>
      <c r="P713" s="1">
        <v>44786</v>
      </c>
      <c r="S713" t="s">
        <v>29</v>
      </c>
      <c r="W713">
        <v>1</v>
      </c>
      <c r="X713">
        <v>0</v>
      </c>
    </row>
    <row r="714" spans="1:24" x14ac:dyDescent="0.25">
      <c r="A714">
        <v>55851413</v>
      </c>
      <c r="B714" t="s">
        <v>1380</v>
      </c>
      <c r="C714" t="s">
        <v>890</v>
      </c>
      <c r="D714" t="s">
        <v>891</v>
      </c>
      <c r="F714" t="str">
        <f>""</f>
        <v/>
      </c>
      <c r="G714" t="str">
        <f>"9786038234174"</f>
        <v>9786038234174</v>
      </c>
      <c r="H714">
        <v>0</v>
      </c>
      <c r="I714">
        <v>4.7300000000000004</v>
      </c>
      <c r="J714" t="s">
        <v>1381</v>
      </c>
      <c r="K714" t="s">
        <v>34</v>
      </c>
      <c r="L714">
        <v>776</v>
      </c>
      <c r="M714">
        <v>2019</v>
      </c>
      <c r="N714">
        <v>2019</v>
      </c>
      <c r="P714" s="1">
        <v>44786</v>
      </c>
      <c r="Q714" t="s">
        <v>35</v>
      </c>
      <c r="R714" t="s">
        <v>1382</v>
      </c>
      <c r="S714" t="s">
        <v>35</v>
      </c>
      <c r="W714">
        <v>0</v>
      </c>
      <c r="X714">
        <v>0</v>
      </c>
    </row>
    <row r="715" spans="1:24" x14ac:dyDescent="0.25">
      <c r="A715">
        <v>30279235</v>
      </c>
      <c r="B715" t="s">
        <v>1383</v>
      </c>
      <c r="C715" t="s">
        <v>1322</v>
      </c>
      <c r="D715" t="s">
        <v>1323</v>
      </c>
      <c r="F715" t="str">
        <f>"1632363909"</f>
        <v>1632363909</v>
      </c>
      <c r="G715" t="str">
        <f>"9781632363909"</f>
        <v>9781632363909</v>
      </c>
      <c r="H715">
        <v>5</v>
      </c>
      <c r="I715">
        <v>4.33</v>
      </c>
      <c r="J715" t="s">
        <v>847</v>
      </c>
      <c r="K715" t="s">
        <v>28</v>
      </c>
      <c r="L715">
        <v>176</v>
      </c>
      <c r="M715">
        <v>2017</v>
      </c>
      <c r="N715">
        <v>2017</v>
      </c>
      <c r="O715" s="1">
        <v>44785</v>
      </c>
      <c r="P715" s="1">
        <v>44785</v>
      </c>
      <c r="S715" t="s">
        <v>29</v>
      </c>
      <c r="W715">
        <v>1</v>
      </c>
      <c r="X715">
        <v>0</v>
      </c>
    </row>
    <row r="716" spans="1:24" x14ac:dyDescent="0.25">
      <c r="A716">
        <v>23941148</v>
      </c>
      <c r="B716" t="s">
        <v>1384</v>
      </c>
      <c r="C716" t="s">
        <v>1385</v>
      </c>
      <c r="D716" t="s">
        <v>1386</v>
      </c>
      <c r="F716" t="str">
        <f>"4088802209"</f>
        <v>4088802209</v>
      </c>
      <c r="G716" t="str">
        <f>"9784088802206"</f>
        <v>9784088802206</v>
      </c>
      <c r="H716">
        <v>5</v>
      </c>
      <c r="I716">
        <v>4.45</v>
      </c>
      <c r="J716" t="s">
        <v>55</v>
      </c>
      <c r="K716" t="s">
        <v>28</v>
      </c>
      <c r="L716">
        <v>216</v>
      </c>
      <c r="M716">
        <v>2015</v>
      </c>
      <c r="N716">
        <v>2015</v>
      </c>
      <c r="O716" s="1">
        <v>44784</v>
      </c>
      <c r="P716" s="1">
        <v>44784</v>
      </c>
      <c r="S716" t="s">
        <v>29</v>
      </c>
      <c r="W716">
        <v>1</v>
      </c>
      <c r="X716">
        <v>0</v>
      </c>
    </row>
    <row r="717" spans="1:24" x14ac:dyDescent="0.25">
      <c r="A717">
        <v>23310452</v>
      </c>
      <c r="B717" t="s">
        <v>1387</v>
      </c>
      <c r="C717" t="s">
        <v>1385</v>
      </c>
      <c r="D717" t="s">
        <v>1386</v>
      </c>
      <c r="F717" t="str">
        <f>"408880208X"</f>
        <v>408880208X</v>
      </c>
      <c r="G717" t="str">
        <f>"9784088802084"</f>
        <v>9784088802084</v>
      </c>
      <c r="H717">
        <v>4</v>
      </c>
      <c r="I717">
        <v>4.33</v>
      </c>
      <c r="J717" t="s">
        <v>55</v>
      </c>
      <c r="K717" t="s">
        <v>28</v>
      </c>
      <c r="L717">
        <v>208</v>
      </c>
      <c r="M717">
        <v>2014</v>
      </c>
      <c r="N717">
        <v>2014</v>
      </c>
      <c r="O717" s="1">
        <v>44784</v>
      </c>
      <c r="P717" s="1">
        <v>44784</v>
      </c>
      <c r="S717" t="s">
        <v>29</v>
      </c>
      <c r="W717">
        <v>1</v>
      </c>
      <c r="X717">
        <v>0</v>
      </c>
    </row>
    <row r="718" spans="1:24" x14ac:dyDescent="0.25">
      <c r="A718">
        <v>22845375</v>
      </c>
      <c r="B718" t="s">
        <v>1388</v>
      </c>
      <c r="C718" t="s">
        <v>1385</v>
      </c>
      <c r="D718" t="s">
        <v>1386</v>
      </c>
      <c r="F718" t="str">
        <f>"4088801512"</f>
        <v>4088801512</v>
      </c>
      <c r="G718" t="str">
        <f>"9784088801513"</f>
        <v>9784088801513</v>
      </c>
      <c r="H718">
        <v>4</v>
      </c>
      <c r="I718">
        <v>4.32</v>
      </c>
      <c r="J718" t="s">
        <v>55</v>
      </c>
      <c r="K718" t="s">
        <v>28</v>
      </c>
      <c r="L718">
        <v>208</v>
      </c>
      <c r="M718">
        <v>2014</v>
      </c>
      <c r="N718">
        <v>2014</v>
      </c>
      <c r="O718" s="1">
        <v>44784</v>
      </c>
      <c r="P718" s="1">
        <v>44784</v>
      </c>
      <c r="S718" t="s">
        <v>29</v>
      </c>
      <c r="W718">
        <v>1</v>
      </c>
      <c r="X718">
        <v>0</v>
      </c>
    </row>
    <row r="719" spans="1:24" x14ac:dyDescent="0.25">
      <c r="A719">
        <v>22010045</v>
      </c>
      <c r="B719" t="s">
        <v>1389</v>
      </c>
      <c r="C719" t="s">
        <v>1385</v>
      </c>
      <c r="D719" t="s">
        <v>1386</v>
      </c>
      <c r="F719" t="str">
        <f>"4088800540"</f>
        <v>4088800540</v>
      </c>
      <c r="G719" t="str">
        <f>"9784088800547"</f>
        <v>9784088800547</v>
      </c>
      <c r="H719">
        <v>5</v>
      </c>
      <c r="I719">
        <v>4.3</v>
      </c>
      <c r="J719" t="s">
        <v>55</v>
      </c>
      <c r="K719" t="s">
        <v>28</v>
      </c>
      <c r="L719">
        <v>208</v>
      </c>
      <c r="M719">
        <v>2014</v>
      </c>
      <c r="N719">
        <v>2014</v>
      </c>
      <c r="O719" s="1">
        <v>44784</v>
      </c>
      <c r="P719" s="1">
        <v>44784</v>
      </c>
      <c r="S719" t="s">
        <v>29</v>
      </c>
      <c r="W719">
        <v>1</v>
      </c>
      <c r="X719">
        <v>0</v>
      </c>
    </row>
    <row r="720" spans="1:24" x14ac:dyDescent="0.25">
      <c r="A720">
        <v>20933764</v>
      </c>
      <c r="B720" t="s">
        <v>1390</v>
      </c>
      <c r="C720" t="s">
        <v>1385</v>
      </c>
      <c r="D720" t="s">
        <v>1386</v>
      </c>
      <c r="F720" t="str">
        <f>""</f>
        <v/>
      </c>
      <c r="G720" t="str">
        <f>"9784088800233"</f>
        <v>9784088800233</v>
      </c>
      <c r="H720">
        <v>4</v>
      </c>
      <c r="I720">
        <v>4.29</v>
      </c>
      <c r="J720" t="s">
        <v>55</v>
      </c>
      <c r="K720" t="s">
        <v>207</v>
      </c>
      <c r="L720">
        <v>194</v>
      </c>
      <c r="M720">
        <v>2014</v>
      </c>
      <c r="N720">
        <v>2014</v>
      </c>
      <c r="O720" s="1">
        <v>44784</v>
      </c>
      <c r="P720" s="1">
        <v>44784</v>
      </c>
      <c r="S720" t="s">
        <v>29</v>
      </c>
      <c r="W720">
        <v>1</v>
      </c>
      <c r="X720">
        <v>0</v>
      </c>
    </row>
    <row r="721" spans="1:24" x14ac:dyDescent="0.25">
      <c r="A721">
        <v>19154509</v>
      </c>
      <c r="B721" t="s">
        <v>1391</v>
      </c>
      <c r="C721" t="s">
        <v>1385</v>
      </c>
      <c r="D721" t="s">
        <v>1386</v>
      </c>
      <c r="F721" t="str">
        <f>"4088708490"</f>
        <v>4088708490</v>
      </c>
      <c r="G721" t="str">
        <f>"9784088708492"</f>
        <v>9784088708492</v>
      </c>
      <c r="H721">
        <v>4</v>
      </c>
      <c r="I721">
        <v>4.32</v>
      </c>
      <c r="J721" t="s">
        <v>55</v>
      </c>
      <c r="K721" t="s">
        <v>28</v>
      </c>
      <c r="L721">
        <v>192</v>
      </c>
      <c r="M721">
        <v>2013</v>
      </c>
      <c r="N721">
        <v>2013</v>
      </c>
      <c r="O721" s="1">
        <v>44784</v>
      </c>
      <c r="P721" s="1">
        <v>44784</v>
      </c>
      <c r="S721" t="s">
        <v>29</v>
      </c>
      <c r="W721">
        <v>1</v>
      </c>
      <c r="X721">
        <v>0</v>
      </c>
    </row>
    <row r="722" spans="1:24" x14ac:dyDescent="0.25">
      <c r="A722">
        <v>18489575</v>
      </c>
      <c r="B722" t="s">
        <v>1392</v>
      </c>
      <c r="C722" t="s">
        <v>1385</v>
      </c>
      <c r="D722" t="s">
        <v>1386</v>
      </c>
      <c r="F722" t="str">
        <f>"4088708016"</f>
        <v>4088708016</v>
      </c>
      <c r="G722" t="str">
        <f>"9784088708010"</f>
        <v>9784088708010</v>
      </c>
      <c r="H722">
        <v>5</v>
      </c>
      <c r="I722">
        <v>4.3600000000000003</v>
      </c>
      <c r="J722" t="s">
        <v>55</v>
      </c>
      <c r="K722" t="s">
        <v>28</v>
      </c>
      <c r="L722">
        <v>192</v>
      </c>
      <c r="M722">
        <v>2013</v>
      </c>
      <c r="N722">
        <v>2013</v>
      </c>
      <c r="O722" s="1">
        <v>44784</v>
      </c>
      <c r="P722" s="1">
        <v>44784</v>
      </c>
      <c r="S722" t="s">
        <v>29</v>
      </c>
      <c r="W722">
        <v>1</v>
      </c>
      <c r="X722">
        <v>0</v>
      </c>
    </row>
    <row r="723" spans="1:24" x14ac:dyDescent="0.25">
      <c r="A723">
        <v>29844803</v>
      </c>
      <c r="B723" t="s">
        <v>1393</v>
      </c>
      <c r="C723" t="s">
        <v>1322</v>
      </c>
      <c r="D723" t="s">
        <v>1323</v>
      </c>
      <c r="F723" t="str">
        <f>"1632363577"</f>
        <v>1632363577</v>
      </c>
      <c r="G723" t="str">
        <f>"9781632363572"</f>
        <v>9781632363572</v>
      </c>
      <c r="H723">
        <v>5</v>
      </c>
      <c r="I723">
        <v>4.38</v>
      </c>
      <c r="J723" t="s">
        <v>847</v>
      </c>
      <c r="K723" t="s">
        <v>28</v>
      </c>
      <c r="L723">
        <v>176</v>
      </c>
      <c r="M723">
        <v>2016</v>
      </c>
      <c r="N723">
        <v>2015</v>
      </c>
      <c r="O723" s="1">
        <v>44784</v>
      </c>
      <c r="P723" s="1">
        <v>44784</v>
      </c>
      <c r="S723" t="s">
        <v>29</v>
      </c>
      <c r="W723">
        <v>1</v>
      </c>
      <c r="X723">
        <v>0</v>
      </c>
    </row>
    <row r="724" spans="1:24" x14ac:dyDescent="0.25">
      <c r="A724">
        <v>18120987</v>
      </c>
      <c r="B724" t="s">
        <v>1394</v>
      </c>
      <c r="C724" t="s">
        <v>1385</v>
      </c>
      <c r="D724" t="s">
        <v>1386</v>
      </c>
      <c r="F724" t="str">
        <f>""</f>
        <v/>
      </c>
      <c r="G724" t="str">
        <f>"9784088706610"</f>
        <v>9784088706610</v>
      </c>
      <c r="H724">
        <v>4</v>
      </c>
      <c r="I724">
        <v>4.38</v>
      </c>
      <c r="J724" t="s">
        <v>55</v>
      </c>
      <c r="K724" t="s">
        <v>28</v>
      </c>
      <c r="L724">
        <v>192</v>
      </c>
      <c r="M724">
        <v>2013</v>
      </c>
      <c r="N724">
        <v>2013</v>
      </c>
      <c r="O724" s="1">
        <v>44784</v>
      </c>
      <c r="P724" s="1">
        <v>44784</v>
      </c>
      <c r="S724" t="s">
        <v>29</v>
      </c>
      <c r="W724">
        <v>1</v>
      </c>
      <c r="X724">
        <v>0</v>
      </c>
    </row>
    <row r="725" spans="1:24" x14ac:dyDescent="0.25">
      <c r="A725">
        <v>17571503</v>
      </c>
      <c r="B725" t="s">
        <v>1395</v>
      </c>
      <c r="C725" t="s">
        <v>1385</v>
      </c>
      <c r="D725" t="s">
        <v>1386</v>
      </c>
      <c r="F725" t="str">
        <f>"1421561395"</f>
        <v>1421561395</v>
      </c>
      <c r="G725" t="str">
        <f>"9781421561394"</f>
        <v>9781421561394</v>
      </c>
      <c r="H725">
        <v>4</v>
      </c>
      <c r="I725">
        <v>4.3600000000000003</v>
      </c>
      <c r="J725" t="s">
        <v>27</v>
      </c>
      <c r="K725" t="s">
        <v>28</v>
      </c>
      <c r="L725">
        <v>192</v>
      </c>
      <c r="M725">
        <v>2014</v>
      </c>
      <c r="N725">
        <v>2013</v>
      </c>
      <c r="O725" s="1">
        <v>44784</v>
      </c>
      <c r="P725" s="1">
        <v>44783</v>
      </c>
      <c r="S725" t="s">
        <v>29</v>
      </c>
      <c r="W725">
        <v>1</v>
      </c>
      <c r="X725">
        <v>0</v>
      </c>
    </row>
    <row r="726" spans="1:24" x14ac:dyDescent="0.25">
      <c r="A726">
        <v>16048942</v>
      </c>
      <c r="B726" t="s">
        <v>1396</v>
      </c>
      <c r="C726" t="s">
        <v>1385</v>
      </c>
      <c r="D726" t="s">
        <v>1386</v>
      </c>
      <c r="F726" t="str">
        <f>"4088705505"</f>
        <v>4088705505</v>
      </c>
      <c r="G726" t="str">
        <f>"9784088705507"</f>
        <v>9784088705507</v>
      </c>
      <c r="H726">
        <v>5</v>
      </c>
      <c r="I726">
        <v>4.4000000000000004</v>
      </c>
      <c r="J726" t="s">
        <v>55</v>
      </c>
      <c r="K726" t="s">
        <v>28</v>
      </c>
      <c r="L726">
        <v>192</v>
      </c>
      <c r="M726">
        <v>2012</v>
      </c>
      <c r="N726">
        <v>2012</v>
      </c>
      <c r="O726" s="1">
        <v>44783</v>
      </c>
      <c r="P726" s="1">
        <v>44783</v>
      </c>
      <c r="S726" t="s">
        <v>29</v>
      </c>
      <c r="W726">
        <v>1</v>
      </c>
      <c r="X726">
        <v>0</v>
      </c>
    </row>
    <row r="727" spans="1:24" x14ac:dyDescent="0.25">
      <c r="A727">
        <v>16048950</v>
      </c>
      <c r="B727" t="s">
        <v>1397</v>
      </c>
      <c r="C727" t="s">
        <v>1385</v>
      </c>
      <c r="D727" t="s">
        <v>1386</v>
      </c>
      <c r="F727" t="str">
        <f>""</f>
        <v/>
      </c>
      <c r="G727" t="str">
        <f>"9784088705156"</f>
        <v>9784088705156</v>
      </c>
      <c r="H727">
        <v>4</v>
      </c>
      <c r="I727">
        <v>4.37</v>
      </c>
      <c r="J727" t="s">
        <v>55</v>
      </c>
      <c r="K727" t="s">
        <v>801</v>
      </c>
      <c r="L727">
        <v>200</v>
      </c>
      <c r="M727">
        <v>2012</v>
      </c>
      <c r="N727">
        <v>2012</v>
      </c>
      <c r="O727" s="1">
        <v>44783</v>
      </c>
      <c r="P727" s="1">
        <v>44783</v>
      </c>
      <c r="S727" t="s">
        <v>29</v>
      </c>
      <c r="W727">
        <v>1</v>
      </c>
      <c r="X727">
        <v>0</v>
      </c>
    </row>
    <row r="728" spans="1:24" x14ac:dyDescent="0.25">
      <c r="A728">
        <v>15803924</v>
      </c>
      <c r="B728" t="s">
        <v>1398</v>
      </c>
      <c r="C728" t="s">
        <v>1385</v>
      </c>
      <c r="D728" t="s">
        <v>1386</v>
      </c>
      <c r="F728" t="str">
        <f>"1421552485"</f>
        <v>1421552485</v>
      </c>
      <c r="G728" t="str">
        <f>"9781421552484"</f>
        <v>9781421552484</v>
      </c>
      <c r="H728">
        <v>4</v>
      </c>
      <c r="I728">
        <v>4.3600000000000003</v>
      </c>
      <c r="J728" t="s">
        <v>27</v>
      </c>
      <c r="K728" t="s">
        <v>28</v>
      </c>
      <c r="L728">
        <v>192</v>
      </c>
      <c r="M728">
        <v>2013</v>
      </c>
      <c r="N728">
        <v>2012</v>
      </c>
      <c r="O728" s="1">
        <v>44783</v>
      </c>
      <c r="P728" s="1">
        <v>44783</v>
      </c>
      <c r="S728" t="s">
        <v>29</v>
      </c>
      <c r="W728">
        <v>1</v>
      </c>
      <c r="X728">
        <v>0</v>
      </c>
    </row>
    <row r="729" spans="1:24" x14ac:dyDescent="0.25">
      <c r="A729">
        <v>15800507</v>
      </c>
      <c r="B729" t="s">
        <v>1399</v>
      </c>
      <c r="C729" t="s">
        <v>1385</v>
      </c>
      <c r="D729" t="s">
        <v>1386</v>
      </c>
      <c r="F729" t="str">
        <f>"1421549433"</f>
        <v>1421549433</v>
      </c>
      <c r="G729" t="str">
        <f>"9781421549439"</f>
        <v>9781421549439</v>
      </c>
      <c r="H729">
        <v>5</v>
      </c>
      <c r="I729">
        <v>4.43</v>
      </c>
      <c r="J729" t="s">
        <v>27</v>
      </c>
      <c r="K729" t="s">
        <v>28</v>
      </c>
      <c r="L729">
        <v>192</v>
      </c>
      <c r="M729">
        <v>2013</v>
      </c>
      <c r="N729">
        <v>2012</v>
      </c>
      <c r="O729" s="1">
        <v>44783</v>
      </c>
      <c r="P729" s="1">
        <v>44783</v>
      </c>
      <c r="S729" t="s">
        <v>29</v>
      </c>
      <c r="W729">
        <v>1</v>
      </c>
      <c r="X729">
        <v>0</v>
      </c>
    </row>
    <row r="730" spans="1:24" x14ac:dyDescent="0.25">
      <c r="A730">
        <v>13501894</v>
      </c>
      <c r="B730" t="s">
        <v>1400</v>
      </c>
      <c r="C730" t="s">
        <v>1385</v>
      </c>
      <c r="D730" t="s">
        <v>1386</v>
      </c>
      <c r="F730" t="str">
        <f>"4088703685"</f>
        <v>4088703685</v>
      </c>
      <c r="G730" t="str">
        <f>"9784088703688"</f>
        <v>9784088703688</v>
      </c>
      <c r="H730">
        <v>4</v>
      </c>
      <c r="I730">
        <v>4.34</v>
      </c>
      <c r="J730" t="s">
        <v>55</v>
      </c>
      <c r="K730" t="s">
        <v>801</v>
      </c>
      <c r="L730">
        <v>192</v>
      </c>
      <c r="M730">
        <v>2012</v>
      </c>
      <c r="N730">
        <v>2012</v>
      </c>
      <c r="O730" s="1">
        <v>44783</v>
      </c>
      <c r="P730" s="1">
        <v>44783</v>
      </c>
      <c r="S730" t="s">
        <v>29</v>
      </c>
      <c r="W730">
        <v>1</v>
      </c>
      <c r="X730">
        <v>0</v>
      </c>
    </row>
    <row r="731" spans="1:24" x14ac:dyDescent="0.25">
      <c r="A731">
        <v>13121244</v>
      </c>
      <c r="B731" t="s">
        <v>1401</v>
      </c>
      <c r="C731" t="s">
        <v>1385</v>
      </c>
      <c r="D731" t="s">
        <v>1386</v>
      </c>
      <c r="F731" t="str">
        <f>"1421543281"</f>
        <v>1421543281</v>
      </c>
      <c r="G731" t="str">
        <f>"9781421543284"</f>
        <v>9781421543284</v>
      </c>
      <c r="H731">
        <v>4</v>
      </c>
      <c r="I731">
        <v>4.4000000000000004</v>
      </c>
      <c r="J731" t="s">
        <v>27</v>
      </c>
      <c r="K731" t="s">
        <v>28</v>
      </c>
      <c r="L731">
        <v>208</v>
      </c>
      <c r="M731">
        <v>2012</v>
      </c>
      <c r="N731">
        <v>2011</v>
      </c>
      <c r="O731" s="1">
        <v>44783</v>
      </c>
      <c r="P731" s="1">
        <v>44783</v>
      </c>
      <c r="S731" t="s">
        <v>29</v>
      </c>
      <c r="W731">
        <v>1</v>
      </c>
      <c r="X731">
        <v>0</v>
      </c>
    </row>
    <row r="732" spans="1:24" x14ac:dyDescent="0.25">
      <c r="A732">
        <v>12099139</v>
      </c>
      <c r="B732" t="s">
        <v>1402</v>
      </c>
      <c r="C732" t="s">
        <v>1385</v>
      </c>
      <c r="D732" t="s">
        <v>1386</v>
      </c>
      <c r="F732" t="str">
        <f>"4088702719"</f>
        <v>4088702719</v>
      </c>
      <c r="G732" t="str">
        <f>"9784088702711"</f>
        <v>9784088702711</v>
      </c>
      <c r="H732">
        <v>4</v>
      </c>
      <c r="I732">
        <v>4.3099999999999996</v>
      </c>
      <c r="J732" t="s">
        <v>55</v>
      </c>
      <c r="K732" t="s">
        <v>801</v>
      </c>
      <c r="L732">
        <v>192</v>
      </c>
      <c r="M732">
        <v>2011</v>
      </c>
      <c r="N732">
        <v>2011</v>
      </c>
      <c r="O732" s="1">
        <v>44783</v>
      </c>
      <c r="P732" s="1">
        <v>44783</v>
      </c>
      <c r="S732" t="s">
        <v>29</v>
      </c>
      <c r="W732">
        <v>1</v>
      </c>
      <c r="X732">
        <v>0</v>
      </c>
    </row>
    <row r="733" spans="1:24" x14ac:dyDescent="0.25">
      <c r="A733">
        <v>11644663</v>
      </c>
      <c r="B733" t="s">
        <v>1403</v>
      </c>
      <c r="C733" t="s">
        <v>1385</v>
      </c>
      <c r="D733" t="s">
        <v>1386</v>
      </c>
      <c r="F733" t="str">
        <f>"4088702182"</f>
        <v>4088702182</v>
      </c>
      <c r="G733" t="str">
        <f>"9784088702186"</f>
        <v>9784088702186</v>
      </c>
      <c r="H733">
        <v>4</v>
      </c>
      <c r="I733">
        <v>4.33</v>
      </c>
      <c r="J733" t="s">
        <v>55</v>
      </c>
      <c r="K733" t="s">
        <v>801</v>
      </c>
      <c r="L733">
        <v>192</v>
      </c>
      <c r="M733">
        <v>2011</v>
      </c>
      <c r="N733">
        <v>2011</v>
      </c>
      <c r="O733" s="1">
        <v>44783</v>
      </c>
      <c r="P733" s="1">
        <v>44782</v>
      </c>
      <c r="S733" t="s">
        <v>29</v>
      </c>
      <c r="W733">
        <v>1</v>
      </c>
      <c r="X733">
        <v>0</v>
      </c>
    </row>
    <row r="734" spans="1:24" x14ac:dyDescent="0.25">
      <c r="A734">
        <v>11192419</v>
      </c>
      <c r="B734" t="s">
        <v>1404</v>
      </c>
      <c r="C734" t="s">
        <v>1385</v>
      </c>
      <c r="D734" t="s">
        <v>1386</v>
      </c>
      <c r="F734" t="str">
        <f>"4088701852"</f>
        <v>4088701852</v>
      </c>
      <c r="G734" t="str">
        <f>"9784088701851"</f>
        <v>9784088701851</v>
      </c>
      <c r="H734">
        <v>3</v>
      </c>
      <c r="I734">
        <v>4.33</v>
      </c>
      <c r="J734" t="s">
        <v>55</v>
      </c>
      <c r="K734" t="s">
        <v>801</v>
      </c>
      <c r="L734">
        <v>200</v>
      </c>
      <c r="M734">
        <v>2011</v>
      </c>
      <c r="N734">
        <v>2011</v>
      </c>
      <c r="O734" s="1">
        <v>44782</v>
      </c>
      <c r="P734" s="1">
        <v>44782</v>
      </c>
      <c r="S734" t="s">
        <v>29</v>
      </c>
      <c r="W734">
        <v>1</v>
      </c>
      <c r="X734">
        <v>0</v>
      </c>
    </row>
    <row r="735" spans="1:24" x14ac:dyDescent="0.25">
      <c r="A735">
        <v>9994190</v>
      </c>
      <c r="B735" t="s">
        <v>1405</v>
      </c>
      <c r="C735" t="s">
        <v>1385</v>
      </c>
      <c r="D735" t="s">
        <v>1386</v>
      </c>
      <c r="F735" t="str">
        <f>"4088701437"</f>
        <v>4088701437</v>
      </c>
      <c r="G735" t="str">
        <f>"9784088701431"</f>
        <v>9784088701431</v>
      </c>
      <c r="H735">
        <v>4</v>
      </c>
      <c r="I735">
        <v>4.2699999999999996</v>
      </c>
      <c r="J735" t="s">
        <v>55</v>
      </c>
      <c r="K735" t="s">
        <v>801</v>
      </c>
      <c r="L735">
        <v>192</v>
      </c>
      <c r="M735">
        <v>2010</v>
      </c>
      <c r="N735">
        <v>2010</v>
      </c>
      <c r="O735" s="1">
        <v>44781</v>
      </c>
      <c r="P735" s="1">
        <v>44781</v>
      </c>
      <c r="S735" t="s">
        <v>29</v>
      </c>
      <c r="W735">
        <v>1</v>
      </c>
      <c r="X735">
        <v>0</v>
      </c>
    </row>
    <row r="736" spans="1:24" x14ac:dyDescent="0.25">
      <c r="A736">
        <v>9585222</v>
      </c>
      <c r="B736" t="s">
        <v>1406</v>
      </c>
      <c r="C736" t="s">
        <v>1385</v>
      </c>
      <c r="D736" t="s">
        <v>1386</v>
      </c>
      <c r="F736" t="str">
        <f>"4088701267"</f>
        <v>4088701267</v>
      </c>
      <c r="G736" t="str">
        <f>"9784088701264"</f>
        <v>9784088701264</v>
      </c>
      <c r="H736">
        <v>4</v>
      </c>
      <c r="I736">
        <v>4.49</v>
      </c>
      <c r="J736" t="s">
        <v>55</v>
      </c>
      <c r="K736" t="s">
        <v>801</v>
      </c>
      <c r="L736">
        <v>192</v>
      </c>
      <c r="M736">
        <v>2010</v>
      </c>
      <c r="N736">
        <v>2010</v>
      </c>
      <c r="O736" s="1">
        <v>44781</v>
      </c>
      <c r="P736" s="1">
        <v>44781</v>
      </c>
      <c r="S736" t="s">
        <v>29</v>
      </c>
      <c r="W736">
        <v>1</v>
      </c>
      <c r="X736">
        <v>0</v>
      </c>
    </row>
    <row r="737" spans="1:24" x14ac:dyDescent="0.25">
      <c r="A737">
        <v>36176987</v>
      </c>
      <c r="B737" t="s">
        <v>1407</v>
      </c>
      <c r="C737" t="s">
        <v>1408</v>
      </c>
      <c r="D737" t="s">
        <v>1409</v>
      </c>
      <c r="F737" t="str">
        <f>""</f>
        <v/>
      </c>
      <c r="G737" t="str">
        <f>""</f>
        <v/>
      </c>
      <c r="H737">
        <v>3</v>
      </c>
      <c r="I737">
        <v>4.3499999999999996</v>
      </c>
      <c r="K737" t="s">
        <v>133</v>
      </c>
      <c r="L737">
        <v>446</v>
      </c>
      <c r="M737">
        <v>2017</v>
      </c>
      <c r="O737" s="1">
        <v>44781</v>
      </c>
      <c r="P737" s="1">
        <v>44749</v>
      </c>
      <c r="S737" t="s">
        <v>29</v>
      </c>
      <c r="W737">
        <v>1</v>
      </c>
      <c r="X737">
        <v>0</v>
      </c>
    </row>
    <row r="738" spans="1:24" x14ac:dyDescent="0.25">
      <c r="A738">
        <v>9182500</v>
      </c>
      <c r="B738" t="s">
        <v>1410</v>
      </c>
      <c r="C738" t="s">
        <v>1385</v>
      </c>
      <c r="D738" t="s">
        <v>1386</v>
      </c>
      <c r="F738" t="str">
        <f>"4088700848"</f>
        <v>4088700848</v>
      </c>
      <c r="G738" t="str">
        <f>"9784088700847"</f>
        <v>9784088700847</v>
      </c>
      <c r="H738">
        <v>3</v>
      </c>
      <c r="I738">
        <v>4.3</v>
      </c>
      <c r="J738" t="s">
        <v>55</v>
      </c>
      <c r="K738" t="s">
        <v>801</v>
      </c>
      <c r="L738">
        <v>208</v>
      </c>
      <c r="M738">
        <v>2010</v>
      </c>
      <c r="N738">
        <v>2010</v>
      </c>
      <c r="O738" s="1">
        <v>44781</v>
      </c>
      <c r="P738" s="1">
        <v>44781</v>
      </c>
      <c r="S738" t="s">
        <v>29</v>
      </c>
      <c r="W738">
        <v>1</v>
      </c>
      <c r="X738">
        <v>0</v>
      </c>
    </row>
    <row r="739" spans="1:24" x14ac:dyDescent="0.25">
      <c r="A739">
        <v>8112670</v>
      </c>
      <c r="B739" t="s">
        <v>1411</v>
      </c>
      <c r="C739" t="s">
        <v>1385</v>
      </c>
      <c r="D739" t="s">
        <v>1386</v>
      </c>
      <c r="F739" t="str">
        <f>"4088700333"</f>
        <v>4088700333</v>
      </c>
      <c r="G739" t="str">
        <f>"9784088700335"</f>
        <v>9784088700335</v>
      </c>
      <c r="H739">
        <v>4</v>
      </c>
      <c r="I739">
        <v>4.3899999999999997</v>
      </c>
      <c r="J739" t="s">
        <v>55</v>
      </c>
      <c r="K739" t="s">
        <v>28</v>
      </c>
      <c r="L739">
        <v>192</v>
      </c>
      <c r="M739">
        <v>2010</v>
      </c>
      <c r="N739">
        <v>2010</v>
      </c>
      <c r="O739" s="1">
        <v>44781</v>
      </c>
      <c r="P739" s="1">
        <v>44781</v>
      </c>
      <c r="S739" t="s">
        <v>29</v>
      </c>
      <c r="W739">
        <v>1</v>
      </c>
      <c r="X739">
        <v>0</v>
      </c>
    </row>
    <row r="740" spans="1:24" x14ac:dyDescent="0.25">
      <c r="A740">
        <v>7713813</v>
      </c>
      <c r="B740" t="s">
        <v>1412</v>
      </c>
      <c r="C740" t="s">
        <v>1385</v>
      </c>
      <c r="D740" t="s">
        <v>1386</v>
      </c>
      <c r="F740" t="str">
        <f>"4088700112"</f>
        <v>4088700112</v>
      </c>
      <c r="G740" t="str">
        <f>"9784088700113"</f>
        <v>9784088700113</v>
      </c>
      <c r="H740">
        <v>3</v>
      </c>
      <c r="I740">
        <v>4.3099999999999996</v>
      </c>
      <c r="J740" t="s">
        <v>55</v>
      </c>
      <c r="K740" t="s">
        <v>801</v>
      </c>
      <c r="L740">
        <v>192</v>
      </c>
      <c r="M740">
        <v>2010</v>
      </c>
      <c r="N740">
        <v>2010</v>
      </c>
      <c r="O740" s="1">
        <v>44781</v>
      </c>
      <c r="P740" s="1">
        <v>44781</v>
      </c>
      <c r="S740" t="s">
        <v>29</v>
      </c>
      <c r="W740">
        <v>1</v>
      </c>
      <c r="X740">
        <v>0</v>
      </c>
    </row>
    <row r="741" spans="1:24" x14ac:dyDescent="0.25">
      <c r="A741">
        <v>6790808</v>
      </c>
      <c r="B741" t="s">
        <v>1413</v>
      </c>
      <c r="C741" t="s">
        <v>1385</v>
      </c>
      <c r="D741" t="s">
        <v>1386</v>
      </c>
      <c r="F741" t="str">
        <f>"1421534754"</f>
        <v>1421534754</v>
      </c>
      <c r="G741" t="str">
        <f>"9781421534756"</f>
        <v>9781421534756</v>
      </c>
      <c r="H741">
        <v>4</v>
      </c>
      <c r="I741">
        <v>4.3099999999999996</v>
      </c>
      <c r="J741" t="s">
        <v>27</v>
      </c>
      <c r="K741" t="s">
        <v>28</v>
      </c>
      <c r="L741">
        <v>200</v>
      </c>
      <c r="M741">
        <v>2010</v>
      </c>
      <c r="N741">
        <v>2010</v>
      </c>
      <c r="O741" s="1">
        <v>44781</v>
      </c>
      <c r="P741" s="1">
        <v>44781</v>
      </c>
      <c r="S741" t="s">
        <v>29</v>
      </c>
      <c r="W741">
        <v>1</v>
      </c>
      <c r="X741">
        <v>0</v>
      </c>
    </row>
    <row r="742" spans="1:24" x14ac:dyDescent="0.25">
      <c r="A742">
        <v>6790807</v>
      </c>
      <c r="B742" t="s">
        <v>1414</v>
      </c>
      <c r="C742" t="s">
        <v>1385</v>
      </c>
      <c r="D742" t="s">
        <v>1386</v>
      </c>
      <c r="F742" t="str">
        <f>"1421534746"</f>
        <v>1421534746</v>
      </c>
      <c r="G742" t="str">
        <f>"9781421534749"</f>
        <v>9781421534749</v>
      </c>
      <c r="H742">
        <v>4</v>
      </c>
      <c r="I742">
        <v>4.42</v>
      </c>
      <c r="J742" t="s">
        <v>27</v>
      </c>
      <c r="K742" t="s">
        <v>28</v>
      </c>
      <c r="L742">
        <v>208</v>
      </c>
      <c r="M742">
        <v>2010</v>
      </c>
      <c r="N742">
        <v>2009</v>
      </c>
      <c r="O742" s="1">
        <v>44781</v>
      </c>
      <c r="P742" s="1">
        <v>44781</v>
      </c>
      <c r="S742" t="s">
        <v>29</v>
      </c>
      <c r="W742">
        <v>1</v>
      </c>
      <c r="X742">
        <v>0</v>
      </c>
    </row>
    <row r="743" spans="1:24" x14ac:dyDescent="0.25">
      <c r="A743">
        <v>6435922</v>
      </c>
      <c r="B743" t="s">
        <v>1415</v>
      </c>
      <c r="C743" t="s">
        <v>1385</v>
      </c>
      <c r="D743" t="s">
        <v>1386</v>
      </c>
      <c r="F743" t="str">
        <f>"1421533057"</f>
        <v>1421533057</v>
      </c>
      <c r="G743" t="str">
        <f>"9781421533056"</f>
        <v>9781421533056</v>
      </c>
      <c r="H743">
        <v>5</v>
      </c>
      <c r="I743">
        <v>4.49</v>
      </c>
      <c r="J743" t="s">
        <v>27</v>
      </c>
      <c r="K743" t="s">
        <v>28</v>
      </c>
      <c r="L743">
        <v>192</v>
      </c>
      <c r="M743">
        <v>2010</v>
      </c>
      <c r="N743">
        <v>2009</v>
      </c>
      <c r="O743" s="1">
        <v>44781</v>
      </c>
      <c r="P743" s="1">
        <v>44781</v>
      </c>
      <c r="S743" t="s">
        <v>29</v>
      </c>
      <c r="W743">
        <v>1</v>
      </c>
      <c r="X743">
        <v>0</v>
      </c>
    </row>
    <row r="744" spans="1:24" x14ac:dyDescent="0.25">
      <c r="A744">
        <v>6435918</v>
      </c>
      <c r="B744" t="s">
        <v>1416</v>
      </c>
      <c r="C744" t="s">
        <v>1385</v>
      </c>
      <c r="D744" t="s">
        <v>1386</v>
      </c>
      <c r="F744" t="str">
        <f>"1421533049"</f>
        <v>1421533049</v>
      </c>
      <c r="G744" t="str">
        <f>"9781421533049"</f>
        <v>9781421533049</v>
      </c>
      <c r="H744">
        <v>5</v>
      </c>
      <c r="I744">
        <v>4.49</v>
      </c>
      <c r="J744" t="s">
        <v>27</v>
      </c>
      <c r="K744" t="s">
        <v>28</v>
      </c>
      <c r="L744">
        <v>192</v>
      </c>
      <c r="M744">
        <v>2009</v>
      </c>
      <c r="N744">
        <v>2009</v>
      </c>
      <c r="O744" s="1">
        <v>44781</v>
      </c>
      <c r="P744" s="1">
        <v>44780</v>
      </c>
      <c r="S744" t="s">
        <v>29</v>
      </c>
      <c r="W744">
        <v>1</v>
      </c>
      <c r="X744">
        <v>0</v>
      </c>
    </row>
    <row r="745" spans="1:24" x14ac:dyDescent="0.25">
      <c r="A745">
        <v>5527835</v>
      </c>
      <c r="B745" t="s">
        <v>1417</v>
      </c>
      <c r="C745" t="s">
        <v>1385</v>
      </c>
      <c r="D745" t="s">
        <v>1386</v>
      </c>
      <c r="F745" t="str">
        <f>"1421531356"</f>
        <v>1421531356</v>
      </c>
      <c r="G745" t="str">
        <f>"9781421531359"</f>
        <v>9781421531359</v>
      </c>
      <c r="H745">
        <v>4</v>
      </c>
      <c r="I745">
        <v>4.4400000000000004</v>
      </c>
      <c r="J745" t="s">
        <v>27</v>
      </c>
      <c r="K745" t="s">
        <v>28</v>
      </c>
      <c r="L745">
        <v>192</v>
      </c>
      <c r="M745">
        <v>2009</v>
      </c>
      <c r="N745">
        <v>2009</v>
      </c>
      <c r="O745" s="1">
        <v>44780</v>
      </c>
      <c r="P745" s="1">
        <v>44780</v>
      </c>
      <c r="S745" t="s">
        <v>29</v>
      </c>
      <c r="W745">
        <v>1</v>
      </c>
      <c r="X745">
        <v>0</v>
      </c>
    </row>
    <row r="746" spans="1:24" x14ac:dyDescent="0.25">
      <c r="A746">
        <v>29844802</v>
      </c>
      <c r="B746" t="s">
        <v>1418</v>
      </c>
      <c r="C746" t="s">
        <v>1322</v>
      </c>
      <c r="D746" t="s">
        <v>1323</v>
      </c>
      <c r="F746" t="str">
        <f>"1632363569"</f>
        <v>1632363569</v>
      </c>
      <c r="G746" t="str">
        <f>"9781632363565"</f>
        <v>9781632363565</v>
      </c>
      <c r="H746">
        <v>5</v>
      </c>
      <c r="I746">
        <v>4.2699999999999996</v>
      </c>
      <c r="J746" t="s">
        <v>847</v>
      </c>
      <c r="K746" t="s">
        <v>28</v>
      </c>
      <c r="L746">
        <v>192</v>
      </c>
      <c r="M746">
        <v>2016</v>
      </c>
      <c r="N746">
        <v>2015</v>
      </c>
      <c r="O746" s="1">
        <v>44780</v>
      </c>
      <c r="P746" s="1">
        <v>44780</v>
      </c>
      <c r="S746" t="s">
        <v>29</v>
      </c>
      <c r="W746">
        <v>1</v>
      </c>
      <c r="X746">
        <v>0</v>
      </c>
    </row>
    <row r="747" spans="1:24" x14ac:dyDescent="0.25">
      <c r="A747">
        <v>5822950</v>
      </c>
      <c r="B747" t="s">
        <v>1419</v>
      </c>
      <c r="C747" t="s">
        <v>1385</v>
      </c>
      <c r="D747" t="s">
        <v>1386</v>
      </c>
      <c r="F747" t="str">
        <f>"1421531348"</f>
        <v>1421531348</v>
      </c>
      <c r="G747" t="str">
        <f>"9781421531342"</f>
        <v>9781421531342</v>
      </c>
      <c r="H747">
        <v>4</v>
      </c>
      <c r="I747">
        <v>4.3600000000000003</v>
      </c>
      <c r="J747" t="s">
        <v>27</v>
      </c>
      <c r="K747" t="s">
        <v>28</v>
      </c>
      <c r="L747">
        <v>200</v>
      </c>
      <c r="M747">
        <v>2009</v>
      </c>
      <c r="N747">
        <v>2008</v>
      </c>
      <c r="O747" s="1">
        <v>44780</v>
      </c>
      <c r="P747" s="1">
        <v>44780</v>
      </c>
      <c r="S747" t="s">
        <v>29</v>
      </c>
      <c r="W747">
        <v>1</v>
      </c>
      <c r="X747">
        <v>0</v>
      </c>
    </row>
    <row r="748" spans="1:24" x14ac:dyDescent="0.25">
      <c r="A748">
        <v>4634266</v>
      </c>
      <c r="B748" t="s">
        <v>1420</v>
      </c>
      <c r="C748" t="s">
        <v>1385</v>
      </c>
      <c r="D748" t="s">
        <v>1386</v>
      </c>
      <c r="F748" t="str">
        <f>""</f>
        <v/>
      </c>
      <c r="G748" t="str">
        <f>"9784088745527"</f>
        <v>9784088745527</v>
      </c>
      <c r="H748">
        <v>5</v>
      </c>
      <c r="I748">
        <v>4.5999999999999996</v>
      </c>
      <c r="J748" t="s">
        <v>55</v>
      </c>
      <c r="K748" t="s">
        <v>801</v>
      </c>
      <c r="L748">
        <v>248</v>
      </c>
      <c r="M748">
        <v>2008</v>
      </c>
      <c r="N748">
        <v>2008</v>
      </c>
      <c r="O748" s="1">
        <v>44780</v>
      </c>
      <c r="P748" s="1">
        <v>44780</v>
      </c>
      <c r="S748" t="s">
        <v>29</v>
      </c>
      <c r="W748">
        <v>1</v>
      </c>
      <c r="X748">
        <v>0</v>
      </c>
    </row>
    <row r="749" spans="1:24" x14ac:dyDescent="0.25">
      <c r="A749">
        <v>5463398</v>
      </c>
      <c r="B749" t="s">
        <v>1421</v>
      </c>
      <c r="C749" t="s">
        <v>1385</v>
      </c>
      <c r="D749" t="s">
        <v>1386</v>
      </c>
      <c r="F749" t="str">
        <f>"1421528436"</f>
        <v>1421528436</v>
      </c>
      <c r="G749" t="str">
        <f>"9781421528434"</f>
        <v>9781421528434</v>
      </c>
      <c r="H749">
        <v>5</v>
      </c>
      <c r="I749">
        <v>4.49</v>
      </c>
      <c r="J749" t="s">
        <v>27</v>
      </c>
      <c r="K749" t="s">
        <v>28</v>
      </c>
      <c r="L749">
        <v>192</v>
      </c>
      <c r="M749">
        <v>2009</v>
      </c>
      <c r="N749">
        <v>2008</v>
      </c>
      <c r="O749" s="1">
        <v>44780</v>
      </c>
      <c r="P749" s="1">
        <v>44779</v>
      </c>
      <c r="S749" t="s">
        <v>29</v>
      </c>
      <c r="W749">
        <v>1</v>
      </c>
      <c r="X749">
        <v>0</v>
      </c>
    </row>
    <row r="750" spans="1:24" x14ac:dyDescent="0.25">
      <c r="A750">
        <v>3978204</v>
      </c>
      <c r="B750" t="s">
        <v>1422</v>
      </c>
      <c r="C750" t="s">
        <v>1385</v>
      </c>
      <c r="D750" t="s">
        <v>1386</v>
      </c>
      <c r="F750" t="str">
        <f>"4088744728"</f>
        <v>4088744728</v>
      </c>
      <c r="G750" t="str">
        <f>""</f>
        <v/>
      </c>
      <c r="H750">
        <v>5</v>
      </c>
      <c r="I750">
        <v>4.3899999999999997</v>
      </c>
      <c r="J750" t="s">
        <v>55</v>
      </c>
      <c r="K750" t="s">
        <v>801</v>
      </c>
      <c r="L750">
        <v>192</v>
      </c>
      <c r="M750">
        <v>2008</v>
      </c>
      <c r="N750">
        <v>2008</v>
      </c>
      <c r="O750" s="1">
        <v>44779</v>
      </c>
      <c r="P750" s="1">
        <v>44779</v>
      </c>
      <c r="S750" t="s">
        <v>29</v>
      </c>
      <c r="W750">
        <v>1</v>
      </c>
      <c r="X750">
        <v>0</v>
      </c>
    </row>
    <row r="751" spans="1:24" x14ac:dyDescent="0.25">
      <c r="A751">
        <v>5822949</v>
      </c>
      <c r="B751" t="s">
        <v>1423</v>
      </c>
      <c r="C751" t="s">
        <v>1385</v>
      </c>
      <c r="D751" t="s">
        <v>1386</v>
      </c>
      <c r="F751" t="str">
        <f>"142152841X"</f>
        <v>142152841X</v>
      </c>
      <c r="G751" t="str">
        <f>"9781421528410"</f>
        <v>9781421528410</v>
      </c>
      <c r="H751">
        <v>5</v>
      </c>
      <c r="I751">
        <v>4.37</v>
      </c>
      <c r="J751" t="s">
        <v>27</v>
      </c>
      <c r="K751" t="s">
        <v>28</v>
      </c>
      <c r="L751">
        <v>200</v>
      </c>
      <c r="M751">
        <v>2009</v>
      </c>
      <c r="N751">
        <v>2007</v>
      </c>
      <c r="O751" s="1">
        <v>44779</v>
      </c>
      <c r="P751" s="1">
        <v>44779</v>
      </c>
      <c r="S751" t="s">
        <v>29</v>
      </c>
      <c r="W751">
        <v>1</v>
      </c>
      <c r="X751">
        <v>0</v>
      </c>
    </row>
    <row r="752" spans="1:24" x14ac:dyDescent="0.25">
      <c r="A752">
        <v>3714426</v>
      </c>
      <c r="B752" t="s">
        <v>1424</v>
      </c>
      <c r="C752" t="s">
        <v>1385</v>
      </c>
      <c r="D752" t="s">
        <v>1386</v>
      </c>
      <c r="F752" t="str">
        <f>"4088743974"</f>
        <v>4088743974</v>
      </c>
      <c r="G752" t="str">
        <f>"9784088743974"</f>
        <v>9784088743974</v>
      </c>
      <c r="H752">
        <v>3</v>
      </c>
      <c r="I752">
        <v>4.3099999999999996</v>
      </c>
      <c r="J752" t="s">
        <v>55</v>
      </c>
      <c r="K752" t="s">
        <v>28</v>
      </c>
      <c r="L752">
        <v>192</v>
      </c>
      <c r="M752">
        <v>2007</v>
      </c>
      <c r="N752">
        <v>2007</v>
      </c>
      <c r="O752" s="1">
        <v>44779</v>
      </c>
      <c r="P752" s="1">
        <v>44779</v>
      </c>
      <c r="S752" t="s">
        <v>29</v>
      </c>
      <c r="W752">
        <v>1</v>
      </c>
      <c r="X752">
        <v>0</v>
      </c>
    </row>
    <row r="753" spans="1:24" x14ac:dyDescent="0.25">
      <c r="A753">
        <v>3702977</v>
      </c>
      <c r="B753" t="s">
        <v>1425</v>
      </c>
      <c r="C753" t="s">
        <v>1385</v>
      </c>
      <c r="D753" t="s">
        <v>1386</v>
      </c>
      <c r="F753" t="str">
        <f>"4088743644"</f>
        <v>4088743644</v>
      </c>
      <c r="G753" t="str">
        <f>"9784088743646"</f>
        <v>9784088743646</v>
      </c>
      <c r="H753">
        <v>4</v>
      </c>
      <c r="I753">
        <v>4.33</v>
      </c>
      <c r="J753" t="s">
        <v>55</v>
      </c>
      <c r="K753" t="s">
        <v>801</v>
      </c>
      <c r="L753">
        <v>192</v>
      </c>
      <c r="M753">
        <v>2007</v>
      </c>
      <c r="N753">
        <v>2007</v>
      </c>
      <c r="O753" s="1">
        <v>44779</v>
      </c>
      <c r="P753" s="1">
        <v>44779</v>
      </c>
      <c r="S753" t="s">
        <v>29</v>
      </c>
      <c r="W753">
        <v>1</v>
      </c>
      <c r="X753">
        <v>0</v>
      </c>
    </row>
    <row r="754" spans="1:24" x14ac:dyDescent="0.25">
      <c r="A754">
        <v>3691873</v>
      </c>
      <c r="B754" t="s">
        <v>1426</v>
      </c>
      <c r="C754" t="s">
        <v>1385</v>
      </c>
      <c r="D754" t="s">
        <v>1386</v>
      </c>
      <c r="F754" t="str">
        <f>"4088743385"</f>
        <v>4088743385</v>
      </c>
      <c r="G754" t="str">
        <f>"9784088743387"</f>
        <v>9784088743387</v>
      </c>
      <c r="H754">
        <v>4</v>
      </c>
      <c r="I754">
        <v>4.43</v>
      </c>
      <c r="J754" t="s">
        <v>55</v>
      </c>
      <c r="K754" t="s">
        <v>801</v>
      </c>
      <c r="L754">
        <v>192</v>
      </c>
      <c r="M754">
        <v>2007</v>
      </c>
      <c r="N754">
        <v>2007</v>
      </c>
      <c r="O754" s="1">
        <v>44779</v>
      </c>
      <c r="P754" s="1">
        <v>44779</v>
      </c>
      <c r="S754" t="s">
        <v>29</v>
      </c>
      <c r="W754">
        <v>1</v>
      </c>
      <c r="X754">
        <v>0</v>
      </c>
    </row>
    <row r="755" spans="1:24" x14ac:dyDescent="0.25">
      <c r="A755">
        <v>3681392</v>
      </c>
      <c r="B755" t="s">
        <v>1427</v>
      </c>
      <c r="C755" t="s">
        <v>1385</v>
      </c>
      <c r="D755" t="s">
        <v>1386</v>
      </c>
      <c r="F755" t="str">
        <f>"4088742885"</f>
        <v>4088742885</v>
      </c>
      <c r="G755" t="str">
        <f>"9784088742885"</f>
        <v>9784088742885</v>
      </c>
      <c r="H755">
        <v>4</v>
      </c>
      <c r="I755">
        <v>4.38</v>
      </c>
      <c r="J755" t="s">
        <v>55</v>
      </c>
      <c r="K755" t="s">
        <v>801</v>
      </c>
      <c r="L755">
        <v>192</v>
      </c>
      <c r="M755">
        <v>2006</v>
      </c>
      <c r="N755">
        <v>2006</v>
      </c>
      <c r="O755" s="1">
        <v>44779</v>
      </c>
      <c r="P755" s="1">
        <v>44779</v>
      </c>
      <c r="S755" t="s">
        <v>29</v>
      </c>
      <c r="W755">
        <v>1</v>
      </c>
      <c r="X755">
        <v>0</v>
      </c>
    </row>
    <row r="756" spans="1:24" x14ac:dyDescent="0.25">
      <c r="A756">
        <v>3669624</v>
      </c>
      <c r="B756" t="s">
        <v>1428</v>
      </c>
      <c r="C756" t="s">
        <v>1385</v>
      </c>
      <c r="D756" t="s">
        <v>1386</v>
      </c>
      <c r="F756" t="str">
        <f>"4088742737"</f>
        <v>4088742737</v>
      </c>
      <c r="G756" t="str">
        <f>"9784088742731"</f>
        <v>9784088742731</v>
      </c>
      <c r="H756">
        <v>3</v>
      </c>
      <c r="I756">
        <v>4.33</v>
      </c>
      <c r="J756" t="s">
        <v>399</v>
      </c>
      <c r="K756" t="s">
        <v>28</v>
      </c>
      <c r="L756">
        <v>187</v>
      </c>
      <c r="M756">
        <v>2006</v>
      </c>
      <c r="N756">
        <v>2006</v>
      </c>
      <c r="O756" s="1">
        <v>44779</v>
      </c>
      <c r="P756" s="1">
        <v>44779</v>
      </c>
      <c r="S756" t="s">
        <v>29</v>
      </c>
      <c r="W756">
        <v>1</v>
      </c>
      <c r="X756">
        <v>0</v>
      </c>
    </row>
    <row r="757" spans="1:24" x14ac:dyDescent="0.25">
      <c r="A757">
        <v>59590447</v>
      </c>
      <c r="B757" t="s">
        <v>1429</v>
      </c>
      <c r="C757" t="s">
        <v>1430</v>
      </c>
      <c r="D757" t="s">
        <v>1431</v>
      </c>
      <c r="E757" t="s">
        <v>1432</v>
      </c>
      <c r="F757" t="str">
        <f>"1506727557"</f>
        <v>1506727557</v>
      </c>
      <c r="G757" t="str">
        <f>"9781506727554"</f>
        <v>9781506727554</v>
      </c>
      <c r="H757">
        <v>5</v>
      </c>
      <c r="I757">
        <v>4.87</v>
      </c>
      <c r="J757" t="s">
        <v>1433</v>
      </c>
      <c r="K757" t="s">
        <v>34</v>
      </c>
      <c r="L757">
        <v>672</v>
      </c>
      <c r="M757">
        <v>2022</v>
      </c>
      <c r="N757">
        <v>2022</v>
      </c>
      <c r="O757" s="1">
        <v>44779</v>
      </c>
      <c r="P757" s="1">
        <v>44777</v>
      </c>
      <c r="S757" t="s">
        <v>29</v>
      </c>
      <c r="W757">
        <v>1</v>
      </c>
      <c r="X757">
        <v>0</v>
      </c>
    </row>
    <row r="758" spans="1:24" x14ac:dyDescent="0.25">
      <c r="A758">
        <v>3657695</v>
      </c>
      <c r="B758" t="s">
        <v>1434</v>
      </c>
      <c r="C758" t="s">
        <v>1385</v>
      </c>
      <c r="D758" t="s">
        <v>1386</v>
      </c>
      <c r="F758" t="str">
        <f>"4088741382"</f>
        <v>4088741382</v>
      </c>
      <c r="G758" t="str">
        <f>"9784088741383"</f>
        <v>9784088741383</v>
      </c>
      <c r="H758">
        <v>3</v>
      </c>
      <c r="I758">
        <v>4.3499999999999996</v>
      </c>
      <c r="J758" t="s">
        <v>55</v>
      </c>
      <c r="K758" t="s">
        <v>28</v>
      </c>
      <c r="L758">
        <v>192</v>
      </c>
      <c r="M758">
        <v>2006</v>
      </c>
      <c r="N758">
        <v>2006</v>
      </c>
      <c r="O758" s="1">
        <v>44779</v>
      </c>
      <c r="P758" s="1">
        <v>44779</v>
      </c>
      <c r="S758" t="s">
        <v>29</v>
      </c>
      <c r="W758">
        <v>1</v>
      </c>
      <c r="X758">
        <v>0</v>
      </c>
    </row>
    <row r="759" spans="1:24" x14ac:dyDescent="0.25">
      <c r="A759">
        <v>32830594</v>
      </c>
      <c r="B759" t="s">
        <v>1435</v>
      </c>
      <c r="C759" t="s">
        <v>1408</v>
      </c>
      <c r="D759" t="s">
        <v>1409</v>
      </c>
      <c r="F759" t="str">
        <f>""</f>
        <v/>
      </c>
      <c r="G759" t="str">
        <f>""</f>
        <v/>
      </c>
      <c r="H759">
        <v>4</v>
      </c>
      <c r="I759">
        <v>4.3099999999999996</v>
      </c>
      <c r="K759" t="s">
        <v>133</v>
      </c>
      <c r="L759">
        <v>290</v>
      </c>
      <c r="M759">
        <v>2016</v>
      </c>
      <c r="O759" s="1">
        <v>44779</v>
      </c>
      <c r="P759" s="1">
        <v>44749</v>
      </c>
      <c r="S759" t="s">
        <v>29</v>
      </c>
      <c r="W759">
        <v>1</v>
      </c>
      <c r="X759">
        <v>0</v>
      </c>
    </row>
    <row r="760" spans="1:24" x14ac:dyDescent="0.25">
      <c r="A760">
        <v>2907430</v>
      </c>
      <c r="B760" t="s">
        <v>1436</v>
      </c>
      <c r="C760" t="s">
        <v>1385</v>
      </c>
      <c r="D760" t="s">
        <v>1386</v>
      </c>
      <c r="F760" t="str">
        <f>"142152001X"</f>
        <v>142152001X</v>
      </c>
      <c r="G760" t="str">
        <f>"9781421520018"</f>
        <v>9781421520018</v>
      </c>
      <c r="H760">
        <v>4</v>
      </c>
      <c r="I760">
        <v>4.33</v>
      </c>
      <c r="J760" t="s">
        <v>27</v>
      </c>
      <c r="K760" t="s">
        <v>28</v>
      </c>
      <c r="L760">
        <v>192</v>
      </c>
      <c r="M760">
        <v>2008</v>
      </c>
      <c r="N760">
        <v>2006</v>
      </c>
      <c r="O760" s="1">
        <v>44778</v>
      </c>
      <c r="P760" s="1">
        <v>44778</v>
      </c>
      <c r="S760" t="s">
        <v>29</v>
      </c>
      <c r="W760">
        <v>1</v>
      </c>
      <c r="X760">
        <v>0</v>
      </c>
    </row>
    <row r="761" spans="1:24" x14ac:dyDescent="0.25">
      <c r="A761">
        <v>2907429</v>
      </c>
      <c r="B761" t="s">
        <v>1437</v>
      </c>
      <c r="C761" t="s">
        <v>1385</v>
      </c>
      <c r="D761" t="s">
        <v>1386</v>
      </c>
      <c r="F761" t="str">
        <f>"1421519445"</f>
        <v>1421519445</v>
      </c>
      <c r="G761" t="str">
        <f>"9781421519449"</f>
        <v>9781421519449</v>
      </c>
      <c r="H761">
        <v>3</v>
      </c>
      <c r="I761">
        <v>4.3</v>
      </c>
      <c r="J761" t="s">
        <v>27</v>
      </c>
      <c r="K761" t="s">
        <v>28</v>
      </c>
      <c r="L761">
        <v>184</v>
      </c>
      <c r="M761">
        <v>2008</v>
      </c>
      <c r="N761">
        <v>2006</v>
      </c>
      <c r="O761" s="1">
        <v>44778</v>
      </c>
      <c r="P761" s="1">
        <v>44778</v>
      </c>
      <c r="S761" t="s">
        <v>29</v>
      </c>
      <c r="W761">
        <v>1</v>
      </c>
      <c r="X761">
        <v>0</v>
      </c>
    </row>
    <row r="762" spans="1:24" x14ac:dyDescent="0.25">
      <c r="A762">
        <v>2453403</v>
      </c>
      <c r="B762" t="s">
        <v>1438</v>
      </c>
      <c r="C762" t="s">
        <v>1385</v>
      </c>
      <c r="D762" t="s">
        <v>1386</v>
      </c>
      <c r="F762" t="str">
        <f>"1421519437"</f>
        <v>1421519437</v>
      </c>
      <c r="G762" t="str">
        <f>"9781421519432"</f>
        <v>9781421519432</v>
      </c>
      <c r="H762">
        <v>4</v>
      </c>
      <c r="I762">
        <v>4.46</v>
      </c>
      <c r="J762" t="s">
        <v>27</v>
      </c>
      <c r="K762" t="s">
        <v>28</v>
      </c>
      <c r="L762">
        <v>190</v>
      </c>
      <c r="M762">
        <v>2008</v>
      </c>
      <c r="N762">
        <v>2005</v>
      </c>
      <c r="O762" s="1">
        <v>44778</v>
      </c>
      <c r="P762" s="1">
        <v>44777</v>
      </c>
      <c r="S762" t="s">
        <v>29</v>
      </c>
      <c r="W762">
        <v>1</v>
      </c>
      <c r="X762">
        <v>0</v>
      </c>
    </row>
    <row r="763" spans="1:24" x14ac:dyDescent="0.25">
      <c r="A763">
        <v>2382737</v>
      </c>
      <c r="B763" t="s">
        <v>1439</v>
      </c>
      <c r="C763" t="s">
        <v>1385</v>
      </c>
      <c r="D763" t="s">
        <v>1386</v>
      </c>
      <c r="F763" t="str">
        <f>"1421519429"</f>
        <v>1421519429</v>
      </c>
      <c r="G763" t="str">
        <f>"9781421519425"</f>
        <v>9781421519425</v>
      </c>
      <c r="H763">
        <v>4</v>
      </c>
      <c r="I763">
        <v>4.4000000000000004</v>
      </c>
      <c r="J763" t="s">
        <v>27</v>
      </c>
      <c r="K763" t="s">
        <v>28</v>
      </c>
      <c r="L763">
        <v>190</v>
      </c>
      <c r="M763">
        <v>2008</v>
      </c>
      <c r="N763">
        <v>2005</v>
      </c>
      <c r="O763" s="1">
        <v>44777</v>
      </c>
      <c r="P763" s="1">
        <v>44777</v>
      </c>
      <c r="S763" t="s">
        <v>29</v>
      </c>
      <c r="W763">
        <v>1</v>
      </c>
      <c r="X763">
        <v>0</v>
      </c>
    </row>
    <row r="764" spans="1:24" x14ac:dyDescent="0.25">
      <c r="A764">
        <v>1846795</v>
      </c>
      <c r="B764" t="s">
        <v>1440</v>
      </c>
      <c r="C764" t="s">
        <v>1385</v>
      </c>
      <c r="D764" t="s">
        <v>1386</v>
      </c>
      <c r="F764" t="str">
        <f>"1421518651"</f>
        <v>1421518651</v>
      </c>
      <c r="G764" t="str">
        <f>"9781421518657"</f>
        <v>9781421518657</v>
      </c>
      <c r="H764">
        <v>4</v>
      </c>
      <c r="I764">
        <v>4.4000000000000004</v>
      </c>
      <c r="J764" t="s">
        <v>27</v>
      </c>
      <c r="K764" t="s">
        <v>28</v>
      </c>
      <c r="L764">
        <v>192</v>
      </c>
      <c r="M764">
        <v>2008</v>
      </c>
      <c r="N764">
        <v>2005</v>
      </c>
      <c r="O764" s="1">
        <v>44777</v>
      </c>
      <c r="P764" s="1">
        <v>44777</v>
      </c>
      <c r="S764" t="s">
        <v>29</v>
      </c>
      <c r="W764">
        <v>1</v>
      </c>
      <c r="X764">
        <v>0</v>
      </c>
    </row>
    <row r="765" spans="1:24" x14ac:dyDescent="0.25">
      <c r="A765">
        <v>1846794</v>
      </c>
      <c r="B765" t="s">
        <v>1441</v>
      </c>
      <c r="C765" t="s">
        <v>1385</v>
      </c>
      <c r="D765" t="s">
        <v>1386</v>
      </c>
      <c r="F765" t="str">
        <f>"1421518643"</f>
        <v>1421518643</v>
      </c>
      <c r="G765" t="str">
        <f>"9781421518640"</f>
        <v>9781421518640</v>
      </c>
      <c r="H765">
        <v>3</v>
      </c>
      <c r="I765">
        <v>4.4000000000000004</v>
      </c>
      <c r="J765" t="s">
        <v>27</v>
      </c>
      <c r="K765" t="s">
        <v>28</v>
      </c>
      <c r="L765">
        <v>200</v>
      </c>
      <c r="M765">
        <v>2008</v>
      </c>
      <c r="N765">
        <v>2005</v>
      </c>
      <c r="O765" s="1">
        <v>44777</v>
      </c>
      <c r="P765" s="1">
        <v>44777</v>
      </c>
      <c r="S765" t="s">
        <v>29</v>
      </c>
      <c r="W765">
        <v>1</v>
      </c>
      <c r="X765">
        <v>0</v>
      </c>
    </row>
    <row r="766" spans="1:24" x14ac:dyDescent="0.25">
      <c r="A766">
        <v>29771040</v>
      </c>
      <c r="B766" t="s">
        <v>1442</v>
      </c>
      <c r="C766" t="s">
        <v>1408</v>
      </c>
      <c r="D766" t="s">
        <v>1409</v>
      </c>
      <c r="F766" t="str">
        <f>""</f>
        <v/>
      </c>
      <c r="G766" t="str">
        <f>""</f>
        <v/>
      </c>
      <c r="H766">
        <v>4</v>
      </c>
      <c r="I766">
        <v>4.4000000000000004</v>
      </c>
      <c r="K766" t="s">
        <v>133</v>
      </c>
      <c r="L766">
        <v>303</v>
      </c>
      <c r="M766">
        <v>2016</v>
      </c>
      <c r="O766" s="1">
        <v>44777</v>
      </c>
      <c r="P766" s="1">
        <v>44749</v>
      </c>
      <c r="S766" t="s">
        <v>29</v>
      </c>
      <c r="W766">
        <v>1</v>
      </c>
      <c r="X766">
        <v>0</v>
      </c>
    </row>
    <row r="767" spans="1:24" x14ac:dyDescent="0.25">
      <c r="A767">
        <v>1846789</v>
      </c>
      <c r="B767" t="s">
        <v>1443</v>
      </c>
      <c r="C767" t="s">
        <v>1385</v>
      </c>
      <c r="D767" t="s">
        <v>1386</v>
      </c>
      <c r="E767" t="s">
        <v>1444</v>
      </c>
      <c r="F767" t="str">
        <f>"1421518635"</f>
        <v>1421518635</v>
      </c>
      <c r="G767" t="str">
        <f>"9781421518633"</f>
        <v>9781421518633</v>
      </c>
      <c r="H767">
        <v>5</v>
      </c>
      <c r="I767">
        <v>4.45</v>
      </c>
      <c r="J767" t="s">
        <v>27</v>
      </c>
      <c r="K767" t="s">
        <v>28</v>
      </c>
      <c r="L767">
        <v>192</v>
      </c>
      <c r="M767">
        <v>2007</v>
      </c>
      <c r="N767">
        <v>2005</v>
      </c>
      <c r="O767" s="1">
        <v>44777</v>
      </c>
      <c r="P767" s="1">
        <v>44776</v>
      </c>
      <c r="S767" t="s">
        <v>29</v>
      </c>
      <c r="W767">
        <v>1</v>
      </c>
      <c r="X767">
        <v>0</v>
      </c>
    </row>
    <row r="768" spans="1:24" x14ac:dyDescent="0.25">
      <c r="A768">
        <v>1846790</v>
      </c>
      <c r="B768" t="s">
        <v>1445</v>
      </c>
      <c r="C768" t="s">
        <v>1385</v>
      </c>
      <c r="D768" t="s">
        <v>1386</v>
      </c>
      <c r="F768" t="str">
        <f>"1421518627"</f>
        <v>1421518627</v>
      </c>
      <c r="G768" t="str">
        <f>"9781421518626"</f>
        <v>9781421518626</v>
      </c>
      <c r="H768">
        <v>5</v>
      </c>
      <c r="I768">
        <v>4.4800000000000004</v>
      </c>
      <c r="J768" t="s">
        <v>27</v>
      </c>
      <c r="K768" t="s">
        <v>28</v>
      </c>
      <c r="L768">
        <v>192</v>
      </c>
      <c r="M768">
        <v>2007</v>
      </c>
      <c r="N768">
        <v>2005</v>
      </c>
      <c r="O768" s="1">
        <v>44776</v>
      </c>
      <c r="P768" s="1">
        <v>44776</v>
      </c>
      <c r="S768" t="s">
        <v>29</v>
      </c>
      <c r="W768">
        <v>1</v>
      </c>
      <c r="X768">
        <v>0</v>
      </c>
    </row>
    <row r="769" spans="1:24" x14ac:dyDescent="0.25">
      <c r="A769">
        <v>1846791</v>
      </c>
      <c r="B769" t="s">
        <v>1446</v>
      </c>
      <c r="C769" t="s">
        <v>1385</v>
      </c>
      <c r="D769" t="s">
        <v>1386</v>
      </c>
      <c r="E769" t="s">
        <v>1444</v>
      </c>
      <c r="F769" t="str">
        <f>"1421518619"</f>
        <v>1421518619</v>
      </c>
      <c r="G769" t="str">
        <f>"9781421518619"</f>
        <v>9781421518619</v>
      </c>
      <c r="H769">
        <v>5</v>
      </c>
      <c r="I769">
        <v>4.43</v>
      </c>
      <c r="J769" t="s">
        <v>27</v>
      </c>
      <c r="K769" t="s">
        <v>28</v>
      </c>
      <c r="L769">
        <v>192</v>
      </c>
      <c r="M769">
        <v>2007</v>
      </c>
      <c r="N769">
        <v>2004</v>
      </c>
      <c r="O769" s="1">
        <v>44776</v>
      </c>
      <c r="P769" s="1">
        <v>44776</v>
      </c>
      <c r="S769" t="s">
        <v>29</v>
      </c>
      <c r="W769">
        <v>1</v>
      </c>
      <c r="X769">
        <v>0</v>
      </c>
    </row>
    <row r="770" spans="1:24" x14ac:dyDescent="0.25">
      <c r="A770">
        <v>1390207</v>
      </c>
      <c r="B770" t="s">
        <v>1447</v>
      </c>
      <c r="C770" t="s">
        <v>1385</v>
      </c>
      <c r="D770" t="s">
        <v>1386</v>
      </c>
      <c r="F770" t="str">
        <f>"1421518600"</f>
        <v>1421518600</v>
      </c>
      <c r="G770" t="str">
        <f>"9781421518602"</f>
        <v>9781421518602</v>
      </c>
      <c r="H770">
        <v>3</v>
      </c>
      <c r="I770">
        <v>4.3899999999999997</v>
      </c>
      <c r="J770" t="s">
        <v>27</v>
      </c>
      <c r="K770" t="s">
        <v>28</v>
      </c>
      <c r="L770">
        <v>192</v>
      </c>
      <c r="M770">
        <v>2007</v>
      </c>
      <c r="N770">
        <v>2004</v>
      </c>
      <c r="O770" s="1">
        <v>44776</v>
      </c>
      <c r="P770" s="1">
        <v>44776</v>
      </c>
      <c r="S770" t="s">
        <v>29</v>
      </c>
      <c r="W770">
        <v>1</v>
      </c>
      <c r="X770">
        <v>0</v>
      </c>
    </row>
    <row r="771" spans="1:24" x14ac:dyDescent="0.25">
      <c r="A771">
        <v>1363609</v>
      </c>
      <c r="B771" t="s">
        <v>1448</v>
      </c>
      <c r="C771" t="s">
        <v>1385</v>
      </c>
      <c r="D771" t="s">
        <v>1386</v>
      </c>
      <c r="F771" t="str">
        <f>"1421518597"</f>
        <v>1421518597</v>
      </c>
      <c r="G771" t="str">
        <f>"9781421518596"</f>
        <v>9781421518596</v>
      </c>
      <c r="H771">
        <v>3</v>
      </c>
      <c r="I771">
        <v>4.3499999999999996</v>
      </c>
      <c r="J771" t="s">
        <v>27</v>
      </c>
      <c r="K771" t="s">
        <v>28</v>
      </c>
      <c r="L771">
        <v>192</v>
      </c>
      <c r="M771">
        <v>2007</v>
      </c>
      <c r="N771">
        <v>2004</v>
      </c>
      <c r="O771" s="1">
        <v>44776</v>
      </c>
      <c r="P771" s="1">
        <v>44776</v>
      </c>
      <c r="S771" t="s">
        <v>29</v>
      </c>
      <c r="W771">
        <v>1</v>
      </c>
      <c r="X771">
        <v>0</v>
      </c>
    </row>
    <row r="772" spans="1:24" x14ac:dyDescent="0.25">
      <c r="A772">
        <v>400662</v>
      </c>
      <c r="B772" t="s">
        <v>1449</v>
      </c>
      <c r="C772" t="s">
        <v>1385</v>
      </c>
      <c r="D772" t="s">
        <v>1386</v>
      </c>
      <c r="F772" t="str">
        <f>"8484496716"</f>
        <v>8484496716</v>
      </c>
      <c r="G772" t="str">
        <f>"9781421518589"</f>
        <v>9781421518589</v>
      </c>
      <c r="H772">
        <v>3</v>
      </c>
      <c r="I772">
        <v>4.4000000000000004</v>
      </c>
      <c r="K772" t="s">
        <v>28</v>
      </c>
      <c r="L772">
        <v>192</v>
      </c>
      <c r="N772">
        <v>2004</v>
      </c>
      <c r="O772" s="1">
        <v>44776</v>
      </c>
      <c r="P772" s="1">
        <v>44776</v>
      </c>
      <c r="S772" t="s">
        <v>29</v>
      </c>
      <c r="W772">
        <v>1</v>
      </c>
      <c r="X772">
        <v>0</v>
      </c>
    </row>
    <row r="773" spans="1:24" x14ac:dyDescent="0.25">
      <c r="A773">
        <v>1394486</v>
      </c>
      <c r="B773" t="s">
        <v>1450</v>
      </c>
      <c r="C773" t="s">
        <v>1385</v>
      </c>
      <c r="D773" t="s">
        <v>1386</v>
      </c>
      <c r="F773" t="str">
        <f>"1421518554"</f>
        <v>1421518554</v>
      </c>
      <c r="G773" t="str">
        <f>"9781421518558"</f>
        <v>9781421518558</v>
      </c>
      <c r="H773">
        <v>4</v>
      </c>
      <c r="I773">
        <v>4.3899999999999997</v>
      </c>
      <c r="J773" t="s">
        <v>27</v>
      </c>
      <c r="K773" t="s">
        <v>28</v>
      </c>
      <c r="L773">
        <v>216</v>
      </c>
      <c r="M773">
        <v>2007</v>
      </c>
      <c r="N773">
        <v>2004</v>
      </c>
      <c r="O773" s="1">
        <v>44776</v>
      </c>
      <c r="P773" s="1">
        <v>44776</v>
      </c>
      <c r="S773" t="s">
        <v>29</v>
      </c>
      <c r="W773">
        <v>1</v>
      </c>
      <c r="X773">
        <v>0</v>
      </c>
    </row>
    <row r="774" spans="1:24" x14ac:dyDescent="0.25">
      <c r="A774">
        <v>976214</v>
      </c>
      <c r="B774" t="s">
        <v>1451</v>
      </c>
      <c r="C774" t="s">
        <v>1385</v>
      </c>
      <c r="D774" t="s">
        <v>1386</v>
      </c>
      <c r="F774" t="str">
        <f>"1421516551"</f>
        <v>1421516551</v>
      </c>
      <c r="G774" t="str">
        <f>"9781421516554"</f>
        <v>9781421516554</v>
      </c>
      <c r="H774">
        <v>4</v>
      </c>
      <c r="I774">
        <v>4.4000000000000004</v>
      </c>
      <c r="J774" t="s">
        <v>27</v>
      </c>
      <c r="K774" t="s">
        <v>28</v>
      </c>
      <c r="L774">
        <v>192</v>
      </c>
      <c r="M774">
        <v>2007</v>
      </c>
      <c r="N774">
        <v>2003</v>
      </c>
      <c r="O774" s="1">
        <v>44776</v>
      </c>
      <c r="P774" s="1">
        <v>44775</v>
      </c>
      <c r="S774" t="s">
        <v>29</v>
      </c>
      <c r="W774">
        <v>1</v>
      </c>
      <c r="X774">
        <v>0</v>
      </c>
    </row>
    <row r="775" spans="1:24" x14ac:dyDescent="0.25">
      <c r="A775">
        <v>1394485</v>
      </c>
      <c r="B775" t="s">
        <v>1452</v>
      </c>
      <c r="C775" t="s">
        <v>1385</v>
      </c>
      <c r="D775" t="s">
        <v>1386</v>
      </c>
      <c r="F775" t="str">
        <f>"1421516535"</f>
        <v>1421516535</v>
      </c>
      <c r="G775" t="str">
        <f>"9781421516530"</f>
        <v>9781421516530</v>
      </c>
      <c r="H775">
        <v>4</v>
      </c>
      <c r="I775">
        <v>4.3499999999999996</v>
      </c>
      <c r="J775" t="s">
        <v>27</v>
      </c>
      <c r="K775" t="s">
        <v>28</v>
      </c>
      <c r="L775">
        <v>192</v>
      </c>
      <c r="M775">
        <v>2007</v>
      </c>
      <c r="N775">
        <v>2003</v>
      </c>
      <c r="O775" s="1">
        <v>44775</v>
      </c>
      <c r="P775" s="1">
        <v>44775</v>
      </c>
      <c r="S775" t="s">
        <v>29</v>
      </c>
      <c r="W775">
        <v>1</v>
      </c>
      <c r="X775">
        <v>0</v>
      </c>
    </row>
    <row r="776" spans="1:24" x14ac:dyDescent="0.25">
      <c r="A776">
        <v>976215</v>
      </c>
      <c r="B776" t="s">
        <v>1453</v>
      </c>
      <c r="C776" t="s">
        <v>1385</v>
      </c>
      <c r="D776" t="s">
        <v>1386</v>
      </c>
      <c r="F776" t="str">
        <f>"1421516543"</f>
        <v>1421516543</v>
      </c>
      <c r="G776" t="str">
        <f>"9781421516547"</f>
        <v>9781421516547</v>
      </c>
      <c r="H776">
        <v>5</v>
      </c>
      <c r="I776">
        <v>4.42</v>
      </c>
      <c r="J776" t="s">
        <v>27</v>
      </c>
      <c r="K776" t="s">
        <v>28</v>
      </c>
      <c r="L776">
        <v>192</v>
      </c>
      <c r="M776">
        <v>2007</v>
      </c>
      <c r="N776">
        <v>2003</v>
      </c>
      <c r="O776" s="1">
        <v>44775</v>
      </c>
      <c r="P776" s="1">
        <v>44775</v>
      </c>
      <c r="S776" t="s">
        <v>29</v>
      </c>
      <c r="W776">
        <v>1</v>
      </c>
      <c r="X776">
        <v>0</v>
      </c>
    </row>
    <row r="777" spans="1:24" x14ac:dyDescent="0.25">
      <c r="A777">
        <v>1103544</v>
      </c>
      <c r="B777" t="s">
        <v>1454</v>
      </c>
      <c r="C777" t="s">
        <v>1045</v>
      </c>
      <c r="D777" t="s">
        <v>1046</v>
      </c>
      <c r="E777" t="s">
        <v>1455</v>
      </c>
      <c r="F777" t="str">
        <f>"0345496248"</f>
        <v>0345496248</v>
      </c>
      <c r="G777" t="str">
        <f>"9780345496249"</f>
        <v>9780345496249</v>
      </c>
      <c r="H777">
        <v>5</v>
      </c>
      <c r="I777">
        <v>4.3</v>
      </c>
      <c r="J777" t="s">
        <v>691</v>
      </c>
      <c r="K777" t="s">
        <v>28</v>
      </c>
      <c r="L777">
        <v>288</v>
      </c>
      <c r="M777">
        <v>2007</v>
      </c>
      <c r="N777">
        <v>1990</v>
      </c>
      <c r="O777" s="1">
        <v>44775</v>
      </c>
      <c r="P777" s="1">
        <v>44775</v>
      </c>
      <c r="S777" t="s">
        <v>29</v>
      </c>
      <c r="W777">
        <v>1</v>
      </c>
      <c r="X777">
        <v>0</v>
      </c>
    </row>
    <row r="778" spans="1:24" x14ac:dyDescent="0.25">
      <c r="A778">
        <v>1394484</v>
      </c>
      <c r="B778" t="s">
        <v>1456</v>
      </c>
      <c r="C778" t="s">
        <v>1385</v>
      </c>
      <c r="D778" t="s">
        <v>1386</v>
      </c>
      <c r="F778" t="str">
        <f>"1421516527"</f>
        <v>1421516527</v>
      </c>
      <c r="G778" t="str">
        <f>"9781421516523"</f>
        <v>9781421516523</v>
      </c>
      <c r="H778">
        <v>5</v>
      </c>
      <c r="I778">
        <v>4.3899999999999997</v>
      </c>
      <c r="J778" t="s">
        <v>27</v>
      </c>
      <c r="K778" t="s">
        <v>28</v>
      </c>
      <c r="L778">
        <v>192</v>
      </c>
      <c r="M778">
        <v>2007</v>
      </c>
      <c r="N778">
        <v>2003</v>
      </c>
      <c r="O778" s="1">
        <v>44775</v>
      </c>
      <c r="P778" s="1">
        <v>44775</v>
      </c>
      <c r="S778" t="s">
        <v>29</v>
      </c>
      <c r="W778">
        <v>1</v>
      </c>
      <c r="X778">
        <v>0</v>
      </c>
    </row>
    <row r="779" spans="1:24" x14ac:dyDescent="0.25">
      <c r="A779">
        <v>1000392</v>
      </c>
      <c r="B779" t="s">
        <v>1457</v>
      </c>
      <c r="C779" t="s">
        <v>1385</v>
      </c>
      <c r="D779" t="s">
        <v>1386</v>
      </c>
      <c r="F779" t="str">
        <f>"1421510901"</f>
        <v>1421510901</v>
      </c>
      <c r="G779" t="str">
        <f>"9781421510903"</f>
        <v>9781421510903</v>
      </c>
      <c r="H779">
        <v>5</v>
      </c>
      <c r="I779">
        <v>4.38</v>
      </c>
      <c r="J779" t="s">
        <v>27</v>
      </c>
      <c r="K779" t="s">
        <v>28</v>
      </c>
      <c r="L779">
        <v>200</v>
      </c>
      <c r="M779">
        <v>2007</v>
      </c>
      <c r="N779">
        <v>2003</v>
      </c>
      <c r="O779" s="1">
        <v>44775</v>
      </c>
      <c r="P779" s="1">
        <v>44774</v>
      </c>
      <c r="S779" t="s">
        <v>29</v>
      </c>
      <c r="W779">
        <v>1</v>
      </c>
      <c r="X779">
        <v>0</v>
      </c>
    </row>
    <row r="780" spans="1:24" x14ac:dyDescent="0.25">
      <c r="A780">
        <v>400636</v>
      </c>
      <c r="B780" t="s">
        <v>1458</v>
      </c>
      <c r="C780" t="s">
        <v>1385</v>
      </c>
      <c r="D780" t="s">
        <v>1386</v>
      </c>
      <c r="E780" t="s">
        <v>1459</v>
      </c>
      <c r="F780" t="str">
        <f>"1421510898"</f>
        <v>1421510898</v>
      </c>
      <c r="G780" t="str">
        <f>"9781421510897"</f>
        <v>9781421510897</v>
      </c>
      <c r="H780">
        <v>5</v>
      </c>
      <c r="I780">
        <v>4.42</v>
      </c>
      <c r="J780" t="s">
        <v>27</v>
      </c>
      <c r="K780" t="s">
        <v>28</v>
      </c>
      <c r="L780">
        <v>192</v>
      </c>
      <c r="M780">
        <v>2007</v>
      </c>
      <c r="N780">
        <v>2002</v>
      </c>
      <c r="O780" s="1">
        <v>44774</v>
      </c>
      <c r="P780" s="1">
        <v>44774</v>
      </c>
      <c r="S780" t="s">
        <v>29</v>
      </c>
      <c r="W780">
        <v>1</v>
      </c>
      <c r="X780">
        <v>0</v>
      </c>
    </row>
    <row r="781" spans="1:24" x14ac:dyDescent="0.25">
      <c r="A781">
        <v>400632</v>
      </c>
      <c r="B781" t="s">
        <v>1460</v>
      </c>
      <c r="C781" t="s">
        <v>1385</v>
      </c>
      <c r="D781" t="s">
        <v>1386</v>
      </c>
      <c r="F781" t="str">
        <f>"142151088X"</f>
        <v>142151088X</v>
      </c>
      <c r="G781" t="str">
        <f>"9781421510880"</f>
        <v>9781421510880</v>
      </c>
      <c r="H781">
        <v>5</v>
      </c>
      <c r="I781">
        <v>4.3899999999999997</v>
      </c>
      <c r="J781" t="s">
        <v>27</v>
      </c>
      <c r="K781" t="s">
        <v>28</v>
      </c>
      <c r="L781">
        <v>184</v>
      </c>
      <c r="M781">
        <v>2007</v>
      </c>
      <c r="N781">
        <v>2002</v>
      </c>
      <c r="O781" s="1">
        <v>44774</v>
      </c>
      <c r="P781" s="1">
        <v>44774</v>
      </c>
      <c r="S781" t="s">
        <v>29</v>
      </c>
      <c r="W781">
        <v>1</v>
      </c>
      <c r="X781">
        <v>0</v>
      </c>
    </row>
    <row r="782" spans="1:24" x14ac:dyDescent="0.25">
      <c r="A782">
        <v>877583</v>
      </c>
      <c r="B782" t="s">
        <v>1461</v>
      </c>
      <c r="C782" t="s">
        <v>1385</v>
      </c>
      <c r="D782" t="s">
        <v>1386</v>
      </c>
      <c r="F782" t="str">
        <f>"1421510871"</f>
        <v>1421510871</v>
      </c>
      <c r="G782" t="str">
        <f>"9781421510873"</f>
        <v>9781421510873</v>
      </c>
      <c r="H782">
        <v>5</v>
      </c>
      <c r="I782">
        <v>4.41</v>
      </c>
      <c r="J782" t="s">
        <v>27</v>
      </c>
      <c r="K782" t="s">
        <v>28</v>
      </c>
      <c r="L782">
        <v>192</v>
      </c>
      <c r="M782">
        <v>2007</v>
      </c>
      <c r="N782">
        <v>2002</v>
      </c>
      <c r="O782" s="1">
        <v>44774</v>
      </c>
      <c r="P782" s="1">
        <v>44774</v>
      </c>
      <c r="S782" t="s">
        <v>29</v>
      </c>
      <c r="W782">
        <v>1</v>
      </c>
      <c r="X782">
        <v>0</v>
      </c>
    </row>
    <row r="783" spans="1:24" x14ac:dyDescent="0.25">
      <c r="A783">
        <v>204040</v>
      </c>
      <c r="B783" t="s">
        <v>1462</v>
      </c>
      <c r="C783" t="s">
        <v>1385</v>
      </c>
      <c r="D783" t="s">
        <v>1386</v>
      </c>
      <c r="F783" t="str">
        <f>"1421502429"</f>
        <v>1421502429</v>
      </c>
      <c r="G783" t="str">
        <f>"9781421502427"</f>
        <v>9781421502427</v>
      </c>
      <c r="H783">
        <v>5</v>
      </c>
      <c r="I783">
        <v>4.4800000000000004</v>
      </c>
      <c r="J783" t="s">
        <v>27</v>
      </c>
      <c r="K783" t="s">
        <v>28</v>
      </c>
      <c r="L783">
        <v>192</v>
      </c>
      <c r="M783">
        <v>2006</v>
      </c>
      <c r="N783">
        <v>2002</v>
      </c>
      <c r="O783" s="1">
        <v>44774</v>
      </c>
      <c r="P783" s="1">
        <v>44774</v>
      </c>
      <c r="S783" t="s">
        <v>29</v>
      </c>
      <c r="W783">
        <v>1</v>
      </c>
      <c r="X783">
        <v>0</v>
      </c>
    </row>
    <row r="784" spans="1:24" x14ac:dyDescent="0.25">
      <c r="A784">
        <v>204041</v>
      </c>
      <c r="B784" t="s">
        <v>1463</v>
      </c>
      <c r="C784" t="s">
        <v>1385</v>
      </c>
      <c r="D784" t="s">
        <v>1386</v>
      </c>
      <c r="E784" t="s">
        <v>1459</v>
      </c>
      <c r="F784" t="str">
        <f>"1421502410"</f>
        <v>1421502410</v>
      </c>
      <c r="G784" t="str">
        <f>"9781421502410"</f>
        <v>9781421502410</v>
      </c>
      <c r="H784">
        <v>5</v>
      </c>
      <c r="I784">
        <v>4.5599999999999996</v>
      </c>
      <c r="J784" t="s">
        <v>27</v>
      </c>
      <c r="K784" t="s">
        <v>28</v>
      </c>
      <c r="L784">
        <v>192</v>
      </c>
      <c r="M784">
        <v>2006</v>
      </c>
      <c r="N784">
        <v>2002</v>
      </c>
      <c r="O784" s="1">
        <v>44774</v>
      </c>
      <c r="P784" s="1">
        <v>44774</v>
      </c>
      <c r="S784" t="s">
        <v>29</v>
      </c>
      <c r="W784">
        <v>1</v>
      </c>
      <c r="X784">
        <v>0</v>
      </c>
    </row>
    <row r="785" spans="1:24" x14ac:dyDescent="0.25">
      <c r="A785">
        <v>900267</v>
      </c>
      <c r="B785" t="s">
        <v>1464</v>
      </c>
      <c r="C785" t="s">
        <v>1385</v>
      </c>
      <c r="D785" t="s">
        <v>1386</v>
      </c>
      <c r="F785" t="str">
        <f>"1421502402"</f>
        <v>1421502402</v>
      </c>
      <c r="G785" t="str">
        <f>"9781421502403"</f>
        <v>9781421502403</v>
      </c>
      <c r="H785">
        <v>5</v>
      </c>
      <c r="I785">
        <v>4.41</v>
      </c>
      <c r="J785" t="s">
        <v>27</v>
      </c>
      <c r="K785" t="s">
        <v>28</v>
      </c>
      <c r="L785">
        <v>184</v>
      </c>
      <c r="M785">
        <v>2006</v>
      </c>
      <c r="N785">
        <v>2001</v>
      </c>
      <c r="O785" s="1">
        <v>44774</v>
      </c>
      <c r="P785" s="1">
        <v>44773</v>
      </c>
      <c r="S785" t="s">
        <v>29</v>
      </c>
      <c r="W785">
        <v>1</v>
      </c>
      <c r="X785">
        <v>0</v>
      </c>
    </row>
    <row r="786" spans="1:24" x14ac:dyDescent="0.25">
      <c r="A786">
        <v>568488</v>
      </c>
      <c r="B786" t="s">
        <v>1465</v>
      </c>
      <c r="C786" t="s">
        <v>1385</v>
      </c>
      <c r="D786" t="s">
        <v>1386</v>
      </c>
      <c r="F786" t="str">
        <f>"1421502399"</f>
        <v>1421502399</v>
      </c>
      <c r="G786" t="str">
        <f>"9781421502397"</f>
        <v>9781421502397</v>
      </c>
      <c r="H786">
        <v>5</v>
      </c>
      <c r="I786">
        <v>4.51</v>
      </c>
      <c r="J786" t="s">
        <v>27</v>
      </c>
      <c r="K786" t="s">
        <v>28</v>
      </c>
      <c r="L786">
        <v>184</v>
      </c>
      <c r="M786">
        <v>2006</v>
      </c>
      <c r="N786">
        <v>2001</v>
      </c>
      <c r="O786" s="1">
        <v>44773</v>
      </c>
      <c r="P786" s="1">
        <v>44773</v>
      </c>
      <c r="S786" t="s">
        <v>29</v>
      </c>
      <c r="W786">
        <v>1</v>
      </c>
      <c r="X786">
        <v>0</v>
      </c>
    </row>
    <row r="787" spans="1:24" x14ac:dyDescent="0.25">
      <c r="A787">
        <v>400631</v>
      </c>
      <c r="B787" t="s">
        <v>1466</v>
      </c>
      <c r="C787" t="s">
        <v>1385</v>
      </c>
      <c r="D787" t="s">
        <v>1386</v>
      </c>
      <c r="F787" t="str">
        <f>"1421501244"</f>
        <v>1421501244</v>
      </c>
      <c r="G787" t="str">
        <f>"9781421501246"</f>
        <v>9781421501246</v>
      </c>
      <c r="H787">
        <v>4</v>
      </c>
      <c r="I787">
        <v>4.3899999999999997</v>
      </c>
      <c r="J787" t="s">
        <v>27</v>
      </c>
      <c r="K787" t="s">
        <v>28</v>
      </c>
      <c r="L787">
        <v>192</v>
      </c>
      <c r="M787">
        <v>2005</v>
      </c>
      <c r="N787">
        <v>2001</v>
      </c>
      <c r="O787" s="1">
        <v>44773</v>
      </c>
      <c r="P787" s="1">
        <v>44773</v>
      </c>
      <c r="S787" t="s">
        <v>29</v>
      </c>
      <c r="W787">
        <v>1</v>
      </c>
      <c r="X787">
        <v>0</v>
      </c>
    </row>
    <row r="788" spans="1:24" x14ac:dyDescent="0.25">
      <c r="A788">
        <v>400629</v>
      </c>
      <c r="B788" t="s">
        <v>1467</v>
      </c>
      <c r="C788" t="s">
        <v>1385</v>
      </c>
      <c r="D788" t="s">
        <v>1386</v>
      </c>
      <c r="F788" t="str">
        <f>"1591168759"</f>
        <v>1591168759</v>
      </c>
      <c r="G788" t="str">
        <f>"9781591168751"</f>
        <v>9781591168751</v>
      </c>
      <c r="H788">
        <v>4</v>
      </c>
      <c r="I788">
        <v>4.46</v>
      </c>
      <c r="J788" t="s">
        <v>27</v>
      </c>
      <c r="K788" t="s">
        <v>28</v>
      </c>
      <c r="L788">
        <v>192</v>
      </c>
      <c r="M788">
        <v>2005</v>
      </c>
      <c r="N788">
        <v>2001</v>
      </c>
      <c r="O788" s="1">
        <v>44773</v>
      </c>
      <c r="P788" s="1">
        <v>44773</v>
      </c>
      <c r="S788" t="s">
        <v>29</v>
      </c>
      <c r="W788">
        <v>1</v>
      </c>
      <c r="X788">
        <v>0</v>
      </c>
    </row>
    <row r="789" spans="1:24" x14ac:dyDescent="0.25">
      <c r="A789">
        <v>568478</v>
      </c>
      <c r="B789" t="s">
        <v>1468</v>
      </c>
      <c r="C789" t="s">
        <v>1385</v>
      </c>
      <c r="D789" t="s">
        <v>1386</v>
      </c>
      <c r="F789" t="str">
        <f>"1591167396"</f>
        <v>1591167396</v>
      </c>
      <c r="G789" t="str">
        <f>"9781591167396"</f>
        <v>9781591167396</v>
      </c>
      <c r="H789">
        <v>5</v>
      </c>
      <c r="I789">
        <v>4.3899999999999997</v>
      </c>
      <c r="J789" t="s">
        <v>27</v>
      </c>
      <c r="K789" t="s">
        <v>28</v>
      </c>
      <c r="L789">
        <v>192</v>
      </c>
      <c r="M789">
        <v>2005</v>
      </c>
      <c r="N789">
        <v>2001</v>
      </c>
      <c r="O789" s="1">
        <v>44773</v>
      </c>
      <c r="P789" s="1">
        <v>44773</v>
      </c>
      <c r="S789" t="s">
        <v>29</v>
      </c>
      <c r="W789">
        <v>1</v>
      </c>
      <c r="X789">
        <v>0</v>
      </c>
    </row>
    <row r="790" spans="1:24" x14ac:dyDescent="0.25">
      <c r="A790">
        <v>204045</v>
      </c>
      <c r="B790" t="s">
        <v>1469</v>
      </c>
      <c r="C790" t="s">
        <v>1385</v>
      </c>
      <c r="D790" t="s">
        <v>1386</v>
      </c>
      <c r="F790" t="str">
        <f>"1591163595"</f>
        <v>1591163595</v>
      </c>
      <c r="G790" t="str">
        <f>"9781591163596"</f>
        <v>9781591163596</v>
      </c>
      <c r="H790">
        <v>4</v>
      </c>
      <c r="I790">
        <v>4.5</v>
      </c>
      <c r="J790" t="s">
        <v>27</v>
      </c>
      <c r="K790" t="s">
        <v>28</v>
      </c>
      <c r="L790">
        <v>181</v>
      </c>
      <c r="M790">
        <v>2004</v>
      </c>
      <c r="N790">
        <v>2000</v>
      </c>
      <c r="O790" s="1">
        <v>44773</v>
      </c>
      <c r="P790" s="1">
        <v>44773</v>
      </c>
      <c r="S790" t="s">
        <v>29</v>
      </c>
      <c r="W790">
        <v>1</v>
      </c>
      <c r="X790">
        <v>0</v>
      </c>
    </row>
    <row r="791" spans="1:24" x14ac:dyDescent="0.25">
      <c r="A791">
        <v>568472</v>
      </c>
      <c r="B791" t="s">
        <v>1470</v>
      </c>
      <c r="C791" t="s">
        <v>1385</v>
      </c>
      <c r="D791" t="s">
        <v>1386</v>
      </c>
      <c r="F791" t="str">
        <f>"1591163587"</f>
        <v>1591163587</v>
      </c>
      <c r="G791" t="str">
        <f>"9781591163589"</f>
        <v>9781591163589</v>
      </c>
      <c r="H791">
        <v>4</v>
      </c>
      <c r="I791">
        <v>4.49</v>
      </c>
      <c r="J791" t="s">
        <v>27</v>
      </c>
      <c r="K791" t="s">
        <v>28</v>
      </c>
      <c r="L791">
        <v>184</v>
      </c>
      <c r="M791">
        <v>2004</v>
      </c>
      <c r="N791">
        <v>2000</v>
      </c>
      <c r="O791" s="1">
        <v>44773</v>
      </c>
      <c r="P791" s="1">
        <v>44771</v>
      </c>
      <c r="S791" t="s">
        <v>29</v>
      </c>
      <c r="W791">
        <v>1</v>
      </c>
      <c r="X791">
        <v>0</v>
      </c>
    </row>
    <row r="792" spans="1:24" x14ac:dyDescent="0.25">
      <c r="A792">
        <v>28808913</v>
      </c>
      <c r="B792" t="s">
        <v>1471</v>
      </c>
      <c r="C792" t="s">
        <v>1408</v>
      </c>
      <c r="D792" t="s">
        <v>1409</v>
      </c>
      <c r="F792" t="str">
        <f>""</f>
        <v/>
      </c>
      <c r="G792" t="str">
        <f>""</f>
        <v/>
      </c>
      <c r="H792">
        <v>5</v>
      </c>
      <c r="I792">
        <v>4.3600000000000003</v>
      </c>
      <c r="K792" t="s">
        <v>133</v>
      </c>
      <c r="L792">
        <v>242</v>
      </c>
      <c r="M792">
        <v>2016</v>
      </c>
      <c r="O792" s="1">
        <v>44771</v>
      </c>
      <c r="P792" s="1">
        <v>44749</v>
      </c>
      <c r="S792" t="s">
        <v>29</v>
      </c>
      <c r="W792">
        <v>1</v>
      </c>
      <c r="X792">
        <v>0</v>
      </c>
    </row>
    <row r="793" spans="1:24" x14ac:dyDescent="0.25">
      <c r="A793">
        <v>28705056</v>
      </c>
      <c r="B793" t="s">
        <v>1472</v>
      </c>
      <c r="C793" t="s">
        <v>1408</v>
      </c>
      <c r="D793" t="s">
        <v>1409</v>
      </c>
      <c r="F793" t="str">
        <f>""</f>
        <v/>
      </c>
      <c r="G793" t="str">
        <f>""</f>
        <v/>
      </c>
      <c r="H793">
        <v>5</v>
      </c>
      <c r="I793">
        <v>4.3600000000000003</v>
      </c>
      <c r="K793" t="s">
        <v>133</v>
      </c>
      <c r="L793">
        <v>263</v>
      </c>
      <c r="M793">
        <v>2016</v>
      </c>
      <c r="O793" s="1">
        <v>44771</v>
      </c>
      <c r="P793" s="1">
        <v>44749</v>
      </c>
      <c r="S793" t="s">
        <v>29</v>
      </c>
      <c r="W793">
        <v>1</v>
      </c>
      <c r="X793">
        <v>0</v>
      </c>
    </row>
    <row r="794" spans="1:24" x14ac:dyDescent="0.25">
      <c r="A794">
        <v>204044</v>
      </c>
      <c r="B794" t="s">
        <v>1473</v>
      </c>
      <c r="C794" t="s">
        <v>1385</v>
      </c>
      <c r="D794" t="s">
        <v>1386</v>
      </c>
      <c r="F794" t="str">
        <f>"1591161878"</f>
        <v>1591161878</v>
      </c>
      <c r="G794" t="str">
        <f>"9781591161875"</f>
        <v>9781591161875</v>
      </c>
      <c r="H794">
        <v>4</v>
      </c>
      <c r="I794">
        <v>4.45</v>
      </c>
      <c r="J794" t="s">
        <v>27</v>
      </c>
      <c r="K794" t="s">
        <v>28</v>
      </c>
      <c r="L794">
        <v>208</v>
      </c>
      <c r="M794">
        <v>2004</v>
      </c>
      <c r="N794">
        <v>2000</v>
      </c>
      <c r="O794" s="1">
        <v>44771</v>
      </c>
      <c r="P794" s="1">
        <v>44770</v>
      </c>
      <c r="S794" t="s">
        <v>29</v>
      </c>
      <c r="W794">
        <v>1</v>
      </c>
      <c r="X794">
        <v>0</v>
      </c>
    </row>
    <row r="795" spans="1:24" x14ac:dyDescent="0.25">
      <c r="A795">
        <v>204043</v>
      </c>
      <c r="B795" t="s">
        <v>1474</v>
      </c>
      <c r="C795" t="s">
        <v>1385</v>
      </c>
      <c r="D795" t="s">
        <v>1386</v>
      </c>
      <c r="F795" t="str">
        <f>"1591161789"</f>
        <v>1591161789</v>
      </c>
      <c r="G795" t="str">
        <f>"9781591161783"</f>
        <v>9781591161783</v>
      </c>
      <c r="H795">
        <v>4</v>
      </c>
      <c r="I795">
        <v>4.45</v>
      </c>
      <c r="J795" t="s">
        <v>27</v>
      </c>
      <c r="K795" t="s">
        <v>28</v>
      </c>
      <c r="L795">
        <v>216</v>
      </c>
      <c r="M795">
        <v>2003</v>
      </c>
      <c r="N795">
        <v>2000</v>
      </c>
      <c r="O795" s="1">
        <v>44769</v>
      </c>
      <c r="P795" s="1">
        <v>44768</v>
      </c>
      <c r="S795" t="s">
        <v>29</v>
      </c>
      <c r="W795">
        <v>1</v>
      </c>
      <c r="X795">
        <v>0</v>
      </c>
    </row>
    <row r="796" spans="1:24" x14ac:dyDescent="0.25">
      <c r="A796">
        <v>16102159</v>
      </c>
      <c r="B796" t="s">
        <v>1475</v>
      </c>
      <c r="C796" t="s">
        <v>1476</v>
      </c>
      <c r="D796" t="s">
        <v>1477</v>
      </c>
      <c r="F796" t="str">
        <f>"6144191542"</f>
        <v>6144191542</v>
      </c>
      <c r="G796" t="str">
        <f>"9786144191545"</f>
        <v>9786144191545</v>
      </c>
      <c r="H796">
        <v>5</v>
      </c>
      <c r="I796">
        <v>4.3099999999999996</v>
      </c>
      <c r="J796" t="s">
        <v>1478</v>
      </c>
      <c r="K796" t="s">
        <v>28</v>
      </c>
      <c r="L796">
        <v>365</v>
      </c>
      <c r="M796">
        <v>2013</v>
      </c>
      <c r="N796">
        <v>2012</v>
      </c>
      <c r="O796" s="1">
        <v>44769</v>
      </c>
      <c r="P796" s="1">
        <v>44766</v>
      </c>
      <c r="S796" t="s">
        <v>29</v>
      </c>
      <c r="W796">
        <v>1</v>
      </c>
      <c r="X796">
        <v>0</v>
      </c>
    </row>
    <row r="797" spans="1:24" x14ac:dyDescent="0.25">
      <c r="A797">
        <v>61244292</v>
      </c>
      <c r="B797" t="s">
        <v>1479</v>
      </c>
      <c r="C797" t="s">
        <v>1339</v>
      </c>
      <c r="D797" t="s">
        <v>1340</v>
      </c>
      <c r="E797" t="s">
        <v>1480</v>
      </c>
      <c r="F797" t="str">
        <f>""</f>
        <v/>
      </c>
      <c r="G797" t="str">
        <f>"9783963587535"</f>
        <v>9783963587535</v>
      </c>
      <c r="H797">
        <v>3</v>
      </c>
      <c r="I797">
        <v>4.5199999999999996</v>
      </c>
      <c r="J797" t="s">
        <v>1481</v>
      </c>
      <c r="K797" t="s">
        <v>34</v>
      </c>
      <c r="L797">
        <v>384</v>
      </c>
      <c r="M797">
        <v>2022</v>
      </c>
      <c r="O797" s="1">
        <v>44769</v>
      </c>
      <c r="P797" s="1">
        <v>44763</v>
      </c>
      <c r="S797" t="s">
        <v>29</v>
      </c>
      <c r="W797">
        <v>1</v>
      </c>
      <c r="X797">
        <v>0</v>
      </c>
    </row>
    <row r="798" spans="1:24" x14ac:dyDescent="0.25">
      <c r="A798">
        <v>204042</v>
      </c>
      <c r="B798" t="s">
        <v>1482</v>
      </c>
      <c r="C798" t="s">
        <v>1385</v>
      </c>
      <c r="D798" t="s">
        <v>1386</v>
      </c>
      <c r="E798" t="s">
        <v>1483</v>
      </c>
      <c r="F798" t="str">
        <f>"1569319006"</f>
        <v>1569319006</v>
      </c>
      <c r="G798" t="str">
        <f>"9781569319000"</f>
        <v>9781569319000</v>
      </c>
      <c r="H798">
        <v>5</v>
      </c>
      <c r="I798">
        <v>4.41</v>
      </c>
      <c r="J798" t="s">
        <v>1484</v>
      </c>
      <c r="K798" t="s">
        <v>1485</v>
      </c>
      <c r="L798">
        <v>187</v>
      </c>
      <c r="M798">
        <v>2014</v>
      </c>
      <c r="N798">
        <v>1999</v>
      </c>
      <c r="O798" s="1">
        <v>44767</v>
      </c>
      <c r="P798" s="1">
        <v>44765</v>
      </c>
      <c r="S798" t="s">
        <v>29</v>
      </c>
      <c r="W798">
        <v>1</v>
      </c>
      <c r="X798">
        <v>0</v>
      </c>
    </row>
    <row r="799" spans="1:24" x14ac:dyDescent="0.25">
      <c r="A799">
        <v>9227170</v>
      </c>
      <c r="B799" t="s">
        <v>1486</v>
      </c>
      <c r="C799" t="s">
        <v>1003</v>
      </c>
      <c r="D799" t="s">
        <v>1004</v>
      </c>
      <c r="F799" t="str">
        <f>"9792076581"</f>
        <v>9792076581</v>
      </c>
      <c r="G799" t="str">
        <f>""</f>
        <v/>
      </c>
      <c r="H799">
        <v>5</v>
      </c>
      <c r="I799">
        <v>4.72</v>
      </c>
      <c r="J799" t="s">
        <v>1487</v>
      </c>
      <c r="K799" t="s">
        <v>28</v>
      </c>
      <c r="L799">
        <v>186</v>
      </c>
      <c r="M799">
        <v>2005</v>
      </c>
      <c r="N799">
        <v>1996</v>
      </c>
      <c r="O799" s="1">
        <v>44765</v>
      </c>
      <c r="P799" s="1">
        <v>44765</v>
      </c>
      <c r="S799" t="s">
        <v>29</v>
      </c>
      <c r="W799">
        <v>1</v>
      </c>
      <c r="X799">
        <v>0</v>
      </c>
    </row>
    <row r="800" spans="1:24" x14ac:dyDescent="0.25">
      <c r="A800">
        <v>1311336</v>
      </c>
      <c r="B800" t="s">
        <v>1488</v>
      </c>
      <c r="C800" t="s">
        <v>1003</v>
      </c>
      <c r="D800" t="s">
        <v>1004</v>
      </c>
      <c r="F800" t="str">
        <f>"9875621226"</f>
        <v>9875621226</v>
      </c>
      <c r="G800" t="str">
        <f>"9789875621220"</f>
        <v>9789875621220</v>
      </c>
      <c r="H800">
        <v>5</v>
      </c>
      <c r="I800">
        <v>4.7300000000000004</v>
      </c>
      <c r="J800" t="s">
        <v>1489</v>
      </c>
      <c r="K800" t="s">
        <v>28</v>
      </c>
      <c r="L800">
        <v>190</v>
      </c>
      <c r="M800">
        <v>2003</v>
      </c>
      <c r="N800">
        <v>1996</v>
      </c>
      <c r="O800" s="1">
        <v>44765</v>
      </c>
      <c r="P800" s="1">
        <v>44765</v>
      </c>
      <c r="S800" t="s">
        <v>29</v>
      </c>
      <c r="W800">
        <v>1</v>
      </c>
      <c r="X800">
        <v>0</v>
      </c>
    </row>
    <row r="801" spans="1:24" x14ac:dyDescent="0.25">
      <c r="A801">
        <v>1311337</v>
      </c>
      <c r="B801" t="s">
        <v>1490</v>
      </c>
      <c r="C801" t="s">
        <v>1003</v>
      </c>
      <c r="D801" t="s">
        <v>1004</v>
      </c>
      <c r="F801" t="str">
        <f>"9875623342"</f>
        <v>9875623342</v>
      </c>
      <c r="G801" t="str">
        <f>"9789875623347"</f>
        <v>9789875623347</v>
      </c>
      <c r="H801">
        <v>5</v>
      </c>
      <c r="I801">
        <v>4.68</v>
      </c>
      <c r="J801" t="s">
        <v>1491</v>
      </c>
      <c r="K801" t="s">
        <v>28</v>
      </c>
      <c r="L801">
        <v>190</v>
      </c>
      <c r="M801">
        <v>2005</v>
      </c>
      <c r="N801">
        <v>1996</v>
      </c>
      <c r="O801" s="1">
        <v>44765</v>
      </c>
      <c r="P801" s="1">
        <v>44765</v>
      </c>
      <c r="S801" t="s">
        <v>29</v>
      </c>
      <c r="W801">
        <v>1</v>
      </c>
      <c r="X801">
        <v>0</v>
      </c>
    </row>
    <row r="802" spans="1:24" x14ac:dyDescent="0.25">
      <c r="A802">
        <v>1311364</v>
      </c>
      <c r="B802" t="s">
        <v>1492</v>
      </c>
      <c r="C802" t="s">
        <v>1003</v>
      </c>
      <c r="D802" t="s">
        <v>1004</v>
      </c>
      <c r="F802" t="str">
        <f>"9875623210"</f>
        <v>9875623210</v>
      </c>
      <c r="G802" t="str">
        <f>"9789875623217"</f>
        <v>9789875623217</v>
      </c>
      <c r="H802">
        <v>5</v>
      </c>
      <c r="I802">
        <v>4.6900000000000004</v>
      </c>
      <c r="J802" t="s">
        <v>1489</v>
      </c>
      <c r="K802" t="s">
        <v>28</v>
      </c>
      <c r="L802">
        <v>190</v>
      </c>
      <c r="M802">
        <v>2005</v>
      </c>
      <c r="N802">
        <v>1996</v>
      </c>
      <c r="O802" s="1">
        <v>44765</v>
      </c>
      <c r="P802" s="1">
        <v>44765</v>
      </c>
      <c r="S802" t="s">
        <v>29</v>
      </c>
      <c r="W802">
        <v>1</v>
      </c>
      <c r="X802">
        <v>0</v>
      </c>
    </row>
    <row r="803" spans="1:24" x14ac:dyDescent="0.25">
      <c r="A803">
        <v>996565</v>
      </c>
      <c r="B803" t="s">
        <v>1493</v>
      </c>
      <c r="C803" t="s">
        <v>1003</v>
      </c>
      <c r="D803" t="s">
        <v>1004</v>
      </c>
      <c r="F803" t="str">
        <f>"9875623121"</f>
        <v>9875623121</v>
      </c>
      <c r="G803" t="str">
        <f>"9789875623125"</f>
        <v>9789875623125</v>
      </c>
      <c r="H803">
        <v>5</v>
      </c>
      <c r="I803">
        <v>4.6500000000000004</v>
      </c>
      <c r="J803" t="s">
        <v>1489</v>
      </c>
      <c r="L803">
        <v>192</v>
      </c>
      <c r="M803">
        <v>2005</v>
      </c>
      <c r="N803">
        <v>1996</v>
      </c>
      <c r="O803" s="1">
        <v>44765</v>
      </c>
      <c r="P803" s="1">
        <v>44765</v>
      </c>
      <c r="S803" t="s">
        <v>29</v>
      </c>
      <c r="W803">
        <v>1</v>
      </c>
      <c r="X803">
        <v>0</v>
      </c>
    </row>
    <row r="804" spans="1:24" x14ac:dyDescent="0.25">
      <c r="A804">
        <v>1311343</v>
      </c>
      <c r="B804" t="s">
        <v>1494</v>
      </c>
      <c r="C804" t="s">
        <v>1003</v>
      </c>
      <c r="D804" t="s">
        <v>1004</v>
      </c>
      <c r="F804" t="str">
        <f>"987562294X"</f>
        <v>987562294X</v>
      </c>
      <c r="G804" t="str">
        <f>"9789875622944"</f>
        <v>9789875622944</v>
      </c>
      <c r="H804">
        <v>5</v>
      </c>
      <c r="I804">
        <v>4.6399999999999997</v>
      </c>
      <c r="J804" t="s">
        <v>1489</v>
      </c>
      <c r="K804" t="s">
        <v>28</v>
      </c>
      <c r="L804">
        <v>190</v>
      </c>
      <c r="M804">
        <v>2005</v>
      </c>
      <c r="N804">
        <v>1995</v>
      </c>
      <c r="O804" s="1">
        <v>44765</v>
      </c>
      <c r="P804" s="1">
        <v>44764</v>
      </c>
      <c r="S804" t="s">
        <v>29</v>
      </c>
      <c r="W804">
        <v>1</v>
      </c>
      <c r="X804">
        <v>0</v>
      </c>
    </row>
    <row r="805" spans="1:24" x14ac:dyDescent="0.25">
      <c r="A805">
        <v>1311340</v>
      </c>
      <c r="B805" t="s">
        <v>1495</v>
      </c>
      <c r="C805" t="s">
        <v>1003</v>
      </c>
      <c r="D805" t="s">
        <v>1004</v>
      </c>
      <c r="F805" t="str">
        <f>"9875622737"</f>
        <v>9875622737</v>
      </c>
      <c r="G805" t="str">
        <f>"9789875622739"</f>
        <v>9789875622739</v>
      </c>
      <c r="H805">
        <v>5</v>
      </c>
      <c r="I805">
        <v>4.6399999999999997</v>
      </c>
      <c r="J805" t="s">
        <v>1489</v>
      </c>
      <c r="K805" t="s">
        <v>28</v>
      </c>
      <c r="L805">
        <v>190</v>
      </c>
      <c r="M805">
        <v>2005</v>
      </c>
      <c r="N805">
        <v>1995</v>
      </c>
      <c r="O805" s="1">
        <v>44764</v>
      </c>
      <c r="P805" s="1">
        <v>44764</v>
      </c>
      <c r="S805" t="s">
        <v>29</v>
      </c>
      <c r="W805">
        <v>1</v>
      </c>
      <c r="X805">
        <v>0</v>
      </c>
    </row>
    <row r="806" spans="1:24" x14ac:dyDescent="0.25">
      <c r="A806">
        <v>7635526</v>
      </c>
      <c r="B806" t="s">
        <v>1496</v>
      </c>
      <c r="C806" t="s">
        <v>1003</v>
      </c>
      <c r="D806" t="s">
        <v>1004</v>
      </c>
      <c r="F806" t="str">
        <f>"9875622664"</f>
        <v>9875622664</v>
      </c>
      <c r="G806" t="str">
        <f>"9789875622661"</f>
        <v>9789875622661</v>
      </c>
      <c r="H806">
        <v>5</v>
      </c>
      <c r="I806">
        <v>4.63</v>
      </c>
      <c r="J806" t="s">
        <v>1489</v>
      </c>
      <c r="K806" t="s">
        <v>28</v>
      </c>
      <c r="L806">
        <v>200</v>
      </c>
      <c r="M806">
        <v>2004</v>
      </c>
      <c r="N806">
        <v>1995</v>
      </c>
      <c r="O806" s="1">
        <v>44764</v>
      </c>
      <c r="P806" s="1">
        <v>44764</v>
      </c>
      <c r="S806" t="s">
        <v>29</v>
      </c>
      <c r="W806">
        <v>1</v>
      </c>
      <c r="X806">
        <v>0</v>
      </c>
    </row>
    <row r="807" spans="1:24" x14ac:dyDescent="0.25">
      <c r="A807">
        <v>9227071</v>
      </c>
      <c r="B807" t="s">
        <v>1497</v>
      </c>
      <c r="C807" t="s">
        <v>1003</v>
      </c>
      <c r="D807" t="s">
        <v>1004</v>
      </c>
      <c r="F807" t="str">
        <f>"9792066063"</f>
        <v>9792066063</v>
      </c>
      <c r="G807" t="str">
        <f>""</f>
        <v/>
      </c>
      <c r="H807">
        <v>5</v>
      </c>
      <c r="I807">
        <v>4.5999999999999996</v>
      </c>
      <c r="J807" t="s">
        <v>1487</v>
      </c>
      <c r="K807" t="s">
        <v>28</v>
      </c>
      <c r="L807">
        <v>185</v>
      </c>
      <c r="M807">
        <v>2005</v>
      </c>
      <c r="N807">
        <v>1995</v>
      </c>
      <c r="O807" s="1">
        <v>44764</v>
      </c>
      <c r="P807" s="1">
        <v>44763</v>
      </c>
      <c r="S807" t="s">
        <v>29</v>
      </c>
      <c r="W807">
        <v>1</v>
      </c>
      <c r="X807">
        <v>0</v>
      </c>
    </row>
    <row r="808" spans="1:24" x14ac:dyDescent="0.25">
      <c r="A808">
        <v>9227064</v>
      </c>
      <c r="B808" t="s">
        <v>1498</v>
      </c>
      <c r="C808" t="s">
        <v>1003</v>
      </c>
      <c r="D808" t="s">
        <v>1004</v>
      </c>
      <c r="F808" t="str">
        <f>"9792064567"</f>
        <v>9792064567</v>
      </c>
      <c r="G808" t="str">
        <f>""</f>
        <v/>
      </c>
      <c r="H808">
        <v>5</v>
      </c>
      <c r="I808">
        <v>4.5999999999999996</v>
      </c>
      <c r="J808" t="s">
        <v>1487</v>
      </c>
      <c r="K808" t="s">
        <v>28</v>
      </c>
      <c r="L808">
        <v>187</v>
      </c>
      <c r="M808">
        <v>2005</v>
      </c>
      <c r="N808">
        <v>1994</v>
      </c>
      <c r="O808" s="1">
        <v>44763</v>
      </c>
      <c r="P808" s="1">
        <v>44759</v>
      </c>
      <c r="S808" t="s">
        <v>29</v>
      </c>
      <c r="W808">
        <v>1</v>
      </c>
      <c r="X808">
        <v>0</v>
      </c>
    </row>
    <row r="809" spans="1:24" x14ac:dyDescent="0.25">
      <c r="A809">
        <v>60099321</v>
      </c>
      <c r="B809" t="s">
        <v>1499</v>
      </c>
      <c r="C809" t="s">
        <v>1339</v>
      </c>
      <c r="D809" t="s">
        <v>1340</v>
      </c>
      <c r="F809" t="str">
        <f>"1975319354"</f>
        <v>1975319354</v>
      </c>
      <c r="G809" t="str">
        <f>"9781975319359"</f>
        <v>9781975319359</v>
      </c>
      <c r="H809">
        <v>4</v>
      </c>
      <c r="I809">
        <v>4.55</v>
      </c>
      <c r="J809" t="s">
        <v>1500</v>
      </c>
      <c r="K809" t="s">
        <v>28</v>
      </c>
      <c r="L809">
        <v>272</v>
      </c>
      <c r="M809">
        <v>2022</v>
      </c>
      <c r="O809" s="1">
        <v>44763</v>
      </c>
      <c r="P809" s="1">
        <v>44760</v>
      </c>
      <c r="S809" t="s">
        <v>29</v>
      </c>
      <c r="W809">
        <v>1</v>
      </c>
      <c r="X809">
        <v>0</v>
      </c>
    </row>
    <row r="810" spans="1:24" x14ac:dyDescent="0.25">
      <c r="A810">
        <v>30780006</v>
      </c>
      <c r="B810" t="s">
        <v>1501</v>
      </c>
      <c r="C810" t="s">
        <v>1502</v>
      </c>
      <c r="D810" t="s">
        <v>1503</v>
      </c>
      <c r="E810" t="s">
        <v>1504</v>
      </c>
      <c r="F810" t="str">
        <f>"0143130773"</f>
        <v>0143130773</v>
      </c>
      <c r="G810" t="str">
        <f>"9780143130772"</f>
        <v>9780143130772</v>
      </c>
      <c r="H810">
        <v>0</v>
      </c>
      <c r="I810">
        <v>4.0599999999999996</v>
      </c>
      <c r="J810" t="s">
        <v>617</v>
      </c>
      <c r="K810" t="s">
        <v>34</v>
      </c>
      <c r="L810">
        <v>288</v>
      </c>
      <c r="M810">
        <v>2017</v>
      </c>
      <c r="N810">
        <v>2012</v>
      </c>
      <c r="P810" s="1">
        <v>44761</v>
      </c>
      <c r="Q810" t="s">
        <v>35</v>
      </c>
      <c r="R810" t="s">
        <v>1505</v>
      </c>
      <c r="S810" t="s">
        <v>35</v>
      </c>
      <c r="W810">
        <v>0</v>
      </c>
      <c r="X810">
        <v>0</v>
      </c>
    </row>
    <row r="811" spans="1:24" x14ac:dyDescent="0.25">
      <c r="A811">
        <v>34506298</v>
      </c>
      <c r="B811" t="s">
        <v>1506</v>
      </c>
      <c r="C811" t="s">
        <v>1507</v>
      </c>
      <c r="D811" t="s">
        <v>1508</v>
      </c>
      <c r="F811" t="str">
        <f>"4065103908"</f>
        <v>4065103908</v>
      </c>
      <c r="G811" t="str">
        <f>"9784065103906"</f>
        <v>9784065103906</v>
      </c>
      <c r="H811">
        <v>4</v>
      </c>
      <c r="I811">
        <v>4.33</v>
      </c>
      <c r="J811" t="s">
        <v>139</v>
      </c>
      <c r="K811" t="s">
        <v>28</v>
      </c>
      <c r="L811">
        <v>192</v>
      </c>
      <c r="M811">
        <v>2017</v>
      </c>
      <c r="N811">
        <v>2017</v>
      </c>
      <c r="O811" s="1">
        <v>44760</v>
      </c>
      <c r="P811" s="1">
        <v>44760</v>
      </c>
      <c r="S811" t="s">
        <v>29</v>
      </c>
      <c r="W811">
        <v>1</v>
      </c>
      <c r="X811">
        <v>0</v>
      </c>
    </row>
    <row r="812" spans="1:24" x14ac:dyDescent="0.25">
      <c r="A812">
        <v>33974973</v>
      </c>
      <c r="B812" t="s">
        <v>1509</v>
      </c>
      <c r="C812" t="s">
        <v>1507</v>
      </c>
      <c r="D812" t="s">
        <v>1508</v>
      </c>
      <c r="F812" t="str">
        <f>"4065100348"</f>
        <v>4065100348</v>
      </c>
      <c r="G812" t="str">
        <f>"9784065100349"</f>
        <v>9784065100349</v>
      </c>
      <c r="H812">
        <v>3</v>
      </c>
      <c r="I812">
        <v>4.3</v>
      </c>
      <c r="J812" t="s">
        <v>139</v>
      </c>
      <c r="K812" t="s">
        <v>28</v>
      </c>
      <c r="L812">
        <v>192</v>
      </c>
      <c r="M812">
        <v>2017</v>
      </c>
      <c r="N812">
        <v>2017</v>
      </c>
      <c r="O812" s="1">
        <v>44760</v>
      </c>
      <c r="P812" s="1">
        <v>44760</v>
      </c>
      <c r="S812" t="s">
        <v>29</v>
      </c>
      <c r="W812">
        <v>1</v>
      </c>
      <c r="X812">
        <v>0</v>
      </c>
    </row>
    <row r="813" spans="1:24" x14ac:dyDescent="0.25">
      <c r="A813">
        <v>32704395</v>
      </c>
      <c r="B813" t="s">
        <v>1510</v>
      </c>
      <c r="C813" t="s">
        <v>1507</v>
      </c>
      <c r="D813" t="s">
        <v>1508</v>
      </c>
      <c r="F813" t="str">
        <f>"4063959457"</f>
        <v>4063959457</v>
      </c>
      <c r="G813" t="str">
        <f>"9784063959451"</f>
        <v>9784063959451</v>
      </c>
      <c r="H813">
        <v>3</v>
      </c>
      <c r="I813">
        <v>4.29</v>
      </c>
      <c r="J813" t="s">
        <v>139</v>
      </c>
      <c r="K813" t="s">
        <v>28</v>
      </c>
      <c r="L813">
        <v>192</v>
      </c>
      <c r="M813">
        <v>2017</v>
      </c>
      <c r="N813">
        <v>2017</v>
      </c>
      <c r="O813" s="1">
        <v>44760</v>
      </c>
      <c r="P813" s="1">
        <v>44760</v>
      </c>
      <c r="S813" t="s">
        <v>29</v>
      </c>
      <c r="W813">
        <v>1</v>
      </c>
      <c r="X813">
        <v>0</v>
      </c>
    </row>
    <row r="814" spans="1:24" x14ac:dyDescent="0.25">
      <c r="A814">
        <v>31886112</v>
      </c>
      <c r="B814" t="s">
        <v>1511</v>
      </c>
      <c r="C814" t="s">
        <v>1507</v>
      </c>
      <c r="D814" t="s">
        <v>1508</v>
      </c>
      <c r="F814" t="str">
        <f>"4063958973"</f>
        <v>4063958973</v>
      </c>
      <c r="G814" t="str">
        <f>"9784063958973"</f>
        <v>9784063958973</v>
      </c>
      <c r="H814">
        <v>3</v>
      </c>
      <c r="I814">
        <v>4.29</v>
      </c>
      <c r="J814" t="s">
        <v>139</v>
      </c>
      <c r="K814" t="s">
        <v>28</v>
      </c>
      <c r="L814">
        <v>192</v>
      </c>
      <c r="M814">
        <v>2017</v>
      </c>
      <c r="N814">
        <v>2017</v>
      </c>
      <c r="O814" s="1">
        <v>44760</v>
      </c>
      <c r="P814" s="1">
        <v>44760</v>
      </c>
      <c r="S814" t="s">
        <v>29</v>
      </c>
      <c r="W814">
        <v>1</v>
      </c>
      <c r="X814">
        <v>0</v>
      </c>
    </row>
    <row r="815" spans="1:24" x14ac:dyDescent="0.25">
      <c r="A815">
        <v>30831318</v>
      </c>
      <c r="B815" t="s">
        <v>1512</v>
      </c>
      <c r="C815" t="s">
        <v>1507</v>
      </c>
      <c r="D815" t="s">
        <v>1508</v>
      </c>
      <c r="F815" t="str">
        <f>"4063958310"</f>
        <v>4063958310</v>
      </c>
      <c r="G815" t="str">
        <f>"9784063958317"</f>
        <v>9784063958317</v>
      </c>
      <c r="H815">
        <v>3</v>
      </c>
      <c r="I815">
        <v>4.3499999999999996</v>
      </c>
      <c r="J815" t="s">
        <v>139</v>
      </c>
      <c r="K815" t="s">
        <v>28</v>
      </c>
      <c r="L815">
        <v>192</v>
      </c>
      <c r="M815">
        <v>2016</v>
      </c>
      <c r="N815">
        <v>2016</v>
      </c>
      <c r="O815" s="1">
        <v>44760</v>
      </c>
      <c r="P815" s="1">
        <v>44760</v>
      </c>
      <c r="S815" t="s">
        <v>29</v>
      </c>
      <c r="W815">
        <v>1</v>
      </c>
      <c r="X815">
        <v>0</v>
      </c>
    </row>
    <row r="816" spans="1:24" x14ac:dyDescent="0.25">
      <c r="A816">
        <v>29390661</v>
      </c>
      <c r="B816" t="s">
        <v>1513</v>
      </c>
      <c r="C816" t="s">
        <v>1507</v>
      </c>
      <c r="D816" t="s">
        <v>1508</v>
      </c>
      <c r="F816" t="str">
        <f>"4063958043"</f>
        <v>4063958043</v>
      </c>
      <c r="G816" t="str">
        <f>"9784063958041"</f>
        <v>9784063958041</v>
      </c>
      <c r="H816">
        <v>3</v>
      </c>
      <c r="I816">
        <v>4.33</v>
      </c>
      <c r="J816" t="s">
        <v>139</v>
      </c>
      <c r="K816" t="s">
        <v>28</v>
      </c>
      <c r="L816">
        <v>192</v>
      </c>
      <c r="M816">
        <v>2016</v>
      </c>
      <c r="N816">
        <v>2016</v>
      </c>
      <c r="O816" s="1">
        <v>44760</v>
      </c>
      <c r="P816" s="1">
        <v>44760</v>
      </c>
      <c r="S816" t="s">
        <v>29</v>
      </c>
      <c r="W816">
        <v>1</v>
      </c>
      <c r="X816">
        <v>0</v>
      </c>
    </row>
    <row r="817" spans="1:24" x14ac:dyDescent="0.25">
      <c r="A817">
        <v>29093102</v>
      </c>
      <c r="B817" t="s">
        <v>1514</v>
      </c>
      <c r="C817" t="s">
        <v>1507</v>
      </c>
      <c r="D817" t="s">
        <v>1508</v>
      </c>
      <c r="F817" t="str">
        <f>"1632362910"</f>
        <v>1632362910</v>
      </c>
      <c r="G817" t="str">
        <f>"9781632362919"</f>
        <v>9781632362919</v>
      </c>
      <c r="H817">
        <v>3</v>
      </c>
      <c r="I817">
        <v>4.3600000000000003</v>
      </c>
      <c r="J817" t="s">
        <v>847</v>
      </c>
      <c r="K817" t="s">
        <v>28</v>
      </c>
      <c r="L817">
        <v>192</v>
      </c>
      <c r="M817">
        <v>2016</v>
      </c>
      <c r="N817">
        <v>2016</v>
      </c>
      <c r="O817" s="1">
        <v>44760</v>
      </c>
      <c r="P817" s="1">
        <v>44760</v>
      </c>
      <c r="S817" t="s">
        <v>29</v>
      </c>
      <c r="W817">
        <v>1</v>
      </c>
      <c r="X817">
        <v>0</v>
      </c>
    </row>
    <row r="818" spans="1:24" x14ac:dyDescent="0.25">
      <c r="A818">
        <v>28364039</v>
      </c>
      <c r="B818" t="s">
        <v>1515</v>
      </c>
      <c r="C818" t="s">
        <v>1507</v>
      </c>
      <c r="D818" t="s">
        <v>1508</v>
      </c>
      <c r="F818" t="str">
        <f>"1632362902"</f>
        <v>1632362902</v>
      </c>
      <c r="G818" t="str">
        <f>"9781632362902"</f>
        <v>9781632362902</v>
      </c>
      <c r="H818">
        <v>3</v>
      </c>
      <c r="I818">
        <v>4.3499999999999996</v>
      </c>
      <c r="J818" t="s">
        <v>847</v>
      </c>
      <c r="K818" t="s">
        <v>28</v>
      </c>
      <c r="L818">
        <v>208</v>
      </c>
      <c r="M818">
        <v>2016</v>
      </c>
      <c r="N818">
        <v>2016</v>
      </c>
      <c r="O818" s="1">
        <v>44760</v>
      </c>
      <c r="P818" s="1">
        <v>44760</v>
      </c>
      <c r="S818" t="s">
        <v>29</v>
      </c>
      <c r="W818">
        <v>1</v>
      </c>
      <c r="X818">
        <v>0</v>
      </c>
    </row>
    <row r="819" spans="1:24" x14ac:dyDescent="0.25">
      <c r="A819">
        <v>26075416</v>
      </c>
      <c r="B819" t="s">
        <v>1516</v>
      </c>
      <c r="C819" t="s">
        <v>1507</v>
      </c>
      <c r="D819" t="s">
        <v>1508</v>
      </c>
      <c r="F819" t="str">
        <f>"4063956261"</f>
        <v>4063956261</v>
      </c>
      <c r="G819" t="str">
        <f>"9784063956269"</f>
        <v>9784063956269</v>
      </c>
      <c r="H819">
        <v>3</v>
      </c>
      <c r="I819">
        <v>4.32</v>
      </c>
      <c r="J819" t="s">
        <v>139</v>
      </c>
      <c r="K819" t="s">
        <v>28</v>
      </c>
      <c r="L819">
        <v>192</v>
      </c>
      <c r="M819">
        <v>2016</v>
      </c>
      <c r="N819">
        <v>2016</v>
      </c>
      <c r="O819" s="1">
        <v>44760</v>
      </c>
      <c r="P819" s="1">
        <v>44760</v>
      </c>
      <c r="S819" t="s">
        <v>29</v>
      </c>
      <c r="W819">
        <v>1</v>
      </c>
      <c r="X819">
        <v>0</v>
      </c>
    </row>
    <row r="820" spans="1:24" x14ac:dyDescent="0.25">
      <c r="A820">
        <v>27244885</v>
      </c>
      <c r="B820" t="s">
        <v>1517</v>
      </c>
      <c r="C820" t="s">
        <v>1507</v>
      </c>
      <c r="D820" t="s">
        <v>1508</v>
      </c>
      <c r="F820" t="str">
        <f>"406395675X"</f>
        <v>406395675X</v>
      </c>
      <c r="G820" t="str">
        <f>"9784063956757"</f>
        <v>9784063956757</v>
      </c>
      <c r="H820">
        <v>3</v>
      </c>
      <c r="I820">
        <v>4.33</v>
      </c>
      <c r="J820" t="s">
        <v>139</v>
      </c>
      <c r="K820" t="s">
        <v>28</v>
      </c>
      <c r="L820">
        <v>192</v>
      </c>
      <c r="M820">
        <v>2016</v>
      </c>
      <c r="N820">
        <v>2016</v>
      </c>
      <c r="O820" s="1">
        <v>44760</v>
      </c>
      <c r="P820" s="1">
        <v>44760</v>
      </c>
      <c r="S820" t="s">
        <v>29</v>
      </c>
      <c r="W820">
        <v>1</v>
      </c>
      <c r="X820">
        <v>0</v>
      </c>
    </row>
    <row r="821" spans="1:24" x14ac:dyDescent="0.25">
      <c r="A821">
        <v>57333466</v>
      </c>
      <c r="B821" t="s">
        <v>1518</v>
      </c>
      <c r="C821" t="s">
        <v>1339</v>
      </c>
      <c r="D821" t="s">
        <v>1340</v>
      </c>
      <c r="E821" t="s">
        <v>1519</v>
      </c>
      <c r="F821" t="str">
        <f>""</f>
        <v/>
      </c>
      <c r="G821" t="str">
        <f>""</f>
        <v/>
      </c>
      <c r="H821">
        <v>5</v>
      </c>
      <c r="I821">
        <v>4.5</v>
      </c>
      <c r="J821" t="s">
        <v>1520</v>
      </c>
      <c r="O821" s="1">
        <v>44760</v>
      </c>
      <c r="P821" s="1">
        <v>44758</v>
      </c>
      <c r="S821" t="s">
        <v>29</v>
      </c>
      <c r="W821">
        <v>1</v>
      </c>
      <c r="X821">
        <v>0</v>
      </c>
    </row>
    <row r="822" spans="1:24" x14ac:dyDescent="0.25">
      <c r="A822">
        <v>9227054</v>
      </c>
      <c r="B822" t="s">
        <v>1521</v>
      </c>
      <c r="C822" t="s">
        <v>1003</v>
      </c>
      <c r="D822" t="s">
        <v>1004</v>
      </c>
      <c r="F822" t="str">
        <f>"9792063919"</f>
        <v>9792063919</v>
      </c>
      <c r="G822" t="str">
        <f>""</f>
        <v/>
      </c>
      <c r="H822">
        <v>5</v>
      </c>
      <c r="I822">
        <v>4.62</v>
      </c>
      <c r="J822" t="s">
        <v>1487</v>
      </c>
      <c r="K822" t="s">
        <v>28</v>
      </c>
      <c r="L822">
        <v>185</v>
      </c>
      <c r="M822">
        <v>2004</v>
      </c>
      <c r="N822">
        <v>1994</v>
      </c>
      <c r="O822" s="1">
        <v>44759</v>
      </c>
      <c r="P822" s="1">
        <v>44759</v>
      </c>
      <c r="S822" t="s">
        <v>29</v>
      </c>
      <c r="W822">
        <v>1</v>
      </c>
      <c r="X822">
        <v>0</v>
      </c>
    </row>
    <row r="823" spans="1:24" x14ac:dyDescent="0.25">
      <c r="A823">
        <v>1311339</v>
      </c>
      <c r="B823" t="s">
        <v>1522</v>
      </c>
      <c r="C823" t="s">
        <v>1003</v>
      </c>
      <c r="D823" t="s">
        <v>1004</v>
      </c>
      <c r="F823" t="str">
        <f>"2871294445"</f>
        <v>2871294445</v>
      </c>
      <c r="G823" t="str">
        <f>"9782871294443"</f>
        <v>9782871294443</v>
      </c>
      <c r="H823">
        <v>5</v>
      </c>
      <c r="I823">
        <v>4.59</v>
      </c>
      <c r="J823" t="s">
        <v>1523</v>
      </c>
      <c r="K823" t="s">
        <v>28</v>
      </c>
      <c r="L823">
        <v>185</v>
      </c>
      <c r="M823">
        <v>2003</v>
      </c>
      <c r="N823">
        <v>1994</v>
      </c>
      <c r="O823" s="1">
        <v>44759</v>
      </c>
      <c r="P823" s="1">
        <v>44759</v>
      </c>
      <c r="S823" t="s">
        <v>29</v>
      </c>
      <c r="W823">
        <v>1</v>
      </c>
      <c r="X823">
        <v>0</v>
      </c>
    </row>
    <row r="824" spans="1:24" x14ac:dyDescent="0.25">
      <c r="A824">
        <v>11740432</v>
      </c>
      <c r="B824" t="s">
        <v>1524</v>
      </c>
      <c r="C824" t="s">
        <v>1003</v>
      </c>
      <c r="D824" t="s">
        <v>1004</v>
      </c>
      <c r="F824" t="str">
        <f>"142153326X"</f>
        <v>142153326X</v>
      </c>
      <c r="G824" t="str">
        <f>"9781421533261"</f>
        <v>9781421533261</v>
      </c>
      <c r="H824">
        <v>5</v>
      </c>
      <c r="I824">
        <v>4.6100000000000003</v>
      </c>
      <c r="J824" t="s">
        <v>27</v>
      </c>
      <c r="K824" t="s">
        <v>28</v>
      </c>
      <c r="L824">
        <v>184</v>
      </c>
      <c r="M824">
        <v>2011</v>
      </c>
      <c r="N824">
        <v>1994</v>
      </c>
      <c r="O824" s="1">
        <v>44759</v>
      </c>
      <c r="P824" s="1">
        <v>44759</v>
      </c>
      <c r="S824" t="s">
        <v>29</v>
      </c>
      <c r="W824">
        <v>1</v>
      </c>
      <c r="X824">
        <v>0</v>
      </c>
    </row>
    <row r="825" spans="1:24" x14ac:dyDescent="0.25">
      <c r="A825">
        <v>1311341</v>
      </c>
      <c r="B825" t="s">
        <v>1525</v>
      </c>
      <c r="C825" t="s">
        <v>1003</v>
      </c>
      <c r="D825" t="s">
        <v>1004</v>
      </c>
      <c r="F825" t="str">
        <f>"2871294267"</f>
        <v>2871294267</v>
      </c>
      <c r="G825" t="str">
        <f>"9782871294269"</f>
        <v>9782871294269</v>
      </c>
      <c r="H825">
        <v>5</v>
      </c>
      <c r="I825">
        <v>4.6100000000000003</v>
      </c>
      <c r="J825" t="s">
        <v>1523</v>
      </c>
      <c r="K825" t="s">
        <v>28</v>
      </c>
      <c r="L825">
        <v>183</v>
      </c>
      <c r="M825">
        <v>2002</v>
      </c>
      <c r="N825">
        <v>1994</v>
      </c>
      <c r="O825" s="1">
        <v>44759</v>
      </c>
      <c r="P825" s="1">
        <v>44759</v>
      </c>
      <c r="S825" t="s">
        <v>29</v>
      </c>
      <c r="W825">
        <v>1</v>
      </c>
      <c r="X825">
        <v>0</v>
      </c>
    </row>
    <row r="826" spans="1:24" x14ac:dyDescent="0.25">
      <c r="A826">
        <v>11016203</v>
      </c>
      <c r="B826" t="s">
        <v>1526</v>
      </c>
      <c r="C826" t="s">
        <v>1003</v>
      </c>
      <c r="D826" t="s">
        <v>1004</v>
      </c>
      <c r="F826" t="str">
        <f>"1421533243"</f>
        <v>1421533243</v>
      </c>
      <c r="G826" t="str">
        <f>"9781421533247"</f>
        <v>9781421533247</v>
      </c>
      <c r="H826">
        <v>5</v>
      </c>
      <c r="I826">
        <v>4.5999999999999996</v>
      </c>
      <c r="J826" t="s">
        <v>27</v>
      </c>
      <c r="K826" t="s">
        <v>28</v>
      </c>
      <c r="L826">
        <v>192</v>
      </c>
      <c r="M826">
        <v>2011</v>
      </c>
      <c r="N826">
        <v>1994</v>
      </c>
      <c r="O826" s="1">
        <v>44759</v>
      </c>
      <c r="P826" s="1">
        <v>44758</v>
      </c>
      <c r="S826" t="s">
        <v>29</v>
      </c>
      <c r="W826">
        <v>1</v>
      </c>
      <c r="X826">
        <v>0</v>
      </c>
    </row>
    <row r="827" spans="1:24" x14ac:dyDescent="0.25">
      <c r="A827">
        <v>3120143</v>
      </c>
      <c r="B827" t="s">
        <v>1527</v>
      </c>
      <c r="C827" t="s">
        <v>1528</v>
      </c>
      <c r="D827" t="s">
        <v>1529</v>
      </c>
      <c r="E827" t="s">
        <v>1530</v>
      </c>
      <c r="F827" t="str">
        <f>""</f>
        <v/>
      </c>
      <c r="G827" t="str">
        <f>""</f>
        <v/>
      </c>
      <c r="H827">
        <v>0</v>
      </c>
      <c r="I827">
        <v>4.0999999999999996</v>
      </c>
      <c r="J827" t="s">
        <v>1531</v>
      </c>
      <c r="K827" t="s">
        <v>207</v>
      </c>
      <c r="L827">
        <v>463</v>
      </c>
      <c r="M827">
        <v>1999</v>
      </c>
      <c r="N827">
        <v>1994</v>
      </c>
      <c r="P827" s="1">
        <v>44759</v>
      </c>
      <c r="Q827" t="s">
        <v>35</v>
      </c>
      <c r="R827" t="s">
        <v>1532</v>
      </c>
      <c r="S827" t="s">
        <v>35</v>
      </c>
      <c r="W827">
        <v>0</v>
      </c>
      <c r="X827">
        <v>0</v>
      </c>
    </row>
    <row r="828" spans="1:24" x14ac:dyDescent="0.25">
      <c r="A828">
        <v>1311385</v>
      </c>
      <c r="B828" t="s">
        <v>1533</v>
      </c>
      <c r="C828" t="s">
        <v>1003</v>
      </c>
      <c r="D828" t="s">
        <v>1004</v>
      </c>
      <c r="F828" t="str">
        <f>"2871294038"</f>
        <v>2871294038</v>
      </c>
      <c r="G828" t="str">
        <f>"9782871294030"</f>
        <v>9782871294030</v>
      </c>
      <c r="H828">
        <v>5</v>
      </c>
      <c r="I828">
        <v>4.5599999999999996</v>
      </c>
      <c r="J828" t="s">
        <v>1523</v>
      </c>
      <c r="K828" t="s">
        <v>28</v>
      </c>
      <c r="L828">
        <v>192</v>
      </c>
      <c r="M828">
        <v>2002</v>
      </c>
      <c r="N828">
        <v>1993</v>
      </c>
      <c r="O828" s="1">
        <v>44758</v>
      </c>
      <c r="P828" s="1">
        <v>44758</v>
      </c>
      <c r="S828" t="s">
        <v>29</v>
      </c>
      <c r="W828">
        <v>1</v>
      </c>
      <c r="X828">
        <v>0</v>
      </c>
    </row>
    <row r="829" spans="1:24" x14ac:dyDescent="0.25">
      <c r="A829">
        <v>1311386</v>
      </c>
      <c r="B829" t="s">
        <v>1534</v>
      </c>
      <c r="C829" t="s">
        <v>1003</v>
      </c>
      <c r="D829" t="s">
        <v>1004</v>
      </c>
      <c r="F829" t="str">
        <f>"2871293457"</f>
        <v>2871293457</v>
      </c>
      <c r="G829" t="str">
        <f>"9782871293453"</f>
        <v>9782871293453</v>
      </c>
      <c r="H829">
        <v>5</v>
      </c>
      <c r="I829">
        <v>4.6399999999999997</v>
      </c>
      <c r="J829" t="s">
        <v>1523</v>
      </c>
      <c r="K829" t="s">
        <v>28</v>
      </c>
      <c r="L829">
        <v>185</v>
      </c>
      <c r="M829">
        <v>2001</v>
      </c>
      <c r="N829">
        <v>1993</v>
      </c>
      <c r="O829" s="1">
        <v>44758</v>
      </c>
      <c r="P829" s="1">
        <v>44758</v>
      </c>
      <c r="S829" t="s">
        <v>29</v>
      </c>
      <c r="W829">
        <v>1</v>
      </c>
      <c r="X829">
        <v>0</v>
      </c>
    </row>
    <row r="830" spans="1:24" x14ac:dyDescent="0.25">
      <c r="A830">
        <v>9223508</v>
      </c>
      <c r="B830" t="s">
        <v>1535</v>
      </c>
      <c r="C830" t="s">
        <v>1003</v>
      </c>
      <c r="D830" t="s">
        <v>1004</v>
      </c>
      <c r="F830" t="str">
        <f>"1421533219"</f>
        <v>1421533219</v>
      </c>
      <c r="G830" t="str">
        <f>"9781421533216"</f>
        <v>9781421533216</v>
      </c>
      <c r="H830">
        <v>5</v>
      </c>
      <c r="I830">
        <v>4.6100000000000003</v>
      </c>
      <c r="J830" t="s">
        <v>27</v>
      </c>
      <c r="K830" t="s">
        <v>28</v>
      </c>
      <c r="L830">
        <v>184</v>
      </c>
      <c r="M830">
        <v>2011</v>
      </c>
      <c r="N830">
        <v>1993</v>
      </c>
      <c r="O830" s="1">
        <v>44758</v>
      </c>
      <c r="P830" s="1">
        <v>44758</v>
      </c>
      <c r="S830" t="s">
        <v>29</v>
      </c>
      <c r="W830">
        <v>1</v>
      </c>
      <c r="X830">
        <v>0</v>
      </c>
    </row>
    <row r="831" spans="1:24" x14ac:dyDescent="0.25">
      <c r="A831">
        <v>58441732</v>
      </c>
      <c r="B831" t="s">
        <v>1536</v>
      </c>
      <c r="C831" t="s">
        <v>1339</v>
      </c>
      <c r="D831" t="s">
        <v>1340</v>
      </c>
      <c r="F831" t="str">
        <f>""</f>
        <v/>
      </c>
      <c r="G831" t="str">
        <f>""</f>
        <v/>
      </c>
      <c r="H831">
        <v>5</v>
      </c>
      <c r="I831">
        <v>4.47</v>
      </c>
      <c r="J831" t="s">
        <v>1500</v>
      </c>
      <c r="K831" t="s">
        <v>133</v>
      </c>
      <c r="L831">
        <v>328</v>
      </c>
      <c r="M831">
        <v>2021</v>
      </c>
      <c r="O831" s="1">
        <v>44758</v>
      </c>
      <c r="P831" s="1">
        <v>44757</v>
      </c>
      <c r="S831" t="s">
        <v>29</v>
      </c>
      <c r="W831">
        <v>1</v>
      </c>
      <c r="X831">
        <v>0</v>
      </c>
    </row>
    <row r="832" spans="1:24" x14ac:dyDescent="0.25">
      <c r="A832">
        <v>1311362</v>
      </c>
      <c r="B832" t="s">
        <v>1537</v>
      </c>
      <c r="C832" t="s">
        <v>1003</v>
      </c>
      <c r="D832" t="s">
        <v>1004</v>
      </c>
      <c r="F832" t="str">
        <f>"2871293430"</f>
        <v>2871293430</v>
      </c>
      <c r="G832" t="str">
        <f>"9782871293439"</f>
        <v>9782871293439</v>
      </c>
      <c r="H832">
        <v>5</v>
      </c>
      <c r="I832">
        <v>4.5999999999999996</v>
      </c>
      <c r="J832" t="s">
        <v>1523</v>
      </c>
      <c r="K832" t="s">
        <v>28</v>
      </c>
      <c r="L832">
        <v>182</v>
      </c>
      <c r="M832">
        <v>2001</v>
      </c>
      <c r="N832">
        <v>1993</v>
      </c>
      <c r="O832" s="1">
        <v>44758</v>
      </c>
      <c r="P832" s="1">
        <v>44758</v>
      </c>
      <c r="S832" t="s">
        <v>29</v>
      </c>
      <c r="W832">
        <v>1</v>
      </c>
      <c r="X832">
        <v>0</v>
      </c>
    </row>
    <row r="833" spans="1:24" x14ac:dyDescent="0.25">
      <c r="A833">
        <v>9404988</v>
      </c>
      <c r="B833" t="s">
        <v>1538</v>
      </c>
      <c r="C833" t="s">
        <v>1003</v>
      </c>
      <c r="D833" t="s">
        <v>1004</v>
      </c>
      <c r="F833" t="str">
        <f>"1421528673"</f>
        <v>1421528673</v>
      </c>
      <c r="G833" t="str">
        <f>"9781421528670"</f>
        <v>9781421528670</v>
      </c>
      <c r="H833">
        <v>5</v>
      </c>
      <c r="I833">
        <v>4.58</v>
      </c>
      <c r="J833" t="s">
        <v>27</v>
      </c>
      <c r="K833" t="s">
        <v>28</v>
      </c>
      <c r="L833">
        <v>192</v>
      </c>
      <c r="M833">
        <v>2010</v>
      </c>
      <c r="N833">
        <v>1993</v>
      </c>
      <c r="O833" s="1">
        <v>44758</v>
      </c>
      <c r="P833" s="1">
        <v>44758</v>
      </c>
      <c r="S833" t="s">
        <v>29</v>
      </c>
      <c r="W833">
        <v>1</v>
      </c>
      <c r="X833">
        <v>0</v>
      </c>
    </row>
    <row r="834" spans="1:24" x14ac:dyDescent="0.25">
      <c r="A834">
        <v>1311360</v>
      </c>
      <c r="B834" t="s">
        <v>1539</v>
      </c>
      <c r="C834" t="s">
        <v>1003</v>
      </c>
      <c r="D834" t="s">
        <v>1004</v>
      </c>
      <c r="F834" t="str">
        <f>"2871293414"</f>
        <v>2871293414</v>
      </c>
      <c r="G834" t="str">
        <f>"9782871293415"</f>
        <v>9782871293415</v>
      </c>
      <c r="H834">
        <v>5</v>
      </c>
      <c r="I834">
        <v>4.5999999999999996</v>
      </c>
      <c r="J834" t="s">
        <v>1523</v>
      </c>
      <c r="K834" t="s">
        <v>28</v>
      </c>
      <c r="L834">
        <v>185</v>
      </c>
      <c r="M834">
        <v>2001</v>
      </c>
      <c r="N834">
        <v>1993</v>
      </c>
      <c r="O834" s="1">
        <v>44758</v>
      </c>
      <c r="P834" s="1">
        <v>44758</v>
      </c>
      <c r="S834" t="s">
        <v>29</v>
      </c>
      <c r="W834">
        <v>1</v>
      </c>
      <c r="X834">
        <v>0</v>
      </c>
    </row>
    <row r="835" spans="1:24" x14ac:dyDescent="0.25">
      <c r="A835">
        <v>1311358</v>
      </c>
      <c r="B835" t="s">
        <v>1540</v>
      </c>
      <c r="C835" t="s">
        <v>1003</v>
      </c>
      <c r="D835" t="s">
        <v>1004</v>
      </c>
      <c r="F835" t="str">
        <f>"287129318X"</f>
        <v>287129318X</v>
      </c>
      <c r="G835" t="str">
        <f>"9782871293187"</f>
        <v>9782871293187</v>
      </c>
      <c r="H835">
        <v>5</v>
      </c>
      <c r="I835">
        <v>4.57</v>
      </c>
      <c r="J835" t="s">
        <v>1523</v>
      </c>
      <c r="K835" t="s">
        <v>28</v>
      </c>
      <c r="L835">
        <v>186</v>
      </c>
      <c r="M835">
        <v>2001</v>
      </c>
      <c r="N835">
        <v>1992</v>
      </c>
      <c r="O835" s="1">
        <v>44758</v>
      </c>
      <c r="P835" s="1">
        <v>44758</v>
      </c>
      <c r="S835" t="s">
        <v>29</v>
      </c>
      <c r="W835">
        <v>1</v>
      </c>
      <c r="X835">
        <v>0</v>
      </c>
    </row>
    <row r="836" spans="1:24" x14ac:dyDescent="0.25">
      <c r="A836">
        <v>7556302</v>
      </c>
      <c r="B836" t="s">
        <v>1541</v>
      </c>
      <c r="C836" t="s">
        <v>1003</v>
      </c>
      <c r="D836" t="s">
        <v>1004</v>
      </c>
      <c r="F836" t="str">
        <f>"1421528649"</f>
        <v>1421528649</v>
      </c>
      <c r="G836" t="str">
        <f>"9781421528649"</f>
        <v>9781421528649</v>
      </c>
      <c r="H836">
        <v>5</v>
      </c>
      <c r="I836">
        <v>4.53</v>
      </c>
      <c r="J836" t="s">
        <v>27</v>
      </c>
      <c r="K836" t="s">
        <v>28</v>
      </c>
      <c r="L836">
        <v>200</v>
      </c>
      <c r="M836">
        <v>2010</v>
      </c>
      <c r="N836">
        <v>1992</v>
      </c>
      <c r="O836" s="1">
        <v>44758</v>
      </c>
      <c r="P836" s="1">
        <v>44756</v>
      </c>
      <c r="S836" t="s">
        <v>29</v>
      </c>
      <c r="W836">
        <v>2</v>
      </c>
      <c r="X836">
        <v>0</v>
      </c>
    </row>
    <row r="837" spans="1:24" x14ac:dyDescent="0.25">
      <c r="A837">
        <v>52800782</v>
      </c>
      <c r="B837" t="s">
        <v>1542</v>
      </c>
      <c r="C837" t="s">
        <v>1339</v>
      </c>
      <c r="D837" t="s">
        <v>1340</v>
      </c>
      <c r="F837" t="str">
        <f>""</f>
        <v/>
      </c>
      <c r="G837" t="str">
        <f>""</f>
        <v/>
      </c>
      <c r="H837">
        <v>5</v>
      </c>
      <c r="I837">
        <v>4.53</v>
      </c>
      <c r="J837" t="s">
        <v>1543</v>
      </c>
      <c r="K837" t="s">
        <v>609</v>
      </c>
      <c r="L837">
        <v>400</v>
      </c>
      <c r="O837" s="1">
        <v>44757</v>
      </c>
      <c r="P837" s="1">
        <v>44755</v>
      </c>
      <c r="S837" t="s">
        <v>29</v>
      </c>
      <c r="W837">
        <v>1</v>
      </c>
      <c r="X837">
        <v>0</v>
      </c>
    </row>
    <row r="838" spans="1:24" x14ac:dyDescent="0.25">
      <c r="A838">
        <v>1311350</v>
      </c>
      <c r="B838" t="s">
        <v>1544</v>
      </c>
      <c r="C838" t="s">
        <v>1003</v>
      </c>
      <c r="D838" t="s">
        <v>1004</v>
      </c>
      <c r="F838" t="str">
        <f>"2871292639"</f>
        <v>2871292639</v>
      </c>
      <c r="G838" t="str">
        <f>"9782871292630"</f>
        <v>9782871292630</v>
      </c>
      <c r="H838">
        <v>5</v>
      </c>
      <c r="I838">
        <v>4.5599999999999996</v>
      </c>
      <c r="J838" t="s">
        <v>1523</v>
      </c>
      <c r="K838" t="s">
        <v>28</v>
      </c>
      <c r="L838">
        <v>186</v>
      </c>
      <c r="M838">
        <v>2000</v>
      </c>
      <c r="N838">
        <v>1992</v>
      </c>
      <c r="O838" s="1">
        <v>44756</v>
      </c>
      <c r="P838" s="1">
        <v>44756</v>
      </c>
      <c r="S838" t="s">
        <v>29</v>
      </c>
      <c r="W838">
        <v>1</v>
      </c>
      <c r="X838">
        <v>0</v>
      </c>
    </row>
    <row r="839" spans="1:24" x14ac:dyDescent="0.25">
      <c r="A839">
        <v>1311348</v>
      </c>
      <c r="B839" t="s">
        <v>1545</v>
      </c>
      <c r="C839" t="s">
        <v>1003</v>
      </c>
      <c r="D839" t="s">
        <v>1004</v>
      </c>
      <c r="F839" t="str">
        <f>"2871292620"</f>
        <v>2871292620</v>
      </c>
      <c r="G839" t="str">
        <f>"9782871292623"</f>
        <v>9782871292623</v>
      </c>
      <c r="H839">
        <v>5</v>
      </c>
      <c r="I839">
        <v>4.5199999999999996</v>
      </c>
      <c r="J839" t="s">
        <v>1523</v>
      </c>
      <c r="K839" t="s">
        <v>28</v>
      </c>
      <c r="L839">
        <v>183</v>
      </c>
      <c r="M839">
        <v>2000</v>
      </c>
      <c r="N839">
        <v>1992</v>
      </c>
      <c r="O839" s="1">
        <v>44756</v>
      </c>
      <c r="P839" s="1">
        <v>44756</v>
      </c>
      <c r="S839" t="s">
        <v>29</v>
      </c>
      <c r="W839">
        <v>1</v>
      </c>
      <c r="X839">
        <v>0</v>
      </c>
    </row>
    <row r="840" spans="1:24" x14ac:dyDescent="0.25">
      <c r="A840">
        <v>6993220</v>
      </c>
      <c r="B840" t="s">
        <v>1546</v>
      </c>
      <c r="C840" t="s">
        <v>1003</v>
      </c>
      <c r="D840" t="s">
        <v>1004</v>
      </c>
      <c r="F840" t="str">
        <f>"1421519887"</f>
        <v>1421519887</v>
      </c>
      <c r="G840" t="str">
        <f>"9781421519883"</f>
        <v>9781421519883</v>
      </c>
      <c r="H840">
        <v>5</v>
      </c>
      <c r="I840">
        <v>4.53</v>
      </c>
      <c r="J840" t="s">
        <v>27</v>
      </c>
      <c r="K840" t="s">
        <v>28</v>
      </c>
      <c r="L840">
        <v>196</v>
      </c>
      <c r="M840">
        <v>2009</v>
      </c>
      <c r="N840">
        <v>1991</v>
      </c>
      <c r="O840" s="1">
        <v>44756</v>
      </c>
      <c r="P840" s="1">
        <v>44756</v>
      </c>
      <c r="S840" t="s">
        <v>29</v>
      </c>
      <c r="W840">
        <v>1</v>
      </c>
      <c r="X840">
        <v>0</v>
      </c>
    </row>
    <row r="841" spans="1:24" x14ac:dyDescent="0.25">
      <c r="A841">
        <v>551871</v>
      </c>
      <c r="B841" t="s">
        <v>1547</v>
      </c>
      <c r="C841" t="s">
        <v>1003</v>
      </c>
      <c r="D841" t="s">
        <v>1004</v>
      </c>
      <c r="F841" t="str">
        <f>"1932454268"</f>
        <v>1932454268</v>
      </c>
      <c r="G841" t="str">
        <f>"9781932454260"</f>
        <v>9781932454260</v>
      </c>
      <c r="H841">
        <v>5</v>
      </c>
      <c r="I841">
        <v>4.54</v>
      </c>
      <c r="J841" t="s">
        <v>1548</v>
      </c>
      <c r="K841" t="s">
        <v>28</v>
      </c>
      <c r="L841">
        <v>190</v>
      </c>
      <c r="M841">
        <v>2004</v>
      </c>
      <c r="N841">
        <v>1991</v>
      </c>
      <c r="O841" s="1">
        <v>44756</v>
      </c>
      <c r="P841" s="1">
        <v>44756</v>
      </c>
      <c r="S841" t="s">
        <v>29</v>
      </c>
      <c r="W841">
        <v>1</v>
      </c>
      <c r="X841">
        <v>0</v>
      </c>
    </row>
    <row r="842" spans="1:24" x14ac:dyDescent="0.25">
      <c r="A842">
        <v>6392137</v>
      </c>
      <c r="B842" t="s">
        <v>1549</v>
      </c>
      <c r="C842" t="s">
        <v>1003</v>
      </c>
      <c r="D842" t="s">
        <v>1004</v>
      </c>
      <c r="F842" t="str">
        <f>"1421519860"</f>
        <v>1421519860</v>
      </c>
      <c r="G842" t="str">
        <f>"9781421519869"</f>
        <v>9781421519869</v>
      </c>
      <c r="H842">
        <v>5</v>
      </c>
      <c r="I842">
        <v>4.49</v>
      </c>
      <c r="J842" t="s">
        <v>27</v>
      </c>
      <c r="K842" t="s">
        <v>28</v>
      </c>
      <c r="L842">
        <v>196</v>
      </c>
      <c r="M842">
        <v>2009</v>
      </c>
      <c r="N842">
        <v>1991</v>
      </c>
      <c r="O842" s="1">
        <v>44756</v>
      </c>
      <c r="P842" s="1">
        <v>44756</v>
      </c>
      <c r="S842" t="s">
        <v>29</v>
      </c>
      <c r="W842">
        <v>1</v>
      </c>
      <c r="X842">
        <v>0</v>
      </c>
    </row>
    <row r="843" spans="1:24" x14ac:dyDescent="0.25">
      <c r="A843">
        <v>1989838</v>
      </c>
      <c r="B843" t="s">
        <v>1550</v>
      </c>
      <c r="C843" t="s">
        <v>1003</v>
      </c>
      <c r="D843" t="s">
        <v>1004</v>
      </c>
      <c r="F843" t="str">
        <f>"1932454101"</f>
        <v>1932454101</v>
      </c>
      <c r="G843" t="str">
        <f>"9781932454109"</f>
        <v>9781932454109</v>
      </c>
      <c r="H843">
        <v>5</v>
      </c>
      <c r="I843">
        <v>4.43</v>
      </c>
      <c r="J843" t="s">
        <v>1551</v>
      </c>
      <c r="K843" t="s">
        <v>28</v>
      </c>
      <c r="L843">
        <v>190</v>
      </c>
      <c r="M843">
        <v>2003</v>
      </c>
      <c r="N843">
        <v>1991</v>
      </c>
      <c r="O843" s="1">
        <v>44756</v>
      </c>
      <c r="P843" s="1">
        <v>44756</v>
      </c>
      <c r="S843" t="s">
        <v>29</v>
      </c>
      <c r="W843">
        <v>1</v>
      </c>
      <c r="X843">
        <v>0</v>
      </c>
    </row>
    <row r="844" spans="1:24" x14ac:dyDescent="0.25">
      <c r="A844">
        <v>4945364</v>
      </c>
      <c r="B844" t="s">
        <v>1552</v>
      </c>
      <c r="C844" t="s">
        <v>1003</v>
      </c>
      <c r="D844" t="s">
        <v>1004</v>
      </c>
      <c r="F844" t="str">
        <f>"1421519844"</f>
        <v>1421519844</v>
      </c>
      <c r="G844" t="str">
        <f>"9781421519845"</f>
        <v>9781421519845</v>
      </c>
      <c r="H844">
        <v>5</v>
      </c>
      <c r="I844">
        <v>4.43</v>
      </c>
      <c r="J844" t="s">
        <v>27</v>
      </c>
      <c r="K844" t="s">
        <v>28</v>
      </c>
      <c r="L844">
        <v>200</v>
      </c>
      <c r="M844">
        <v>2009</v>
      </c>
      <c r="N844">
        <v>1991</v>
      </c>
      <c r="O844" s="1">
        <v>44756</v>
      </c>
      <c r="P844" s="1">
        <v>44755</v>
      </c>
      <c r="S844" t="s">
        <v>29</v>
      </c>
      <c r="W844">
        <v>1</v>
      </c>
      <c r="X844">
        <v>0</v>
      </c>
    </row>
    <row r="845" spans="1:24" x14ac:dyDescent="0.25">
      <c r="A845">
        <v>52800465</v>
      </c>
      <c r="B845" t="s">
        <v>1553</v>
      </c>
      <c r="C845" t="s">
        <v>1339</v>
      </c>
      <c r="D845" t="s">
        <v>1340</v>
      </c>
      <c r="F845" t="str">
        <f>""</f>
        <v/>
      </c>
      <c r="G845" t="str">
        <f>""</f>
        <v/>
      </c>
      <c r="H845">
        <v>5</v>
      </c>
      <c r="I845">
        <v>4.3899999999999997</v>
      </c>
      <c r="J845" t="s">
        <v>1543</v>
      </c>
      <c r="K845" t="s">
        <v>609</v>
      </c>
      <c r="L845">
        <v>400</v>
      </c>
      <c r="O845" s="1">
        <v>44755</v>
      </c>
      <c r="P845" s="1">
        <v>44752</v>
      </c>
      <c r="S845" t="s">
        <v>29</v>
      </c>
      <c r="W845">
        <v>1</v>
      </c>
      <c r="X845">
        <v>0</v>
      </c>
    </row>
    <row r="846" spans="1:24" x14ac:dyDescent="0.25">
      <c r="A846">
        <v>1311355</v>
      </c>
      <c r="B846" t="s">
        <v>1554</v>
      </c>
      <c r="C846" t="s">
        <v>1003</v>
      </c>
      <c r="D846" t="s">
        <v>1004</v>
      </c>
      <c r="F846" t="str">
        <f>"2871292299"</f>
        <v>2871292299</v>
      </c>
      <c r="G846" t="str">
        <f>"9782871292296"</f>
        <v>9782871292296</v>
      </c>
      <c r="H846">
        <v>5</v>
      </c>
      <c r="I846">
        <v>4.4000000000000004</v>
      </c>
      <c r="J846" t="s">
        <v>1523</v>
      </c>
      <c r="K846" t="s">
        <v>28</v>
      </c>
      <c r="L846">
        <v>192</v>
      </c>
      <c r="M846">
        <v>1999</v>
      </c>
      <c r="N846">
        <v>1990</v>
      </c>
      <c r="O846" s="1">
        <v>44755</v>
      </c>
      <c r="P846" s="1">
        <v>44755</v>
      </c>
      <c r="S846" t="s">
        <v>29</v>
      </c>
      <c r="W846">
        <v>1</v>
      </c>
      <c r="X846">
        <v>0</v>
      </c>
    </row>
    <row r="847" spans="1:24" x14ac:dyDescent="0.25">
      <c r="A847">
        <v>59366001</v>
      </c>
      <c r="B847" t="s">
        <v>1555</v>
      </c>
      <c r="C847" t="s">
        <v>1040</v>
      </c>
      <c r="D847" t="s">
        <v>1041</v>
      </c>
      <c r="F847" t="str">
        <f>"1974727114"</f>
        <v>1974727114</v>
      </c>
      <c r="G847" t="str">
        <f>"9781974727117"</f>
        <v>9781974727117</v>
      </c>
      <c r="H847">
        <v>5</v>
      </c>
      <c r="I847">
        <v>4.51</v>
      </c>
      <c r="J847" t="s">
        <v>27</v>
      </c>
      <c r="K847" t="s">
        <v>28</v>
      </c>
      <c r="L847">
        <v>192</v>
      </c>
      <c r="M847">
        <v>2022</v>
      </c>
      <c r="N847">
        <v>2021</v>
      </c>
      <c r="O847" s="1">
        <v>44718</v>
      </c>
      <c r="P847" s="1">
        <v>44718</v>
      </c>
      <c r="S847" t="s">
        <v>29</v>
      </c>
      <c r="W847">
        <v>1</v>
      </c>
      <c r="X847">
        <v>0</v>
      </c>
    </row>
    <row r="848" spans="1:24" x14ac:dyDescent="0.25">
      <c r="A848">
        <v>25556140</v>
      </c>
      <c r="B848" t="s">
        <v>1556</v>
      </c>
      <c r="C848" t="s">
        <v>1507</v>
      </c>
      <c r="D848" t="s">
        <v>1508</v>
      </c>
      <c r="F848" t="str">
        <f>"406395577X"</f>
        <v>406395577X</v>
      </c>
      <c r="G848" t="str">
        <f>"9784063955774"</f>
        <v>9784063955774</v>
      </c>
      <c r="H848">
        <v>3</v>
      </c>
      <c r="I848">
        <v>4.3600000000000003</v>
      </c>
      <c r="J848" t="s">
        <v>139</v>
      </c>
      <c r="K848" t="s">
        <v>28</v>
      </c>
      <c r="L848">
        <v>192</v>
      </c>
      <c r="M848">
        <v>2016</v>
      </c>
      <c r="N848">
        <v>2016</v>
      </c>
      <c r="O848" s="1">
        <v>44753</v>
      </c>
      <c r="P848" s="1">
        <v>44753</v>
      </c>
      <c r="S848" t="s">
        <v>29</v>
      </c>
      <c r="W848">
        <v>1</v>
      </c>
      <c r="X848">
        <v>0</v>
      </c>
    </row>
    <row r="849" spans="1:24" x14ac:dyDescent="0.25">
      <c r="A849">
        <v>25556133</v>
      </c>
      <c r="B849" t="s">
        <v>1557</v>
      </c>
      <c r="C849" t="s">
        <v>1507</v>
      </c>
      <c r="D849" t="s">
        <v>1508</v>
      </c>
      <c r="F849" t="str">
        <f>"4063955389"</f>
        <v>4063955389</v>
      </c>
      <c r="G849" t="str">
        <f>"9784063955385"</f>
        <v>9784063955385</v>
      </c>
      <c r="H849">
        <v>3</v>
      </c>
      <c r="I849">
        <v>4.33</v>
      </c>
      <c r="J849" t="s">
        <v>139</v>
      </c>
      <c r="K849" t="s">
        <v>28</v>
      </c>
      <c r="L849">
        <v>192</v>
      </c>
      <c r="M849">
        <v>2015</v>
      </c>
      <c r="N849">
        <v>2015</v>
      </c>
      <c r="O849" s="1">
        <v>44752</v>
      </c>
      <c r="P849" s="1">
        <v>44752</v>
      </c>
      <c r="S849" t="s">
        <v>29</v>
      </c>
      <c r="W849">
        <v>1</v>
      </c>
      <c r="X849">
        <v>0</v>
      </c>
    </row>
    <row r="850" spans="1:24" x14ac:dyDescent="0.25">
      <c r="A850">
        <v>42518949</v>
      </c>
      <c r="B850" t="s">
        <v>1558</v>
      </c>
      <c r="C850" t="s">
        <v>1559</v>
      </c>
      <c r="D850" t="s">
        <v>1560</v>
      </c>
      <c r="E850" t="s">
        <v>1561</v>
      </c>
      <c r="F850" t="str">
        <f>""</f>
        <v/>
      </c>
      <c r="G850" t="str">
        <f>""</f>
        <v/>
      </c>
      <c r="H850">
        <v>0</v>
      </c>
      <c r="I850">
        <v>4.33</v>
      </c>
      <c r="K850" t="s">
        <v>133</v>
      </c>
      <c r="L850">
        <v>849</v>
      </c>
      <c r="M850">
        <v>2018</v>
      </c>
      <c r="P850" s="1">
        <v>44744</v>
      </c>
      <c r="Q850" t="s">
        <v>35</v>
      </c>
      <c r="R850" t="s">
        <v>1562</v>
      </c>
      <c r="S850" t="s">
        <v>35</v>
      </c>
      <c r="W850">
        <v>0</v>
      </c>
      <c r="X850">
        <v>0</v>
      </c>
    </row>
    <row r="851" spans="1:24" x14ac:dyDescent="0.25">
      <c r="A851">
        <v>25380320</v>
      </c>
      <c r="B851" t="s">
        <v>1563</v>
      </c>
      <c r="C851" t="s">
        <v>1507</v>
      </c>
      <c r="D851" t="s">
        <v>1508</v>
      </c>
      <c r="F851" t="str">
        <f>"4063954897"</f>
        <v>4063954897</v>
      </c>
      <c r="G851" t="str">
        <f>"9784063954890"</f>
        <v>9784063954890</v>
      </c>
      <c r="H851">
        <v>3</v>
      </c>
      <c r="I851">
        <v>4.3600000000000003</v>
      </c>
      <c r="J851" t="s">
        <v>139</v>
      </c>
      <c r="K851" t="s">
        <v>28</v>
      </c>
      <c r="L851">
        <v>192</v>
      </c>
      <c r="M851">
        <v>2015</v>
      </c>
      <c r="N851">
        <v>2015</v>
      </c>
      <c r="O851" s="1">
        <v>44752</v>
      </c>
      <c r="P851" s="1">
        <v>44752</v>
      </c>
      <c r="S851" t="s">
        <v>29</v>
      </c>
      <c r="W851">
        <v>1</v>
      </c>
      <c r="X851">
        <v>0</v>
      </c>
    </row>
    <row r="852" spans="1:24" x14ac:dyDescent="0.25">
      <c r="A852">
        <v>136081</v>
      </c>
      <c r="B852" t="s">
        <v>1564</v>
      </c>
      <c r="C852" t="s">
        <v>1565</v>
      </c>
      <c r="D852" t="s">
        <v>1566</v>
      </c>
      <c r="F852" t="str">
        <f>"1400095921"</f>
        <v>1400095921</v>
      </c>
      <c r="G852" t="str">
        <f>"9781400095926"</f>
        <v>9781400095926</v>
      </c>
      <c r="H852">
        <v>2</v>
      </c>
      <c r="I852">
        <v>3.86</v>
      </c>
      <c r="J852" t="s">
        <v>1567</v>
      </c>
      <c r="K852" t="s">
        <v>28</v>
      </c>
      <c r="L852">
        <v>292</v>
      </c>
      <c r="M852">
        <v>2006</v>
      </c>
      <c r="N852">
        <v>2005</v>
      </c>
      <c r="O852" s="1">
        <v>44751</v>
      </c>
      <c r="P852" s="1">
        <v>44751</v>
      </c>
      <c r="S852" t="s">
        <v>29</v>
      </c>
      <c r="W852">
        <v>1</v>
      </c>
      <c r="X852">
        <v>0</v>
      </c>
    </row>
    <row r="853" spans="1:24" x14ac:dyDescent="0.25">
      <c r="A853">
        <v>26836706</v>
      </c>
      <c r="B853" t="s">
        <v>1568</v>
      </c>
      <c r="C853" t="s">
        <v>1507</v>
      </c>
      <c r="D853" t="s">
        <v>1508</v>
      </c>
      <c r="F853" t="str">
        <f>""</f>
        <v/>
      </c>
      <c r="G853" t="str">
        <f>""</f>
        <v/>
      </c>
      <c r="H853">
        <v>3</v>
      </c>
      <c r="I853">
        <v>4.4000000000000004</v>
      </c>
      <c r="J853" t="s">
        <v>139</v>
      </c>
      <c r="K853" t="s">
        <v>133</v>
      </c>
      <c r="L853">
        <v>208</v>
      </c>
      <c r="M853">
        <v>2015</v>
      </c>
      <c r="N853">
        <v>2015</v>
      </c>
      <c r="O853" s="1">
        <v>44751</v>
      </c>
      <c r="P853" s="1">
        <v>44751</v>
      </c>
      <c r="S853" t="s">
        <v>29</v>
      </c>
      <c r="W853">
        <v>1</v>
      </c>
      <c r="X853">
        <v>0</v>
      </c>
    </row>
    <row r="854" spans="1:24" x14ac:dyDescent="0.25">
      <c r="A854">
        <v>26217439</v>
      </c>
      <c r="B854" t="s">
        <v>1569</v>
      </c>
      <c r="C854" t="s">
        <v>1507</v>
      </c>
      <c r="D854" t="s">
        <v>1508</v>
      </c>
      <c r="F854" t="str">
        <f>""</f>
        <v/>
      </c>
      <c r="G854" t="str">
        <f>""</f>
        <v/>
      </c>
      <c r="H854">
        <v>4</v>
      </c>
      <c r="I854">
        <v>4.4000000000000004</v>
      </c>
      <c r="J854" t="s">
        <v>139</v>
      </c>
      <c r="K854" t="s">
        <v>133</v>
      </c>
      <c r="L854">
        <v>176</v>
      </c>
      <c r="M854">
        <v>2015</v>
      </c>
      <c r="N854">
        <v>2015</v>
      </c>
      <c r="O854" s="1">
        <v>44751</v>
      </c>
      <c r="P854" s="1">
        <v>44751</v>
      </c>
      <c r="S854" t="s">
        <v>29</v>
      </c>
      <c r="W854">
        <v>1</v>
      </c>
      <c r="X854">
        <v>0</v>
      </c>
    </row>
    <row r="855" spans="1:24" x14ac:dyDescent="0.25">
      <c r="A855">
        <v>25483552</v>
      </c>
      <c r="B855" t="s">
        <v>1570</v>
      </c>
      <c r="C855" t="s">
        <v>1507</v>
      </c>
      <c r="D855" t="s">
        <v>1508</v>
      </c>
      <c r="F855" t="str">
        <f>""</f>
        <v/>
      </c>
      <c r="G855" t="str">
        <f>""</f>
        <v/>
      </c>
      <c r="H855">
        <v>4</v>
      </c>
      <c r="I855">
        <v>4.3899999999999997</v>
      </c>
      <c r="J855" t="s">
        <v>139</v>
      </c>
      <c r="K855" t="s">
        <v>133</v>
      </c>
      <c r="L855">
        <v>208</v>
      </c>
      <c r="M855">
        <v>2015</v>
      </c>
      <c r="N855">
        <v>2015</v>
      </c>
      <c r="O855" s="1">
        <v>44751</v>
      </c>
      <c r="P855" s="1">
        <v>44751</v>
      </c>
      <c r="S855" t="s">
        <v>29</v>
      </c>
      <c r="W855">
        <v>1</v>
      </c>
      <c r="X855">
        <v>0</v>
      </c>
    </row>
    <row r="856" spans="1:24" x14ac:dyDescent="0.25">
      <c r="A856">
        <v>25120677</v>
      </c>
      <c r="B856" t="s">
        <v>1571</v>
      </c>
      <c r="C856" t="s">
        <v>1507</v>
      </c>
      <c r="D856" t="s">
        <v>1508</v>
      </c>
      <c r="F856" t="str">
        <f>""</f>
        <v/>
      </c>
      <c r="G856" t="str">
        <f>""</f>
        <v/>
      </c>
      <c r="H856">
        <v>3</v>
      </c>
      <c r="I856">
        <v>4.4400000000000004</v>
      </c>
      <c r="J856" t="s">
        <v>139</v>
      </c>
      <c r="K856" t="s">
        <v>133</v>
      </c>
      <c r="L856">
        <v>208</v>
      </c>
      <c r="M856">
        <v>2015</v>
      </c>
      <c r="N856">
        <v>2015</v>
      </c>
      <c r="O856" s="1">
        <v>44751</v>
      </c>
      <c r="P856" s="1">
        <v>44751</v>
      </c>
      <c r="S856" t="s">
        <v>29</v>
      </c>
      <c r="W856">
        <v>1</v>
      </c>
      <c r="X856">
        <v>0</v>
      </c>
    </row>
    <row r="857" spans="1:24" x14ac:dyDescent="0.25">
      <c r="A857">
        <v>24584990</v>
      </c>
      <c r="B857" t="s">
        <v>1572</v>
      </c>
      <c r="C857" t="s">
        <v>1507</v>
      </c>
      <c r="D857" t="s">
        <v>1508</v>
      </c>
      <c r="F857" t="str">
        <f>""</f>
        <v/>
      </c>
      <c r="G857" t="str">
        <f>""</f>
        <v/>
      </c>
      <c r="H857">
        <v>4</v>
      </c>
      <c r="I857">
        <v>4.4400000000000004</v>
      </c>
      <c r="J857" t="s">
        <v>139</v>
      </c>
      <c r="K857" t="s">
        <v>133</v>
      </c>
      <c r="L857">
        <v>208</v>
      </c>
      <c r="M857">
        <v>2015</v>
      </c>
      <c r="N857">
        <v>2014</v>
      </c>
      <c r="O857" s="1">
        <v>44751</v>
      </c>
      <c r="P857" s="1">
        <v>44751</v>
      </c>
      <c r="S857" t="s">
        <v>29</v>
      </c>
      <c r="W857">
        <v>1</v>
      </c>
      <c r="X857">
        <v>0</v>
      </c>
    </row>
    <row r="858" spans="1:24" x14ac:dyDescent="0.25">
      <c r="A858">
        <v>23481020</v>
      </c>
      <c r="B858" t="s">
        <v>1573</v>
      </c>
      <c r="C858" t="s">
        <v>1507</v>
      </c>
      <c r="D858" t="s">
        <v>1508</v>
      </c>
      <c r="F858" t="str">
        <f>""</f>
        <v/>
      </c>
      <c r="G858" t="str">
        <f>""</f>
        <v/>
      </c>
      <c r="H858">
        <v>4</v>
      </c>
      <c r="I858">
        <v>4.43</v>
      </c>
      <c r="J858" t="s">
        <v>139</v>
      </c>
      <c r="K858" t="s">
        <v>133</v>
      </c>
      <c r="L858">
        <v>208</v>
      </c>
      <c r="M858">
        <v>2014</v>
      </c>
      <c r="N858">
        <v>2014</v>
      </c>
      <c r="O858" s="1">
        <v>44751</v>
      </c>
      <c r="P858" s="1">
        <v>44751</v>
      </c>
      <c r="S858" t="s">
        <v>29</v>
      </c>
      <c r="W858">
        <v>1</v>
      </c>
      <c r="X858">
        <v>0</v>
      </c>
    </row>
    <row r="859" spans="1:24" x14ac:dyDescent="0.25">
      <c r="A859">
        <v>22952003</v>
      </c>
      <c r="B859" t="s">
        <v>1574</v>
      </c>
      <c r="C859" t="s">
        <v>1507</v>
      </c>
      <c r="D859" t="s">
        <v>1508</v>
      </c>
      <c r="F859" t="str">
        <f>""</f>
        <v/>
      </c>
      <c r="G859" t="str">
        <f>""</f>
        <v/>
      </c>
      <c r="H859">
        <v>3</v>
      </c>
      <c r="I859">
        <v>4.3600000000000003</v>
      </c>
      <c r="J859" t="s">
        <v>847</v>
      </c>
      <c r="K859" t="s">
        <v>133</v>
      </c>
      <c r="L859">
        <v>208</v>
      </c>
      <c r="M859">
        <v>2014</v>
      </c>
      <c r="N859">
        <v>2014</v>
      </c>
      <c r="O859" s="1">
        <v>44751</v>
      </c>
      <c r="P859" s="1">
        <v>44751</v>
      </c>
      <c r="S859" t="s">
        <v>29</v>
      </c>
      <c r="W859">
        <v>1</v>
      </c>
      <c r="X859">
        <v>0</v>
      </c>
    </row>
    <row r="860" spans="1:24" x14ac:dyDescent="0.25">
      <c r="A860">
        <v>22473174</v>
      </c>
      <c r="B860" t="s">
        <v>1575</v>
      </c>
      <c r="C860" t="s">
        <v>1507</v>
      </c>
      <c r="D860" t="s">
        <v>1508</v>
      </c>
      <c r="F860" t="str">
        <f>""</f>
        <v/>
      </c>
      <c r="G860" t="str">
        <f>""</f>
        <v/>
      </c>
      <c r="H860">
        <v>3</v>
      </c>
      <c r="I860">
        <v>4.38</v>
      </c>
      <c r="J860" t="s">
        <v>139</v>
      </c>
      <c r="K860" t="s">
        <v>133</v>
      </c>
      <c r="L860">
        <v>208</v>
      </c>
      <c r="M860">
        <v>2014</v>
      </c>
      <c r="N860">
        <v>2014</v>
      </c>
      <c r="O860" s="1">
        <v>44751</v>
      </c>
      <c r="P860" s="1">
        <v>44751</v>
      </c>
      <c r="S860" t="s">
        <v>29</v>
      </c>
      <c r="W860">
        <v>1</v>
      </c>
      <c r="X860">
        <v>0</v>
      </c>
    </row>
    <row r="861" spans="1:24" x14ac:dyDescent="0.25">
      <c r="A861">
        <v>22012764</v>
      </c>
      <c r="B861" t="s">
        <v>1576</v>
      </c>
      <c r="C861" t="s">
        <v>1507</v>
      </c>
      <c r="D861" t="s">
        <v>1508</v>
      </c>
      <c r="F861" t="str">
        <f>""</f>
        <v/>
      </c>
      <c r="G861" t="str">
        <f>""</f>
        <v/>
      </c>
      <c r="H861">
        <v>4</v>
      </c>
      <c r="I861">
        <v>4.33</v>
      </c>
      <c r="J861" t="s">
        <v>139</v>
      </c>
      <c r="K861" t="s">
        <v>133</v>
      </c>
      <c r="L861">
        <v>208</v>
      </c>
      <c r="M861">
        <v>2014</v>
      </c>
      <c r="N861">
        <v>2014</v>
      </c>
      <c r="O861" s="1">
        <v>44750</v>
      </c>
      <c r="P861" s="1">
        <v>44750</v>
      </c>
      <c r="S861" t="s">
        <v>29</v>
      </c>
      <c r="W861">
        <v>1</v>
      </c>
      <c r="X861">
        <v>0</v>
      </c>
    </row>
    <row r="862" spans="1:24" x14ac:dyDescent="0.25">
      <c r="A862">
        <v>21921826</v>
      </c>
      <c r="B862" t="s">
        <v>1577</v>
      </c>
      <c r="C862" t="s">
        <v>1507</v>
      </c>
      <c r="D862" t="s">
        <v>1508</v>
      </c>
      <c r="F862" t="str">
        <f>""</f>
        <v/>
      </c>
      <c r="G862" t="str">
        <f>""</f>
        <v/>
      </c>
      <c r="H862">
        <v>3</v>
      </c>
      <c r="I862">
        <v>4.3600000000000003</v>
      </c>
      <c r="J862" t="s">
        <v>139</v>
      </c>
      <c r="K862" t="s">
        <v>133</v>
      </c>
      <c r="L862">
        <v>208</v>
      </c>
      <c r="M862">
        <v>2014</v>
      </c>
      <c r="N862">
        <v>2013</v>
      </c>
      <c r="O862" s="1">
        <v>44750</v>
      </c>
      <c r="P862" s="1">
        <v>44750</v>
      </c>
      <c r="S862" t="s">
        <v>29</v>
      </c>
      <c r="W862">
        <v>1</v>
      </c>
      <c r="X862">
        <v>0</v>
      </c>
    </row>
    <row r="863" spans="1:24" x14ac:dyDescent="0.25">
      <c r="A863">
        <v>20872760</v>
      </c>
      <c r="B863" t="s">
        <v>1578</v>
      </c>
      <c r="C863" t="s">
        <v>1507</v>
      </c>
      <c r="D863" t="s">
        <v>1508</v>
      </c>
      <c r="F863" t="str">
        <f>""</f>
        <v/>
      </c>
      <c r="G863" t="str">
        <f>""</f>
        <v/>
      </c>
      <c r="H863">
        <v>3</v>
      </c>
      <c r="I863">
        <v>4.3899999999999997</v>
      </c>
      <c r="J863" t="s">
        <v>139</v>
      </c>
      <c r="K863" t="s">
        <v>133</v>
      </c>
      <c r="L863">
        <v>208</v>
      </c>
      <c r="M863">
        <v>2014</v>
      </c>
      <c r="N863">
        <v>2013</v>
      </c>
      <c r="O863" s="1">
        <v>44750</v>
      </c>
      <c r="P863" s="1">
        <v>44750</v>
      </c>
      <c r="S863" t="s">
        <v>29</v>
      </c>
      <c r="W863">
        <v>1</v>
      </c>
      <c r="X863">
        <v>0</v>
      </c>
    </row>
    <row r="864" spans="1:24" x14ac:dyDescent="0.25">
      <c r="A864">
        <v>20710528</v>
      </c>
      <c r="B864" t="s">
        <v>1579</v>
      </c>
      <c r="C864" t="s">
        <v>1507</v>
      </c>
      <c r="D864" t="s">
        <v>1508</v>
      </c>
      <c r="F864" t="str">
        <f>""</f>
        <v/>
      </c>
      <c r="G864" t="str">
        <f>""</f>
        <v/>
      </c>
      <c r="H864">
        <v>3</v>
      </c>
      <c r="I864">
        <v>4.42</v>
      </c>
      <c r="J864" t="s">
        <v>847</v>
      </c>
      <c r="K864" t="s">
        <v>133</v>
      </c>
      <c r="L864">
        <v>224</v>
      </c>
      <c r="M864">
        <v>2014</v>
      </c>
      <c r="N864">
        <v>2013</v>
      </c>
      <c r="O864" s="1">
        <v>44750</v>
      </c>
      <c r="P864" s="1">
        <v>44750</v>
      </c>
      <c r="S864" t="s">
        <v>29</v>
      </c>
      <c r="W864">
        <v>1</v>
      </c>
      <c r="X864">
        <v>0</v>
      </c>
    </row>
    <row r="865" spans="1:24" x14ac:dyDescent="0.25">
      <c r="A865">
        <v>19081315</v>
      </c>
      <c r="B865" t="s">
        <v>1580</v>
      </c>
      <c r="C865" t="s">
        <v>1507</v>
      </c>
      <c r="D865" t="s">
        <v>1508</v>
      </c>
      <c r="F865" t="str">
        <f>"1612624154"</f>
        <v>1612624154</v>
      </c>
      <c r="G865" t="str">
        <f>"9781612624150"</f>
        <v>9781612624150</v>
      </c>
      <c r="H865">
        <v>3</v>
      </c>
      <c r="I865">
        <v>4.41</v>
      </c>
      <c r="J865" t="s">
        <v>847</v>
      </c>
      <c r="K865" t="s">
        <v>609</v>
      </c>
      <c r="L865">
        <v>208</v>
      </c>
      <c r="M865">
        <v>2013</v>
      </c>
      <c r="N865">
        <v>2013</v>
      </c>
      <c r="O865" s="1">
        <v>44750</v>
      </c>
      <c r="P865" s="1">
        <v>44750</v>
      </c>
      <c r="S865" t="s">
        <v>29</v>
      </c>
      <c r="W865">
        <v>1</v>
      </c>
      <c r="X865">
        <v>0</v>
      </c>
    </row>
    <row r="866" spans="1:24" x14ac:dyDescent="0.25">
      <c r="A866">
        <v>19081314</v>
      </c>
      <c r="B866" t="s">
        <v>1581</v>
      </c>
      <c r="C866" t="s">
        <v>1507</v>
      </c>
      <c r="D866" t="s">
        <v>1508</v>
      </c>
      <c r="F866" t="str">
        <f>"1612624146"</f>
        <v>1612624146</v>
      </c>
      <c r="G866" t="str">
        <f>"9781612624143"</f>
        <v>9781612624143</v>
      </c>
      <c r="H866">
        <v>3</v>
      </c>
      <c r="I866">
        <v>4.41</v>
      </c>
      <c r="J866" t="s">
        <v>847</v>
      </c>
      <c r="K866" t="s">
        <v>609</v>
      </c>
      <c r="L866">
        <v>208</v>
      </c>
      <c r="M866">
        <v>2013</v>
      </c>
      <c r="N866">
        <v>2013</v>
      </c>
      <c r="O866" s="1">
        <v>44750</v>
      </c>
      <c r="P866" s="1">
        <v>44750</v>
      </c>
      <c r="S866" t="s">
        <v>29</v>
      </c>
      <c r="W866">
        <v>1</v>
      </c>
      <c r="X866">
        <v>0</v>
      </c>
    </row>
    <row r="867" spans="1:24" x14ac:dyDescent="0.25">
      <c r="A867">
        <v>52266311</v>
      </c>
      <c r="B867" t="s">
        <v>1582</v>
      </c>
      <c r="C867" t="s">
        <v>1583</v>
      </c>
      <c r="D867" t="s">
        <v>1584</v>
      </c>
      <c r="F867" t="str">
        <f>""</f>
        <v/>
      </c>
      <c r="G867" t="str">
        <f>""</f>
        <v/>
      </c>
      <c r="H867">
        <v>0</v>
      </c>
      <c r="I867">
        <v>5</v>
      </c>
      <c r="J867" t="s">
        <v>1585</v>
      </c>
      <c r="K867" t="s">
        <v>133</v>
      </c>
      <c r="L867">
        <v>371</v>
      </c>
      <c r="M867">
        <v>2019</v>
      </c>
      <c r="P867" s="1">
        <v>43774</v>
      </c>
      <c r="Q867" t="s">
        <v>35</v>
      </c>
      <c r="R867" t="s">
        <v>1586</v>
      </c>
      <c r="S867" t="s">
        <v>35</v>
      </c>
      <c r="W867">
        <v>0</v>
      </c>
      <c r="X867">
        <v>0</v>
      </c>
    </row>
    <row r="868" spans="1:24" x14ac:dyDescent="0.25">
      <c r="A868">
        <v>19081312</v>
      </c>
      <c r="B868" t="s">
        <v>1587</v>
      </c>
      <c r="C868" t="s">
        <v>1507</v>
      </c>
      <c r="D868" t="s">
        <v>1508</v>
      </c>
      <c r="F868" t="str">
        <f>"1612624138"</f>
        <v>1612624138</v>
      </c>
      <c r="G868" t="str">
        <f>"9781612624136"</f>
        <v>9781612624136</v>
      </c>
      <c r="H868">
        <v>3</v>
      </c>
      <c r="I868">
        <v>4.42</v>
      </c>
      <c r="J868" t="s">
        <v>847</v>
      </c>
      <c r="K868" t="s">
        <v>609</v>
      </c>
      <c r="L868">
        <v>208</v>
      </c>
      <c r="M868">
        <v>2013</v>
      </c>
      <c r="N868">
        <v>2013</v>
      </c>
      <c r="O868" s="1">
        <v>44750</v>
      </c>
      <c r="P868" s="1">
        <v>44750</v>
      </c>
      <c r="S868" t="s">
        <v>29</v>
      </c>
      <c r="W868">
        <v>1</v>
      </c>
      <c r="X868">
        <v>0</v>
      </c>
    </row>
    <row r="869" spans="1:24" x14ac:dyDescent="0.25">
      <c r="A869">
        <v>19081311</v>
      </c>
      <c r="B869" t="s">
        <v>1588</v>
      </c>
      <c r="C869" t="s">
        <v>1507</v>
      </c>
      <c r="D869" t="s">
        <v>1508</v>
      </c>
      <c r="F869" t="str">
        <f>"1612624944"</f>
        <v>1612624944</v>
      </c>
      <c r="G869" t="str">
        <f>"9781612624945"</f>
        <v>9781612624945</v>
      </c>
      <c r="H869">
        <v>3</v>
      </c>
      <c r="I869">
        <v>4.45</v>
      </c>
      <c r="J869" t="s">
        <v>847</v>
      </c>
      <c r="K869" t="s">
        <v>609</v>
      </c>
      <c r="L869">
        <v>208</v>
      </c>
      <c r="M869">
        <v>2013</v>
      </c>
      <c r="N869">
        <v>2012</v>
      </c>
      <c r="O869" s="1">
        <v>44750</v>
      </c>
      <c r="P869" s="1">
        <v>44750</v>
      </c>
      <c r="S869" t="s">
        <v>29</v>
      </c>
      <c r="W869">
        <v>1</v>
      </c>
      <c r="X869">
        <v>0</v>
      </c>
    </row>
    <row r="870" spans="1:24" x14ac:dyDescent="0.25">
      <c r="A870">
        <v>19081310</v>
      </c>
      <c r="B870" t="s">
        <v>1589</v>
      </c>
      <c r="C870" t="s">
        <v>1507</v>
      </c>
      <c r="D870" t="s">
        <v>1508</v>
      </c>
      <c r="F870" t="str">
        <f>"1612624936"</f>
        <v>1612624936</v>
      </c>
      <c r="G870" t="str">
        <f>"9781612624938"</f>
        <v>9781612624938</v>
      </c>
      <c r="H870">
        <v>4</v>
      </c>
      <c r="I870">
        <v>4.42</v>
      </c>
      <c r="J870" t="s">
        <v>847</v>
      </c>
      <c r="K870" t="s">
        <v>609</v>
      </c>
      <c r="L870">
        <v>208</v>
      </c>
      <c r="M870">
        <v>2013</v>
      </c>
      <c r="N870">
        <v>2012</v>
      </c>
      <c r="O870" s="1">
        <v>44750</v>
      </c>
      <c r="P870" s="1">
        <v>44750</v>
      </c>
      <c r="S870" t="s">
        <v>29</v>
      </c>
      <c r="W870">
        <v>1</v>
      </c>
      <c r="X870">
        <v>0</v>
      </c>
    </row>
    <row r="871" spans="1:24" x14ac:dyDescent="0.25">
      <c r="A871">
        <v>36124936</v>
      </c>
      <c r="B871" t="s">
        <v>1590</v>
      </c>
      <c r="C871" t="s">
        <v>516</v>
      </c>
      <c r="D871" t="s">
        <v>517</v>
      </c>
      <c r="F871" t="str">
        <f>"1501180983"</f>
        <v>1501180983</v>
      </c>
      <c r="G871" t="str">
        <f>"9781501180989"</f>
        <v>9781501180989</v>
      </c>
      <c r="H871">
        <v>5</v>
      </c>
      <c r="I871">
        <v>3.99</v>
      </c>
      <c r="J871" t="s">
        <v>228</v>
      </c>
      <c r="K871" t="s">
        <v>34</v>
      </c>
      <c r="L871">
        <v>561</v>
      </c>
      <c r="M871">
        <v>2018</v>
      </c>
      <c r="N871">
        <v>2018</v>
      </c>
      <c r="O871" s="1">
        <v>44750</v>
      </c>
      <c r="P871" s="1">
        <v>44746</v>
      </c>
      <c r="S871" t="s">
        <v>29</v>
      </c>
      <c r="W871">
        <v>1</v>
      </c>
      <c r="X871">
        <v>0</v>
      </c>
    </row>
    <row r="872" spans="1:24" x14ac:dyDescent="0.25">
      <c r="A872">
        <v>60778760</v>
      </c>
      <c r="B872" t="s">
        <v>1591</v>
      </c>
      <c r="C872" t="s">
        <v>1408</v>
      </c>
      <c r="D872" t="s">
        <v>1409</v>
      </c>
      <c r="F872" t="str">
        <f>""</f>
        <v/>
      </c>
      <c r="G872" t="str">
        <f>""</f>
        <v/>
      </c>
      <c r="H872">
        <v>0</v>
      </c>
      <c r="I872">
        <v>4.71</v>
      </c>
      <c r="L872">
        <v>600</v>
      </c>
      <c r="P872" s="1">
        <v>44749</v>
      </c>
      <c r="Q872" t="s">
        <v>35</v>
      </c>
      <c r="R872" t="s">
        <v>1592</v>
      </c>
      <c r="S872" t="s">
        <v>35</v>
      </c>
      <c r="W872">
        <v>0</v>
      </c>
      <c r="X872">
        <v>0</v>
      </c>
    </row>
    <row r="873" spans="1:24" x14ac:dyDescent="0.25">
      <c r="A873">
        <v>57965932</v>
      </c>
      <c r="B873" t="s">
        <v>1593</v>
      </c>
      <c r="C873" t="s">
        <v>1408</v>
      </c>
      <c r="D873" t="s">
        <v>1409</v>
      </c>
      <c r="F873" t="str">
        <f>""</f>
        <v/>
      </c>
      <c r="G873" t="str">
        <f>""</f>
        <v/>
      </c>
      <c r="H873">
        <v>0</v>
      </c>
      <c r="I873">
        <v>4.74</v>
      </c>
      <c r="L873">
        <v>600</v>
      </c>
      <c r="N873">
        <v>2022</v>
      </c>
      <c r="P873" s="1">
        <v>44749</v>
      </c>
      <c r="Q873" t="s">
        <v>35</v>
      </c>
      <c r="R873" t="s">
        <v>1594</v>
      </c>
      <c r="S873" t="s">
        <v>35</v>
      </c>
      <c r="W873">
        <v>0</v>
      </c>
      <c r="X873">
        <v>0</v>
      </c>
    </row>
    <row r="874" spans="1:24" x14ac:dyDescent="0.25">
      <c r="A874">
        <v>57454646</v>
      </c>
      <c r="B874" t="s">
        <v>1595</v>
      </c>
      <c r="C874" t="s">
        <v>1408</v>
      </c>
      <c r="D874" t="s">
        <v>1409</v>
      </c>
      <c r="E874" t="s">
        <v>1596</v>
      </c>
      <c r="F874" t="str">
        <f>""</f>
        <v/>
      </c>
      <c r="G874" t="str">
        <f>""</f>
        <v/>
      </c>
      <c r="H874">
        <v>0</v>
      </c>
      <c r="I874">
        <v>4.62</v>
      </c>
      <c r="K874" t="s">
        <v>133</v>
      </c>
      <c r="L874">
        <v>924</v>
      </c>
      <c r="M874">
        <v>2021</v>
      </c>
      <c r="P874" s="1">
        <v>44749</v>
      </c>
      <c r="Q874" t="s">
        <v>35</v>
      </c>
      <c r="R874" t="s">
        <v>1597</v>
      </c>
      <c r="S874" t="s">
        <v>35</v>
      </c>
      <c r="W874">
        <v>0</v>
      </c>
      <c r="X874">
        <v>0</v>
      </c>
    </row>
    <row r="875" spans="1:24" x14ac:dyDescent="0.25">
      <c r="A875">
        <v>46131068</v>
      </c>
      <c r="B875" t="s">
        <v>1598</v>
      </c>
      <c r="C875" t="s">
        <v>1408</v>
      </c>
      <c r="D875" t="s">
        <v>1409</v>
      </c>
      <c r="F875" t="str">
        <f>""</f>
        <v/>
      </c>
      <c r="G875" t="str">
        <f>""</f>
        <v/>
      </c>
      <c r="H875">
        <v>0</v>
      </c>
      <c r="I875">
        <v>4.42</v>
      </c>
      <c r="K875" t="s">
        <v>133</v>
      </c>
      <c r="L875">
        <v>597</v>
      </c>
      <c r="M875">
        <v>2019</v>
      </c>
      <c r="P875" s="1">
        <v>44749</v>
      </c>
      <c r="Q875" t="s">
        <v>35</v>
      </c>
      <c r="R875" t="s">
        <v>1599</v>
      </c>
      <c r="S875" t="s">
        <v>35</v>
      </c>
      <c r="W875">
        <v>0</v>
      </c>
      <c r="X875">
        <v>0</v>
      </c>
    </row>
    <row r="876" spans="1:24" x14ac:dyDescent="0.25">
      <c r="A876">
        <v>51233890</v>
      </c>
      <c r="B876" t="s">
        <v>1600</v>
      </c>
      <c r="C876" t="s">
        <v>1408</v>
      </c>
      <c r="D876" t="s">
        <v>1409</v>
      </c>
      <c r="F876" t="str">
        <f>""</f>
        <v/>
      </c>
      <c r="G876" t="str">
        <f>""</f>
        <v/>
      </c>
      <c r="H876">
        <v>0</v>
      </c>
      <c r="I876">
        <v>4.43</v>
      </c>
      <c r="K876" t="s">
        <v>133</v>
      </c>
      <c r="L876">
        <v>595</v>
      </c>
      <c r="M876">
        <v>2020</v>
      </c>
      <c r="P876" s="1">
        <v>44749</v>
      </c>
      <c r="Q876" t="s">
        <v>35</v>
      </c>
      <c r="R876" t="s">
        <v>1601</v>
      </c>
      <c r="S876" t="s">
        <v>35</v>
      </c>
      <c r="W876">
        <v>0</v>
      </c>
      <c r="X876">
        <v>0</v>
      </c>
    </row>
    <row r="877" spans="1:24" x14ac:dyDescent="0.25">
      <c r="A877">
        <v>19081308</v>
      </c>
      <c r="B877" t="s">
        <v>1602</v>
      </c>
      <c r="C877" t="s">
        <v>1507</v>
      </c>
      <c r="D877" t="s">
        <v>1508</v>
      </c>
      <c r="F877" t="str">
        <f>"1612624928"</f>
        <v>1612624928</v>
      </c>
      <c r="G877" t="str">
        <f>"9781612624921"</f>
        <v>9781612624921</v>
      </c>
      <c r="H877">
        <v>3</v>
      </c>
      <c r="I877">
        <v>4.4000000000000004</v>
      </c>
      <c r="J877" t="s">
        <v>847</v>
      </c>
      <c r="K877" t="s">
        <v>609</v>
      </c>
      <c r="L877">
        <v>208</v>
      </c>
      <c r="M877">
        <v>2013</v>
      </c>
      <c r="N877">
        <v>2012</v>
      </c>
      <c r="O877" s="1">
        <v>44749</v>
      </c>
      <c r="P877" s="1">
        <v>44749</v>
      </c>
      <c r="S877" t="s">
        <v>29</v>
      </c>
      <c r="W877">
        <v>1</v>
      </c>
      <c r="X877">
        <v>0</v>
      </c>
    </row>
    <row r="878" spans="1:24" x14ac:dyDescent="0.25">
      <c r="A878">
        <v>19058580</v>
      </c>
      <c r="B878" t="s">
        <v>1603</v>
      </c>
      <c r="C878" t="s">
        <v>1507</v>
      </c>
      <c r="D878" t="s">
        <v>1508</v>
      </c>
      <c r="F878" t="str">
        <f>"161262491X"</f>
        <v>161262491X</v>
      </c>
      <c r="G878" t="str">
        <f>"9781612624914"</f>
        <v>9781612624914</v>
      </c>
      <c r="H878">
        <v>3</v>
      </c>
      <c r="I878">
        <v>4.3899999999999997</v>
      </c>
      <c r="J878" t="s">
        <v>847</v>
      </c>
      <c r="K878" t="s">
        <v>609</v>
      </c>
      <c r="L878">
        <v>208</v>
      </c>
      <c r="M878">
        <v>2013</v>
      </c>
      <c r="N878">
        <v>2012</v>
      </c>
      <c r="O878" s="1">
        <v>44749</v>
      </c>
      <c r="P878" s="1">
        <v>44749</v>
      </c>
      <c r="S878" t="s">
        <v>29</v>
      </c>
      <c r="W878">
        <v>1</v>
      </c>
      <c r="X878">
        <v>0</v>
      </c>
    </row>
    <row r="879" spans="1:24" x14ac:dyDescent="0.25">
      <c r="A879">
        <v>19081291</v>
      </c>
      <c r="B879" t="s">
        <v>1604</v>
      </c>
      <c r="C879" t="s">
        <v>1507</v>
      </c>
      <c r="D879" t="s">
        <v>1508</v>
      </c>
      <c r="F879" t="str">
        <f>""</f>
        <v/>
      </c>
      <c r="G879" t="str">
        <f>"9781612624907"</f>
        <v>9781612624907</v>
      </c>
      <c r="H879">
        <v>3</v>
      </c>
      <c r="I879">
        <v>4.3899999999999997</v>
      </c>
      <c r="J879" t="s">
        <v>139</v>
      </c>
      <c r="K879" t="s">
        <v>133</v>
      </c>
      <c r="L879">
        <v>208</v>
      </c>
      <c r="M879">
        <v>2013</v>
      </c>
      <c r="N879">
        <v>2012</v>
      </c>
      <c r="O879" s="1">
        <v>44749</v>
      </c>
      <c r="P879" s="1">
        <v>44749</v>
      </c>
      <c r="S879" t="s">
        <v>29</v>
      </c>
      <c r="W879">
        <v>1</v>
      </c>
      <c r="X879">
        <v>0</v>
      </c>
    </row>
    <row r="880" spans="1:24" x14ac:dyDescent="0.25">
      <c r="A880">
        <v>18934953</v>
      </c>
      <c r="B880" t="s">
        <v>1605</v>
      </c>
      <c r="C880" t="s">
        <v>1507</v>
      </c>
      <c r="D880" t="s">
        <v>1508</v>
      </c>
      <c r="F880" t="str">
        <f>"1612624898"</f>
        <v>1612624898</v>
      </c>
      <c r="G880" t="str">
        <f>"9781612624891"</f>
        <v>9781612624891</v>
      </c>
      <c r="H880">
        <v>3</v>
      </c>
      <c r="I880">
        <v>4.41</v>
      </c>
      <c r="J880" t="s">
        <v>847</v>
      </c>
      <c r="K880" t="s">
        <v>609</v>
      </c>
      <c r="L880">
        <v>208</v>
      </c>
      <c r="M880">
        <v>2013</v>
      </c>
      <c r="N880">
        <v>2011</v>
      </c>
      <c r="O880" s="1">
        <v>44749</v>
      </c>
      <c r="P880" s="1">
        <v>44749</v>
      </c>
      <c r="S880" t="s">
        <v>29</v>
      </c>
      <c r="W880">
        <v>1</v>
      </c>
      <c r="X880">
        <v>0</v>
      </c>
    </row>
    <row r="881" spans="1:24" x14ac:dyDescent="0.25">
      <c r="A881">
        <v>19081307</v>
      </c>
      <c r="B881" t="s">
        <v>1606</v>
      </c>
      <c r="C881" t="s">
        <v>1507</v>
      </c>
      <c r="D881" t="s">
        <v>1508</v>
      </c>
      <c r="F881" t="str">
        <f>""</f>
        <v/>
      </c>
      <c r="G881" t="str">
        <f>""</f>
        <v/>
      </c>
      <c r="H881">
        <v>3</v>
      </c>
      <c r="I881">
        <v>4.41</v>
      </c>
      <c r="J881" t="s">
        <v>847</v>
      </c>
      <c r="K881" t="s">
        <v>133</v>
      </c>
      <c r="L881">
        <v>208</v>
      </c>
      <c r="M881">
        <v>2013</v>
      </c>
      <c r="N881">
        <v>2011</v>
      </c>
      <c r="O881" s="1">
        <v>44749</v>
      </c>
      <c r="P881" s="1">
        <v>44749</v>
      </c>
      <c r="S881" t="s">
        <v>29</v>
      </c>
      <c r="W881">
        <v>1</v>
      </c>
      <c r="X881">
        <v>0</v>
      </c>
    </row>
    <row r="882" spans="1:24" x14ac:dyDescent="0.25">
      <c r="A882">
        <v>19081306</v>
      </c>
      <c r="B882" t="s">
        <v>1607</v>
      </c>
      <c r="C882" t="s">
        <v>1507</v>
      </c>
      <c r="D882" t="s">
        <v>1508</v>
      </c>
      <c r="F882" t="str">
        <f>""</f>
        <v/>
      </c>
      <c r="G882" t="str">
        <f>""</f>
        <v/>
      </c>
      <c r="H882">
        <v>3</v>
      </c>
      <c r="I882">
        <v>4.3899999999999997</v>
      </c>
      <c r="J882" t="s">
        <v>847</v>
      </c>
      <c r="K882" t="s">
        <v>133</v>
      </c>
      <c r="L882">
        <v>208</v>
      </c>
      <c r="M882">
        <v>2013</v>
      </c>
      <c r="N882">
        <v>2011</v>
      </c>
      <c r="O882" s="1">
        <v>44749</v>
      </c>
      <c r="P882" s="1">
        <v>44749</v>
      </c>
      <c r="S882" t="s">
        <v>29</v>
      </c>
      <c r="W882">
        <v>1</v>
      </c>
      <c r="X882">
        <v>0</v>
      </c>
    </row>
    <row r="883" spans="1:24" x14ac:dyDescent="0.25">
      <c r="A883">
        <v>19081305</v>
      </c>
      <c r="B883" t="s">
        <v>1608</v>
      </c>
      <c r="C883" t="s">
        <v>1507</v>
      </c>
      <c r="D883" t="s">
        <v>1508</v>
      </c>
      <c r="F883" t="str">
        <f>""</f>
        <v/>
      </c>
      <c r="G883" t="str">
        <f>""</f>
        <v/>
      </c>
      <c r="H883">
        <v>3</v>
      </c>
      <c r="I883">
        <v>4.41</v>
      </c>
      <c r="J883" t="s">
        <v>847</v>
      </c>
      <c r="K883" t="s">
        <v>133</v>
      </c>
      <c r="L883">
        <v>192</v>
      </c>
      <c r="M883">
        <v>2013</v>
      </c>
      <c r="N883">
        <v>2011</v>
      </c>
      <c r="O883" s="1">
        <v>44749</v>
      </c>
      <c r="P883" s="1">
        <v>44749</v>
      </c>
      <c r="S883" t="s">
        <v>29</v>
      </c>
      <c r="W883">
        <v>1</v>
      </c>
      <c r="X883">
        <v>0</v>
      </c>
    </row>
    <row r="884" spans="1:24" x14ac:dyDescent="0.25">
      <c r="A884">
        <v>19081304</v>
      </c>
      <c r="B884" t="s">
        <v>1609</v>
      </c>
      <c r="C884" t="s">
        <v>1507</v>
      </c>
      <c r="D884" t="s">
        <v>1508</v>
      </c>
      <c r="F884" t="str">
        <f>""</f>
        <v/>
      </c>
      <c r="G884" t="str">
        <f>""</f>
        <v/>
      </c>
      <c r="H884">
        <v>3</v>
      </c>
      <c r="I884">
        <v>4.3600000000000003</v>
      </c>
      <c r="J884" t="s">
        <v>847</v>
      </c>
      <c r="K884" t="s">
        <v>133</v>
      </c>
      <c r="L884">
        <v>208</v>
      </c>
      <c r="M884">
        <v>2013</v>
      </c>
      <c r="N884">
        <v>2011</v>
      </c>
      <c r="O884" s="1">
        <v>44749</v>
      </c>
      <c r="P884" s="1">
        <v>44749</v>
      </c>
      <c r="S884" t="s">
        <v>29</v>
      </c>
      <c r="W884">
        <v>1</v>
      </c>
      <c r="X884">
        <v>0</v>
      </c>
    </row>
    <row r="885" spans="1:24" x14ac:dyDescent="0.25">
      <c r="A885">
        <v>19081303</v>
      </c>
      <c r="B885" t="s">
        <v>1610</v>
      </c>
      <c r="C885" t="s">
        <v>1507</v>
      </c>
      <c r="D885" t="s">
        <v>1508</v>
      </c>
      <c r="F885" t="str">
        <f>""</f>
        <v/>
      </c>
      <c r="G885" t="str">
        <f>""</f>
        <v/>
      </c>
      <c r="H885">
        <v>3</v>
      </c>
      <c r="I885">
        <v>4.41</v>
      </c>
      <c r="J885" t="s">
        <v>847</v>
      </c>
      <c r="K885" t="s">
        <v>133</v>
      </c>
      <c r="L885">
        <v>208</v>
      </c>
      <c r="M885">
        <v>2013</v>
      </c>
      <c r="N885">
        <v>2011</v>
      </c>
      <c r="O885" s="1">
        <v>44749</v>
      </c>
      <c r="P885" s="1">
        <v>44749</v>
      </c>
      <c r="S885" t="s">
        <v>29</v>
      </c>
      <c r="W885">
        <v>1</v>
      </c>
      <c r="X885">
        <v>0</v>
      </c>
    </row>
    <row r="886" spans="1:24" x14ac:dyDescent="0.25">
      <c r="A886">
        <v>19081295</v>
      </c>
      <c r="B886" t="s">
        <v>1611</v>
      </c>
      <c r="C886" t="s">
        <v>1507</v>
      </c>
      <c r="D886" t="s">
        <v>1508</v>
      </c>
      <c r="F886" t="str">
        <f>""</f>
        <v/>
      </c>
      <c r="G886" t="str">
        <f>""</f>
        <v/>
      </c>
      <c r="H886">
        <v>3</v>
      </c>
      <c r="I886">
        <v>4.41</v>
      </c>
      <c r="J886" t="s">
        <v>847</v>
      </c>
      <c r="K886" t="s">
        <v>133</v>
      </c>
      <c r="L886">
        <v>208</v>
      </c>
      <c r="M886">
        <v>2013</v>
      </c>
      <c r="N886">
        <v>2010</v>
      </c>
      <c r="O886" s="1">
        <v>44749</v>
      </c>
      <c r="P886" s="1">
        <v>44749</v>
      </c>
      <c r="S886" t="s">
        <v>29</v>
      </c>
      <c r="W886">
        <v>1</v>
      </c>
      <c r="X886">
        <v>0</v>
      </c>
    </row>
    <row r="887" spans="1:24" x14ac:dyDescent="0.25">
      <c r="A887">
        <v>19081299</v>
      </c>
      <c r="B887" t="s">
        <v>1612</v>
      </c>
      <c r="C887" t="s">
        <v>1507</v>
      </c>
      <c r="D887" t="s">
        <v>1508</v>
      </c>
      <c r="F887" t="str">
        <f>""</f>
        <v/>
      </c>
      <c r="G887" t="str">
        <f>""</f>
        <v/>
      </c>
      <c r="H887">
        <v>4</v>
      </c>
      <c r="I887">
        <v>4.3899999999999997</v>
      </c>
      <c r="J887" t="s">
        <v>847</v>
      </c>
      <c r="K887" t="s">
        <v>133</v>
      </c>
      <c r="L887">
        <v>208</v>
      </c>
      <c r="M887">
        <v>2013</v>
      </c>
      <c r="N887">
        <v>2010</v>
      </c>
      <c r="O887" s="1">
        <v>44749</v>
      </c>
      <c r="P887" s="1">
        <v>44749</v>
      </c>
      <c r="S887" t="s">
        <v>29</v>
      </c>
      <c r="W887">
        <v>1</v>
      </c>
      <c r="X887">
        <v>0</v>
      </c>
    </row>
    <row r="888" spans="1:24" x14ac:dyDescent="0.25">
      <c r="A888">
        <v>19081296</v>
      </c>
      <c r="B888" t="s">
        <v>1613</v>
      </c>
      <c r="C888" t="s">
        <v>1507</v>
      </c>
      <c r="D888" t="s">
        <v>1508</v>
      </c>
      <c r="F888" t="str">
        <f>""</f>
        <v/>
      </c>
      <c r="G888" t="str">
        <f>""</f>
        <v/>
      </c>
      <c r="H888">
        <v>4</v>
      </c>
      <c r="I888">
        <v>4.3899999999999997</v>
      </c>
      <c r="J888" t="s">
        <v>847</v>
      </c>
      <c r="K888" t="s">
        <v>133</v>
      </c>
      <c r="L888">
        <v>192</v>
      </c>
      <c r="M888">
        <v>2013</v>
      </c>
      <c r="N888">
        <v>2010</v>
      </c>
      <c r="O888" s="1">
        <v>44748</v>
      </c>
      <c r="P888" s="1">
        <v>44748</v>
      </c>
      <c r="S888" t="s">
        <v>29</v>
      </c>
      <c r="W888">
        <v>1</v>
      </c>
      <c r="X888">
        <v>0</v>
      </c>
    </row>
    <row r="889" spans="1:24" x14ac:dyDescent="0.25">
      <c r="A889">
        <v>19081297</v>
      </c>
      <c r="B889" t="s">
        <v>1614</v>
      </c>
      <c r="C889" t="s">
        <v>1507</v>
      </c>
      <c r="D889" t="s">
        <v>1508</v>
      </c>
      <c r="F889" t="str">
        <f>""</f>
        <v/>
      </c>
      <c r="G889" t="str">
        <f>""</f>
        <v/>
      </c>
      <c r="H889">
        <v>4</v>
      </c>
      <c r="I889">
        <v>4.3899999999999997</v>
      </c>
      <c r="J889" t="s">
        <v>847</v>
      </c>
      <c r="K889" t="s">
        <v>133</v>
      </c>
      <c r="L889">
        <v>208</v>
      </c>
      <c r="M889">
        <v>2013</v>
      </c>
      <c r="N889">
        <v>2010</v>
      </c>
      <c r="O889" s="1">
        <v>44748</v>
      </c>
      <c r="P889" s="1">
        <v>44748</v>
      </c>
      <c r="S889" t="s">
        <v>29</v>
      </c>
      <c r="W889">
        <v>1</v>
      </c>
      <c r="X889">
        <v>0</v>
      </c>
    </row>
    <row r="890" spans="1:24" x14ac:dyDescent="0.25">
      <c r="A890">
        <v>19081294</v>
      </c>
      <c r="B890" t="s">
        <v>1615</v>
      </c>
      <c r="C890" t="s">
        <v>1507</v>
      </c>
      <c r="D890" t="s">
        <v>1508</v>
      </c>
      <c r="F890" t="str">
        <f>""</f>
        <v/>
      </c>
      <c r="G890" t="str">
        <f>""</f>
        <v/>
      </c>
      <c r="H890">
        <v>4</v>
      </c>
      <c r="I890">
        <v>4.4000000000000004</v>
      </c>
      <c r="J890" t="s">
        <v>139</v>
      </c>
      <c r="K890" t="s">
        <v>133</v>
      </c>
      <c r="L890">
        <v>208</v>
      </c>
      <c r="M890">
        <v>2013</v>
      </c>
      <c r="N890">
        <v>2010</v>
      </c>
      <c r="O890" s="1">
        <v>44748</v>
      </c>
      <c r="P890" s="1">
        <v>44748</v>
      </c>
      <c r="S890" t="s">
        <v>29</v>
      </c>
      <c r="W890">
        <v>1</v>
      </c>
      <c r="X890">
        <v>0</v>
      </c>
    </row>
    <row r="891" spans="1:24" x14ac:dyDescent="0.25">
      <c r="A891">
        <v>19081300</v>
      </c>
      <c r="B891" t="s">
        <v>1616</v>
      </c>
      <c r="C891" t="s">
        <v>1507</v>
      </c>
      <c r="D891" t="s">
        <v>1508</v>
      </c>
      <c r="F891" t="str">
        <f>""</f>
        <v/>
      </c>
      <c r="G891" t="str">
        <f>""</f>
        <v/>
      </c>
      <c r="H891">
        <v>4</v>
      </c>
      <c r="I891">
        <v>4.41</v>
      </c>
      <c r="J891" t="s">
        <v>847</v>
      </c>
      <c r="K891" t="s">
        <v>133</v>
      </c>
      <c r="L891">
        <v>208</v>
      </c>
      <c r="M891">
        <v>2013</v>
      </c>
      <c r="N891">
        <v>2010</v>
      </c>
      <c r="O891" s="1">
        <v>44748</v>
      </c>
      <c r="P891" s="1">
        <v>44748</v>
      </c>
      <c r="S891" t="s">
        <v>29</v>
      </c>
      <c r="W891">
        <v>1</v>
      </c>
      <c r="X891">
        <v>0</v>
      </c>
    </row>
    <row r="892" spans="1:24" x14ac:dyDescent="0.25">
      <c r="A892">
        <v>19081301</v>
      </c>
      <c r="B892" t="s">
        <v>1617</v>
      </c>
      <c r="C892" t="s">
        <v>1507</v>
      </c>
      <c r="D892" t="s">
        <v>1508</v>
      </c>
      <c r="F892" t="str">
        <f>""</f>
        <v/>
      </c>
      <c r="G892" t="str">
        <f>""</f>
        <v/>
      </c>
      <c r="H892">
        <v>4</v>
      </c>
      <c r="I892">
        <v>4.45</v>
      </c>
      <c r="J892" t="s">
        <v>847</v>
      </c>
      <c r="K892" t="s">
        <v>133</v>
      </c>
      <c r="L892">
        <v>208</v>
      </c>
      <c r="M892">
        <v>2013</v>
      </c>
      <c r="N892">
        <v>2009</v>
      </c>
      <c r="O892" s="1">
        <v>44748</v>
      </c>
      <c r="P892" s="1">
        <v>44748</v>
      </c>
      <c r="S892" t="s">
        <v>29</v>
      </c>
      <c r="W892">
        <v>1</v>
      </c>
      <c r="X892">
        <v>0</v>
      </c>
    </row>
    <row r="893" spans="1:24" x14ac:dyDescent="0.25">
      <c r="A893">
        <v>19309764</v>
      </c>
      <c r="B893" t="s">
        <v>1618</v>
      </c>
      <c r="C893" t="s">
        <v>1507</v>
      </c>
      <c r="D893" t="s">
        <v>1508</v>
      </c>
      <c r="F893" t="str">
        <f>""</f>
        <v/>
      </c>
      <c r="G893" t="str">
        <f>""</f>
        <v/>
      </c>
      <c r="H893">
        <v>4</v>
      </c>
      <c r="I893">
        <v>4.4000000000000004</v>
      </c>
      <c r="J893" t="s">
        <v>847</v>
      </c>
      <c r="K893" t="s">
        <v>133</v>
      </c>
      <c r="L893">
        <v>208</v>
      </c>
      <c r="M893">
        <v>2013</v>
      </c>
      <c r="N893">
        <v>2009</v>
      </c>
      <c r="O893" s="1">
        <v>44748</v>
      </c>
      <c r="P893" s="1">
        <v>44748</v>
      </c>
      <c r="S893" t="s">
        <v>29</v>
      </c>
      <c r="W893">
        <v>1</v>
      </c>
      <c r="X893">
        <v>0</v>
      </c>
    </row>
    <row r="894" spans="1:24" x14ac:dyDescent="0.25">
      <c r="A894">
        <v>19268365</v>
      </c>
      <c r="B894" t="s">
        <v>1619</v>
      </c>
      <c r="C894" t="s">
        <v>1507</v>
      </c>
      <c r="D894" t="s">
        <v>1508</v>
      </c>
      <c r="F894" t="str">
        <f>""</f>
        <v/>
      </c>
      <c r="G894" t="str">
        <f>""</f>
        <v/>
      </c>
      <c r="H894">
        <v>4</v>
      </c>
      <c r="I894">
        <v>4.38</v>
      </c>
      <c r="J894" t="s">
        <v>847</v>
      </c>
      <c r="K894" t="s">
        <v>133</v>
      </c>
      <c r="L894">
        <v>208</v>
      </c>
      <c r="M894">
        <v>2013</v>
      </c>
      <c r="N894">
        <v>2009</v>
      </c>
      <c r="O894" s="1">
        <v>44748</v>
      </c>
      <c r="P894" s="1">
        <v>44748</v>
      </c>
      <c r="S894" t="s">
        <v>29</v>
      </c>
      <c r="W894">
        <v>1</v>
      </c>
      <c r="X894">
        <v>0</v>
      </c>
    </row>
    <row r="895" spans="1:24" x14ac:dyDescent="0.25">
      <c r="A895">
        <v>19341828</v>
      </c>
      <c r="B895" t="s">
        <v>1620</v>
      </c>
      <c r="C895" t="s">
        <v>1507</v>
      </c>
      <c r="D895" t="s">
        <v>1508</v>
      </c>
      <c r="F895" t="str">
        <f>""</f>
        <v/>
      </c>
      <c r="G895" t="str">
        <f>""</f>
        <v/>
      </c>
      <c r="H895">
        <v>4</v>
      </c>
      <c r="I895">
        <v>4.4400000000000004</v>
      </c>
      <c r="J895" t="s">
        <v>847</v>
      </c>
      <c r="K895" t="s">
        <v>133</v>
      </c>
      <c r="L895">
        <v>208</v>
      </c>
      <c r="M895">
        <v>2013</v>
      </c>
      <c r="N895">
        <v>2009</v>
      </c>
      <c r="O895" s="1">
        <v>44747</v>
      </c>
      <c r="P895" s="1">
        <v>44747</v>
      </c>
      <c r="S895" t="s">
        <v>29</v>
      </c>
      <c r="W895">
        <v>1</v>
      </c>
      <c r="X895">
        <v>0</v>
      </c>
    </row>
    <row r="896" spans="1:24" x14ac:dyDescent="0.25">
      <c r="A896">
        <v>19341824</v>
      </c>
      <c r="B896" t="s">
        <v>1621</v>
      </c>
      <c r="C896" t="s">
        <v>1507</v>
      </c>
      <c r="D896" t="s">
        <v>1508</v>
      </c>
      <c r="F896" t="str">
        <f>"1612624731"</f>
        <v>1612624731</v>
      </c>
      <c r="G896" t="str">
        <f>"9781612624730"</f>
        <v>9781612624730</v>
      </c>
      <c r="H896">
        <v>4</v>
      </c>
      <c r="I896">
        <v>4.46</v>
      </c>
      <c r="J896" t="s">
        <v>847</v>
      </c>
      <c r="K896" t="s">
        <v>609</v>
      </c>
      <c r="L896">
        <v>208</v>
      </c>
      <c r="M896">
        <v>2013</v>
      </c>
      <c r="N896">
        <v>2009</v>
      </c>
      <c r="O896" s="1">
        <v>44747</v>
      </c>
      <c r="P896" s="1">
        <v>44747</v>
      </c>
      <c r="S896" t="s">
        <v>29</v>
      </c>
      <c r="W896">
        <v>1</v>
      </c>
      <c r="X896">
        <v>0</v>
      </c>
    </row>
    <row r="897" spans="1:24" x14ac:dyDescent="0.25">
      <c r="A897">
        <v>35061864</v>
      </c>
      <c r="B897" t="s">
        <v>1622</v>
      </c>
      <c r="C897" t="s">
        <v>1507</v>
      </c>
      <c r="D897" t="s">
        <v>1508</v>
      </c>
      <c r="F897" t="str">
        <f>""</f>
        <v/>
      </c>
      <c r="G897" t="str">
        <f>""</f>
        <v/>
      </c>
      <c r="H897">
        <v>4</v>
      </c>
      <c r="I897">
        <v>4.4400000000000004</v>
      </c>
      <c r="J897" t="s">
        <v>139</v>
      </c>
      <c r="K897" t="s">
        <v>133</v>
      </c>
      <c r="L897">
        <v>208</v>
      </c>
      <c r="M897">
        <v>2013</v>
      </c>
      <c r="N897">
        <v>2008</v>
      </c>
      <c r="O897" s="1">
        <v>44747</v>
      </c>
      <c r="P897" s="1">
        <v>44747</v>
      </c>
      <c r="S897" t="s">
        <v>29</v>
      </c>
      <c r="W897">
        <v>1</v>
      </c>
      <c r="X897">
        <v>0</v>
      </c>
    </row>
    <row r="898" spans="1:24" x14ac:dyDescent="0.25">
      <c r="A898">
        <v>35080039</v>
      </c>
      <c r="B898" t="s">
        <v>1623</v>
      </c>
      <c r="C898" t="s">
        <v>1507</v>
      </c>
      <c r="D898" t="s">
        <v>1508</v>
      </c>
      <c r="F898" t="str">
        <f>""</f>
        <v/>
      </c>
      <c r="G898" t="str">
        <f>""</f>
        <v/>
      </c>
      <c r="H898">
        <v>4</v>
      </c>
      <c r="I898">
        <v>4.54</v>
      </c>
      <c r="J898" t="s">
        <v>139</v>
      </c>
      <c r="K898" t="s">
        <v>133</v>
      </c>
      <c r="L898">
        <v>208</v>
      </c>
      <c r="M898">
        <v>2013</v>
      </c>
      <c r="N898">
        <v>2008</v>
      </c>
      <c r="O898" s="1">
        <v>44747</v>
      </c>
      <c r="P898" s="1">
        <v>44747</v>
      </c>
      <c r="S898" t="s">
        <v>29</v>
      </c>
      <c r="W898">
        <v>1</v>
      </c>
      <c r="X898">
        <v>0</v>
      </c>
    </row>
    <row r="899" spans="1:24" x14ac:dyDescent="0.25">
      <c r="A899">
        <v>35070654</v>
      </c>
      <c r="B899" t="s">
        <v>1624</v>
      </c>
      <c r="C899" t="s">
        <v>1507</v>
      </c>
      <c r="D899" t="s">
        <v>1508</v>
      </c>
      <c r="F899" t="str">
        <f>""</f>
        <v/>
      </c>
      <c r="G899" t="str">
        <f>""</f>
        <v/>
      </c>
      <c r="H899">
        <v>4</v>
      </c>
      <c r="I899">
        <v>4.5</v>
      </c>
      <c r="J899" t="s">
        <v>139</v>
      </c>
      <c r="K899" t="s">
        <v>133</v>
      </c>
      <c r="L899">
        <v>208</v>
      </c>
      <c r="M899">
        <v>2013</v>
      </c>
      <c r="N899">
        <v>2008</v>
      </c>
      <c r="O899" s="1">
        <v>44747</v>
      </c>
      <c r="P899" s="1">
        <v>44747</v>
      </c>
      <c r="S899" t="s">
        <v>29</v>
      </c>
      <c r="W899">
        <v>1</v>
      </c>
      <c r="X899">
        <v>0</v>
      </c>
    </row>
    <row r="900" spans="1:24" x14ac:dyDescent="0.25">
      <c r="A900">
        <v>35076858</v>
      </c>
      <c r="B900" t="s">
        <v>1625</v>
      </c>
      <c r="C900" t="s">
        <v>1507</v>
      </c>
      <c r="D900" t="s">
        <v>1508</v>
      </c>
      <c r="F900" t="str">
        <f>""</f>
        <v/>
      </c>
      <c r="G900" t="str">
        <f>""</f>
        <v/>
      </c>
      <c r="H900">
        <v>4</v>
      </c>
      <c r="I900">
        <v>4.54</v>
      </c>
      <c r="J900" t="s">
        <v>139</v>
      </c>
      <c r="K900" t="s">
        <v>133</v>
      </c>
      <c r="L900">
        <v>208</v>
      </c>
      <c r="M900">
        <v>2013</v>
      </c>
      <c r="N900">
        <v>2008</v>
      </c>
      <c r="O900" s="1">
        <v>44747</v>
      </c>
      <c r="P900" s="1">
        <v>44747</v>
      </c>
      <c r="S900" t="s">
        <v>29</v>
      </c>
      <c r="W900">
        <v>1</v>
      </c>
      <c r="X900">
        <v>0</v>
      </c>
    </row>
    <row r="901" spans="1:24" x14ac:dyDescent="0.25">
      <c r="A901">
        <v>19239789</v>
      </c>
      <c r="B901" t="s">
        <v>1626</v>
      </c>
      <c r="C901" t="s">
        <v>1507</v>
      </c>
      <c r="D901" t="s">
        <v>1508</v>
      </c>
      <c r="F901" t="str">
        <f>"1612624685"</f>
        <v>1612624685</v>
      </c>
      <c r="G901" t="str">
        <f>"9781612624686"</f>
        <v>9781612624686</v>
      </c>
      <c r="H901">
        <v>4</v>
      </c>
      <c r="I901">
        <v>4.43</v>
      </c>
      <c r="J901" t="s">
        <v>847</v>
      </c>
      <c r="K901" t="s">
        <v>609</v>
      </c>
      <c r="L901">
        <v>208</v>
      </c>
      <c r="M901">
        <v>2013</v>
      </c>
      <c r="N901">
        <v>2008</v>
      </c>
      <c r="O901" s="1">
        <v>44747</v>
      </c>
      <c r="P901" s="1">
        <v>44747</v>
      </c>
      <c r="S901" t="s">
        <v>29</v>
      </c>
      <c r="W901">
        <v>1</v>
      </c>
      <c r="X901">
        <v>0</v>
      </c>
    </row>
    <row r="902" spans="1:24" x14ac:dyDescent="0.25">
      <c r="A902">
        <v>19227612</v>
      </c>
      <c r="B902" t="s">
        <v>1627</v>
      </c>
      <c r="C902" t="s">
        <v>1507</v>
      </c>
      <c r="D902" t="s">
        <v>1508</v>
      </c>
      <c r="F902" t="str">
        <f>""</f>
        <v/>
      </c>
      <c r="G902" t="str">
        <f>""</f>
        <v/>
      </c>
      <c r="H902">
        <v>4</v>
      </c>
      <c r="I902">
        <v>4.5</v>
      </c>
      <c r="J902" t="s">
        <v>139</v>
      </c>
      <c r="K902" t="s">
        <v>133</v>
      </c>
      <c r="L902">
        <v>208</v>
      </c>
      <c r="M902">
        <v>2013</v>
      </c>
      <c r="N902">
        <v>2008</v>
      </c>
      <c r="O902" s="1">
        <v>44747</v>
      </c>
      <c r="P902" s="1">
        <v>44747</v>
      </c>
      <c r="S902" t="s">
        <v>29</v>
      </c>
      <c r="W902">
        <v>1</v>
      </c>
      <c r="X902">
        <v>0</v>
      </c>
    </row>
    <row r="903" spans="1:24" x14ac:dyDescent="0.25">
      <c r="A903">
        <v>35066652</v>
      </c>
      <c r="B903" t="s">
        <v>1628</v>
      </c>
      <c r="C903" t="s">
        <v>1507</v>
      </c>
      <c r="D903" t="s">
        <v>1508</v>
      </c>
      <c r="F903" t="str">
        <f>""</f>
        <v/>
      </c>
      <c r="G903" t="str">
        <f>""</f>
        <v/>
      </c>
      <c r="H903">
        <v>4</v>
      </c>
      <c r="I903">
        <v>4.42</v>
      </c>
      <c r="J903" t="s">
        <v>139</v>
      </c>
      <c r="K903" t="s">
        <v>133</v>
      </c>
      <c r="L903">
        <v>208</v>
      </c>
      <c r="M903">
        <v>2013</v>
      </c>
      <c r="N903">
        <v>2007</v>
      </c>
      <c r="O903" s="1">
        <v>44747</v>
      </c>
      <c r="P903" s="1">
        <v>44747</v>
      </c>
      <c r="S903" t="s">
        <v>29</v>
      </c>
      <c r="W903">
        <v>1</v>
      </c>
      <c r="X903">
        <v>0</v>
      </c>
    </row>
    <row r="904" spans="1:24" x14ac:dyDescent="0.25">
      <c r="A904">
        <v>27218109</v>
      </c>
      <c r="B904" t="s">
        <v>1629</v>
      </c>
      <c r="C904" t="s">
        <v>1630</v>
      </c>
      <c r="D904" t="s">
        <v>1631</v>
      </c>
      <c r="E904" t="s">
        <v>1632</v>
      </c>
      <c r="F904" t="str">
        <f>""</f>
        <v/>
      </c>
      <c r="G904" t="str">
        <f>""</f>
        <v/>
      </c>
      <c r="H904">
        <v>5</v>
      </c>
      <c r="I904">
        <v>4.18</v>
      </c>
      <c r="J904" t="s">
        <v>1633</v>
      </c>
      <c r="K904" t="s">
        <v>133</v>
      </c>
      <c r="L904">
        <v>24</v>
      </c>
      <c r="M904">
        <v>2015</v>
      </c>
      <c r="N904">
        <v>2015</v>
      </c>
      <c r="O904" s="1">
        <v>44747</v>
      </c>
      <c r="P904" s="1">
        <v>44747</v>
      </c>
      <c r="S904" t="s">
        <v>29</v>
      </c>
      <c r="W904">
        <v>1</v>
      </c>
      <c r="X904">
        <v>0</v>
      </c>
    </row>
    <row r="905" spans="1:24" x14ac:dyDescent="0.25">
      <c r="A905">
        <v>35076851</v>
      </c>
      <c r="B905" t="s">
        <v>1634</v>
      </c>
      <c r="C905" t="s">
        <v>1507</v>
      </c>
      <c r="D905" t="s">
        <v>1508</v>
      </c>
      <c r="F905" t="str">
        <f>""</f>
        <v/>
      </c>
      <c r="G905" t="str">
        <f>""</f>
        <v/>
      </c>
      <c r="H905">
        <v>5</v>
      </c>
      <c r="I905">
        <v>4.41</v>
      </c>
      <c r="J905" t="s">
        <v>139</v>
      </c>
      <c r="K905" t="s">
        <v>133</v>
      </c>
      <c r="L905">
        <v>208</v>
      </c>
      <c r="M905">
        <v>2013</v>
      </c>
      <c r="O905" s="1">
        <v>44747</v>
      </c>
      <c r="P905" s="1">
        <v>44747</v>
      </c>
      <c r="S905" t="s">
        <v>29</v>
      </c>
      <c r="W905">
        <v>1</v>
      </c>
      <c r="X905">
        <v>0</v>
      </c>
    </row>
    <row r="906" spans="1:24" x14ac:dyDescent="0.25">
      <c r="A906">
        <v>18924344</v>
      </c>
      <c r="B906" t="s">
        <v>1635</v>
      </c>
      <c r="C906" t="s">
        <v>1507</v>
      </c>
      <c r="D906" t="s">
        <v>1508</v>
      </c>
      <c r="F906" t="str">
        <f>"1612624642"</f>
        <v>1612624642</v>
      </c>
      <c r="G906" t="str">
        <f>"9781612624648"</f>
        <v>9781612624648</v>
      </c>
      <c r="H906">
        <v>5</v>
      </c>
      <c r="I906">
        <v>4.4400000000000004</v>
      </c>
      <c r="J906" t="s">
        <v>847</v>
      </c>
      <c r="K906" t="s">
        <v>609</v>
      </c>
      <c r="L906">
        <v>208</v>
      </c>
      <c r="M906">
        <v>2013</v>
      </c>
      <c r="N906">
        <v>2007</v>
      </c>
      <c r="O906" s="1">
        <v>44747</v>
      </c>
      <c r="P906" s="1">
        <v>44747</v>
      </c>
      <c r="S906" t="s">
        <v>29</v>
      </c>
      <c r="W906">
        <v>1</v>
      </c>
      <c r="X906">
        <v>0</v>
      </c>
    </row>
    <row r="907" spans="1:24" x14ac:dyDescent="0.25">
      <c r="A907">
        <v>27218107</v>
      </c>
      <c r="B907" t="s">
        <v>1636</v>
      </c>
      <c r="C907" t="s">
        <v>1630</v>
      </c>
      <c r="D907" t="s">
        <v>1631</v>
      </c>
      <c r="E907" t="s">
        <v>1632</v>
      </c>
      <c r="F907" t="str">
        <f>""</f>
        <v/>
      </c>
      <c r="G907" t="str">
        <f>""</f>
        <v/>
      </c>
      <c r="H907">
        <v>5</v>
      </c>
      <c r="I907">
        <v>4.12</v>
      </c>
      <c r="J907" t="s">
        <v>1633</v>
      </c>
      <c r="K907" t="s">
        <v>133</v>
      </c>
      <c r="L907">
        <v>24</v>
      </c>
      <c r="M907">
        <v>2015</v>
      </c>
      <c r="N907">
        <v>2015</v>
      </c>
      <c r="O907" s="1">
        <v>44747</v>
      </c>
      <c r="P907" s="1">
        <v>44746</v>
      </c>
      <c r="S907" t="s">
        <v>29</v>
      </c>
      <c r="W907">
        <v>1</v>
      </c>
      <c r="X907">
        <v>0</v>
      </c>
    </row>
    <row r="908" spans="1:24" x14ac:dyDescent="0.25">
      <c r="A908">
        <v>35059628</v>
      </c>
      <c r="B908" t="s">
        <v>1637</v>
      </c>
      <c r="C908" t="s">
        <v>1507</v>
      </c>
      <c r="D908" t="s">
        <v>1508</v>
      </c>
      <c r="F908" t="str">
        <f>""</f>
        <v/>
      </c>
      <c r="G908" t="str">
        <f>""</f>
        <v/>
      </c>
      <c r="H908">
        <v>5</v>
      </c>
      <c r="I908">
        <v>4.4400000000000004</v>
      </c>
      <c r="J908" t="s">
        <v>139</v>
      </c>
      <c r="K908" t="s">
        <v>133</v>
      </c>
      <c r="L908">
        <v>208</v>
      </c>
      <c r="M908">
        <v>2013</v>
      </c>
      <c r="N908">
        <v>2007</v>
      </c>
      <c r="O908" s="1">
        <v>44747</v>
      </c>
      <c r="P908" s="1">
        <v>44747</v>
      </c>
      <c r="S908" t="s">
        <v>29</v>
      </c>
      <c r="W908">
        <v>1</v>
      </c>
      <c r="X908">
        <v>0</v>
      </c>
    </row>
    <row r="909" spans="1:24" x14ac:dyDescent="0.25">
      <c r="A909">
        <v>34340415</v>
      </c>
      <c r="B909" t="s">
        <v>1638</v>
      </c>
      <c r="C909" t="s">
        <v>1507</v>
      </c>
      <c r="D909" t="s">
        <v>1508</v>
      </c>
      <c r="F909" t="str">
        <f>""</f>
        <v/>
      </c>
      <c r="G909" t="str">
        <f>""</f>
        <v/>
      </c>
      <c r="H909">
        <v>5</v>
      </c>
      <c r="I909">
        <v>4.37</v>
      </c>
      <c r="J909" t="s">
        <v>847</v>
      </c>
      <c r="K909" t="s">
        <v>133</v>
      </c>
      <c r="L909">
        <v>210</v>
      </c>
      <c r="M909">
        <v>2013</v>
      </c>
      <c r="N909">
        <v>2006</v>
      </c>
      <c r="O909" s="1">
        <v>44745</v>
      </c>
      <c r="P909" s="1">
        <v>44745</v>
      </c>
      <c r="S909" t="s">
        <v>29</v>
      </c>
      <c r="W909">
        <v>1</v>
      </c>
      <c r="X909">
        <v>0</v>
      </c>
    </row>
    <row r="910" spans="1:24" x14ac:dyDescent="0.25">
      <c r="A910">
        <v>35076846</v>
      </c>
      <c r="B910" t="s">
        <v>1639</v>
      </c>
      <c r="C910" t="s">
        <v>1507</v>
      </c>
      <c r="D910" t="s">
        <v>1508</v>
      </c>
      <c r="F910" t="str">
        <f>""</f>
        <v/>
      </c>
      <c r="G910" t="str">
        <f>""</f>
        <v/>
      </c>
      <c r="H910">
        <v>4</v>
      </c>
      <c r="I910">
        <v>4.42</v>
      </c>
      <c r="J910" t="s">
        <v>139</v>
      </c>
      <c r="K910" t="s">
        <v>133</v>
      </c>
      <c r="L910">
        <v>208</v>
      </c>
      <c r="M910">
        <v>2013</v>
      </c>
      <c r="N910">
        <v>2007</v>
      </c>
      <c r="O910" s="1">
        <v>44746</v>
      </c>
      <c r="P910" s="1">
        <v>44746</v>
      </c>
      <c r="S910" t="s">
        <v>29</v>
      </c>
      <c r="W910">
        <v>1</v>
      </c>
      <c r="X910">
        <v>0</v>
      </c>
    </row>
    <row r="911" spans="1:24" x14ac:dyDescent="0.25">
      <c r="A911">
        <v>18849475</v>
      </c>
      <c r="B911" t="s">
        <v>1640</v>
      </c>
      <c r="C911" t="s">
        <v>1507</v>
      </c>
      <c r="D911" t="s">
        <v>1508</v>
      </c>
      <c r="F911" t="str">
        <f>"1612624618"</f>
        <v>1612624618</v>
      </c>
      <c r="G911" t="str">
        <f>"9781612624617"</f>
        <v>9781612624617</v>
      </c>
      <c r="H911">
        <v>5</v>
      </c>
      <c r="I911">
        <v>4.3899999999999997</v>
      </c>
      <c r="J911" t="s">
        <v>847</v>
      </c>
      <c r="K911" t="s">
        <v>609</v>
      </c>
      <c r="L911">
        <v>208</v>
      </c>
      <c r="M911">
        <v>2013</v>
      </c>
      <c r="N911">
        <v>2007</v>
      </c>
      <c r="O911" s="1">
        <v>44746</v>
      </c>
      <c r="P911" s="1">
        <v>44746</v>
      </c>
      <c r="S911" t="s">
        <v>29</v>
      </c>
      <c r="W911">
        <v>1</v>
      </c>
      <c r="X911">
        <v>0</v>
      </c>
    </row>
    <row r="912" spans="1:24" x14ac:dyDescent="0.25">
      <c r="A912">
        <v>27218105</v>
      </c>
      <c r="B912" t="s">
        <v>1641</v>
      </c>
      <c r="C912" t="s">
        <v>1630</v>
      </c>
      <c r="D912" t="s">
        <v>1631</v>
      </c>
      <c r="E912" t="s">
        <v>1632</v>
      </c>
      <c r="F912" t="str">
        <f>""</f>
        <v/>
      </c>
      <c r="G912" t="str">
        <f>""</f>
        <v/>
      </c>
      <c r="H912">
        <v>5</v>
      </c>
      <c r="I912">
        <v>4.09</v>
      </c>
      <c r="J912" t="s">
        <v>1633</v>
      </c>
      <c r="K912" t="s">
        <v>133</v>
      </c>
      <c r="L912">
        <v>24</v>
      </c>
      <c r="M912">
        <v>2015</v>
      </c>
      <c r="N912">
        <v>2015</v>
      </c>
      <c r="O912" s="1">
        <v>44746</v>
      </c>
      <c r="P912" s="1">
        <v>44746</v>
      </c>
      <c r="S912" t="s">
        <v>29</v>
      </c>
      <c r="W912">
        <v>1</v>
      </c>
      <c r="X912">
        <v>0</v>
      </c>
    </row>
    <row r="913" spans="1:24" x14ac:dyDescent="0.25">
      <c r="A913">
        <v>27218103</v>
      </c>
      <c r="B913" t="s">
        <v>1642</v>
      </c>
      <c r="C913" t="s">
        <v>1630</v>
      </c>
      <c r="D913" t="s">
        <v>1631</v>
      </c>
      <c r="E913" t="s">
        <v>1632</v>
      </c>
      <c r="F913" t="str">
        <f>""</f>
        <v/>
      </c>
      <c r="G913" t="str">
        <f>""</f>
        <v/>
      </c>
      <c r="H913">
        <v>5</v>
      </c>
      <c r="I913">
        <v>4.07</v>
      </c>
      <c r="J913" t="s">
        <v>1633</v>
      </c>
      <c r="K913" t="s">
        <v>133</v>
      </c>
      <c r="L913">
        <v>24</v>
      </c>
      <c r="M913">
        <v>2015</v>
      </c>
      <c r="N913">
        <v>2015</v>
      </c>
      <c r="O913" s="1">
        <v>44746</v>
      </c>
      <c r="P913" s="1">
        <v>44745</v>
      </c>
      <c r="S913" t="s">
        <v>29</v>
      </c>
      <c r="W913">
        <v>1</v>
      </c>
      <c r="X913">
        <v>0</v>
      </c>
    </row>
    <row r="914" spans="1:24" x14ac:dyDescent="0.25">
      <c r="A914">
        <v>32418</v>
      </c>
      <c r="B914" t="s">
        <v>1643</v>
      </c>
      <c r="C914" t="s">
        <v>816</v>
      </c>
      <c r="D914" t="s">
        <v>817</v>
      </c>
      <c r="F914" t="str">
        <f>""</f>
        <v/>
      </c>
      <c r="G914" t="str">
        <f>""</f>
        <v/>
      </c>
      <c r="H914">
        <v>0</v>
      </c>
      <c r="I914">
        <v>3.8</v>
      </c>
      <c r="J914" t="s">
        <v>1644</v>
      </c>
      <c r="K914" t="s">
        <v>28</v>
      </c>
      <c r="L914">
        <v>564</v>
      </c>
      <c r="M914">
        <v>2000</v>
      </c>
      <c r="N914">
        <v>1999</v>
      </c>
      <c r="P914" s="1">
        <v>44746</v>
      </c>
      <c r="Q914" t="s">
        <v>35</v>
      </c>
      <c r="R914" t="s">
        <v>1645</v>
      </c>
      <c r="S914" t="s">
        <v>35</v>
      </c>
      <c r="W914">
        <v>0</v>
      </c>
      <c r="X914">
        <v>0</v>
      </c>
    </row>
    <row r="915" spans="1:24" x14ac:dyDescent="0.25">
      <c r="A915">
        <v>32416</v>
      </c>
      <c r="B915" t="s">
        <v>1646</v>
      </c>
      <c r="C915" t="s">
        <v>816</v>
      </c>
      <c r="D915" t="s">
        <v>817</v>
      </c>
      <c r="F915" t="str">
        <f>"0385339410"</f>
        <v>0385339410</v>
      </c>
      <c r="G915" t="str">
        <f>"9780385339414"</f>
        <v>9780385339414</v>
      </c>
      <c r="H915">
        <v>0</v>
      </c>
      <c r="I915">
        <v>3.55</v>
      </c>
      <c r="J915" t="s">
        <v>303</v>
      </c>
      <c r="K915" t="s">
        <v>34</v>
      </c>
      <c r="L915">
        <v>323</v>
      </c>
      <c r="M915">
        <v>2007</v>
      </c>
      <c r="N915">
        <v>2006</v>
      </c>
      <c r="P915" s="1">
        <v>44746</v>
      </c>
      <c r="Q915" t="s">
        <v>35</v>
      </c>
      <c r="R915" t="s">
        <v>1647</v>
      </c>
      <c r="S915" t="s">
        <v>35</v>
      </c>
      <c r="W915">
        <v>0</v>
      </c>
      <c r="X915">
        <v>0</v>
      </c>
    </row>
    <row r="916" spans="1:24" x14ac:dyDescent="0.25">
      <c r="A916">
        <v>23807</v>
      </c>
      <c r="B916" t="s">
        <v>1648</v>
      </c>
      <c r="C916" t="s">
        <v>816</v>
      </c>
      <c r="D916" t="s">
        <v>817</v>
      </c>
      <c r="F916" t="str">
        <f>""</f>
        <v/>
      </c>
      <c r="G916" t="str">
        <f>""</f>
        <v/>
      </c>
      <c r="H916">
        <v>0</v>
      </c>
      <c r="I916">
        <v>4.2300000000000004</v>
      </c>
      <c r="J916" t="s">
        <v>1649</v>
      </c>
      <c r="K916" t="s">
        <v>28</v>
      </c>
      <c r="L916">
        <v>421</v>
      </c>
      <c r="M916">
        <v>2002</v>
      </c>
      <c r="N916">
        <v>1988</v>
      </c>
      <c r="P916" s="1">
        <v>44746</v>
      </c>
      <c r="Q916" t="s">
        <v>35</v>
      </c>
      <c r="R916" t="s">
        <v>1650</v>
      </c>
      <c r="S916" t="s">
        <v>35</v>
      </c>
      <c r="W916">
        <v>0</v>
      </c>
      <c r="X916">
        <v>0</v>
      </c>
    </row>
    <row r="917" spans="1:24" x14ac:dyDescent="0.25">
      <c r="A917">
        <v>27110317</v>
      </c>
      <c r="B917" t="s">
        <v>1651</v>
      </c>
      <c r="C917" t="s">
        <v>1630</v>
      </c>
      <c r="D917" t="s">
        <v>1631</v>
      </c>
      <c r="E917" t="s">
        <v>1632</v>
      </c>
      <c r="F917" t="str">
        <f>""</f>
        <v/>
      </c>
      <c r="G917" t="str">
        <f>""</f>
        <v/>
      </c>
      <c r="H917">
        <v>5</v>
      </c>
      <c r="I917">
        <v>4.13</v>
      </c>
      <c r="J917" t="s">
        <v>1633</v>
      </c>
      <c r="K917" t="s">
        <v>133</v>
      </c>
      <c r="L917">
        <v>24</v>
      </c>
      <c r="M917">
        <v>2015</v>
      </c>
      <c r="N917">
        <v>2015</v>
      </c>
      <c r="O917" s="1">
        <v>44745</v>
      </c>
      <c r="P917" s="1">
        <v>44744</v>
      </c>
      <c r="S917" t="s">
        <v>29</v>
      </c>
      <c r="W917">
        <v>1</v>
      </c>
      <c r="X917">
        <v>0</v>
      </c>
    </row>
    <row r="918" spans="1:24" x14ac:dyDescent="0.25">
      <c r="A918">
        <v>27390299</v>
      </c>
      <c r="B918" t="s">
        <v>1652</v>
      </c>
      <c r="C918" t="s">
        <v>1630</v>
      </c>
      <c r="D918" t="s">
        <v>1631</v>
      </c>
      <c r="E918" t="s">
        <v>1632</v>
      </c>
      <c r="F918" t="str">
        <f>""</f>
        <v/>
      </c>
      <c r="G918" t="str">
        <f>""</f>
        <v/>
      </c>
      <c r="H918">
        <v>5</v>
      </c>
      <c r="I918">
        <v>4.1900000000000004</v>
      </c>
      <c r="J918" t="s">
        <v>1633</v>
      </c>
      <c r="K918" t="s">
        <v>133</v>
      </c>
      <c r="L918">
        <v>24</v>
      </c>
      <c r="M918">
        <v>2015</v>
      </c>
      <c r="N918">
        <v>2014</v>
      </c>
      <c r="O918" s="1">
        <v>44744</v>
      </c>
      <c r="P918" s="1">
        <v>44744</v>
      </c>
      <c r="S918" t="s">
        <v>29</v>
      </c>
      <c r="W918">
        <v>1</v>
      </c>
      <c r="X918">
        <v>0</v>
      </c>
    </row>
    <row r="919" spans="1:24" x14ac:dyDescent="0.25">
      <c r="A919">
        <v>28120508</v>
      </c>
      <c r="B919" t="s">
        <v>1653</v>
      </c>
      <c r="C919" t="s">
        <v>1630</v>
      </c>
      <c r="D919" t="s">
        <v>1631</v>
      </c>
      <c r="E919" t="s">
        <v>1632</v>
      </c>
      <c r="F919" t="str">
        <f>""</f>
        <v/>
      </c>
      <c r="G919" t="str">
        <f>""</f>
        <v/>
      </c>
      <c r="H919">
        <v>5</v>
      </c>
      <c r="I919">
        <v>4.1500000000000004</v>
      </c>
      <c r="J919" t="s">
        <v>1633</v>
      </c>
      <c r="K919" t="s">
        <v>133</v>
      </c>
      <c r="L919">
        <v>24</v>
      </c>
      <c r="M919">
        <v>2015</v>
      </c>
      <c r="N919">
        <v>2014</v>
      </c>
      <c r="O919" s="1">
        <v>44744</v>
      </c>
      <c r="P919" s="1">
        <v>44744</v>
      </c>
      <c r="S919" t="s">
        <v>29</v>
      </c>
      <c r="W919">
        <v>1</v>
      </c>
      <c r="X919">
        <v>0</v>
      </c>
    </row>
    <row r="920" spans="1:24" x14ac:dyDescent="0.25">
      <c r="A920">
        <v>27396280</v>
      </c>
      <c r="B920" t="s">
        <v>1654</v>
      </c>
      <c r="C920" t="s">
        <v>1630</v>
      </c>
      <c r="D920" t="s">
        <v>1631</v>
      </c>
      <c r="E920" t="s">
        <v>1632</v>
      </c>
      <c r="F920" t="str">
        <f>""</f>
        <v/>
      </c>
      <c r="G920" t="str">
        <f>""</f>
        <v/>
      </c>
      <c r="H920">
        <v>5</v>
      </c>
      <c r="I920">
        <v>4.12</v>
      </c>
      <c r="J920" t="s">
        <v>1633</v>
      </c>
      <c r="K920" t="s">
        <v>133</v>
      </c>
      <c r="L920">
        <v>24</v>
      </c>
      <c r="M920">
        <v>2015</v>
      </c>
      <c r="N920">
        <v>2014</v>
      </c>
      <c r="O920" s="1">
        <v>44744</v>
      </c>
      <c r="P920" s="1">
        <v>44744</v>
      </c>
      <c r="S920" t="s">
        <v>29</v>
      </c>
      <c r="W920">
        <v>1</v>
      </c>
      <c r="X920">
        <v>0</v>
      </c>
    </row>
    <row r="921" spans="1:24" x14ac:dyDescent="0.25">
      <c r="A921">
        <v>28004356</v>
      </c>
      <c r="B921" t="s">
        <v>1655</v>
      </c>
      <c r="C921" t="s">
        <v>1630</v>
      </c>
      <c r="D921" t="s">
        <v>1631</v>
      </c>
      <c r="E921" t="s">
        <v>1632</v>
      </c>
      <c r="F921" t="str">
        <f>""</f>
        <v/>
      </c>
      <c r="G921" t="str">
        <f>""</f>
        <v/>
      </c>
      <c r="H921">
        <v>5</v>
      </c>
      <c r="I921">
        <v>4.18</v>
      </c>
      <c r="J921" t="s">
        <v>1633</v>
      </c>
      <c r="K921" t="s">
        <v>133</v>
      </c>
      <c r="L921">
        <v>24</v>
      </c>
      <c r="M921">
        <v>2015</v>
      </c>
      <c r="N921">
        <v>2013</v>
      </c>
      <c r="O921" s="1">
        <v>44744</v>
      </c>
      <c r="P921" s="1">
        <v>44744</v>
      </c>
      <c r="S921" t="s">
        <v>29</v>
      </c>
      <c r="W921">
        <v>1</v>
      </c>
      <c r="X921">
        <v>0</v>
      </c>
    </row>
    <row r="922" spans="1:24" x14ac:dyDescent="0.25">
      <c r="A922">
        <v>27266927</v>
      </c>
      <c r="B922" t="s">
        <v>1656</v>
      </c>
      <c r="C922" t="s">
        <v>1630</v>
      </c>
      <c r="D922" t="s">
        <v>1631</v>
      </c>
      <c r="E922" t="s">
        <v>1632</v>
      </c>
      <c r="F922" t="str">
        <f>""</f>
        <v/>
      </c>
      <c r="G922" t="str">
        <f>""</f>
        <v/>
      </c>
      <c r="H922">
        <v>5</v>
      </c>
      <c r="I922">
        <v>4.1500000000000004</v>
      </c>
      <c r="J922" t="s">
        <v>1633</v>
      </c>
      <c r="K922" t="s">
        <v>133</v>
      </c>
      <c r="L922">
        <v>24</v>
      </c>
      <c r="M922">
        <v>2015</v>
      </c>
      <c r="O922" s="1">
        <v>44744</v>
      </c>
      <c r="P922" s="1">
        <v>44744</v>
      </c>
      <c r="S922" t="s">
        <v>29</v>
      </c>
      <c r="W922">
        <v>1</v>
      </c>
      <c r="X922">
        <v>0</v>
      </c>
    </row>
    <row r="923" spans="1:24" x14ac:dyDescent="0.25">
      <c r="A923">
        <v>34002132</v>
      </c>
      <c r="B923" t="s">
        <v>1657</v>
      </c>
      <c r="C923" t="s">
        <v>160</v>
      </c>
      <c r="D923" t="s">
        <v>161</v>
      </c>
      <c r="F923" t="str">
        <f>"076532637X"</f>
        <v>076532637X</v>
      </c>
      <c r="G923" t="str">
        <f>"9780765326379"</f>
        <v>9780765326379</v>
      </c>
      <c r="H923">
        <v>5</v>
      </c>
      <c r="I923">
        <v>4.6100000000000003</v>
      </c>
      <c r="J923" t="s">
        <v>162</v>
      </c>
      <c r="K923" t="s">
        <v>34</v>
      </c>
      <c r="L923">
        <v>1248</v>
      </c>
      <c r="M923">
        <v>2017</v>
      </c>
      <c r="N923">
        <v>2017</v>
      </c>
      <c r="O923" s="1">
        <v>44744</v>
      </c>
      <c r="P923" s="1">
        <v>44464</v>
      </c>
      <c r="S923" t="s">
        <v>29</v>
      </c>
      <c r="W923">
        <v>1</v>
      </c>
      <c r="X923">
        <v>0</v>
      </c>
    </row>
    <row r="924" spans="1:24" x14ac:dyDescent="0.25">
      <c r="A924">
        <v>56304131</v>
      </c>
      <c r="B924" t="s">
        <v>1658</v>
      </c>
      <c r="C924" t="s">
        <v>1659</v>
      </c>
      <c r="D924" t="s">
        <v>1660</v>
      </c>
      <c r="E924" t="s">
        <v>1661</v>
      </c>
      <c r="F924" t="str">
        <f>"4065234174"</f>
        <v>4065234174</v>
      </c>
      <c r="G924" t="str">
        <f>"9784065234174"</f>
        <v>9784065234174</v>
      </c>
      <c r="H924">
        <v>5</v>
      </c>
      <c r="I924">
        <v>4.49</v>
      </c>
      <c r="J924" t="s">
        <v>852</v>
      </c>
      <c r="K924" t="s">
        <v>28</v>
      </c>
      <c r="L924">
        <v>192</v>
      </c>
      <c r="M924">
        <v>2021</v>
      </c>
      <c r="N924">
        <v>2021</v>
      </c>
      <c r="O924" s="1">
        <v>44740</v>
      </c>
      <c r="P924" s="1">
        <v>44740</v>
      </c>
      <c r="S924" t="s">
        <v>29</v>
      </c>
      <c r="W924">
        <v>1</v>
      </c>
      <c r="X924">
        <v>0</v>
      </c>
    </row>
    <row r="925" spans="1:24" x14ac:dyDescent="0.25">
      <c r="A925">
        <v>54865124</v>
      </c>
      <c r="B925" t="s">
        <v>1662</v>
      </c>
      <c r="C925" t="s">
        <v>1659</v>
      </c>
      <c r="D925" t="s">
        <v>1660</v>
      </c>
      <c r="F925" t="str">
        <f>"4065220297"</f>
        <v>4065220297</v>
      </c>
      <c r="G925" t="str">
        <f>"9784065220290"</f>
        <v>9784065220290</v>
      </c>
      <c r="H925">
        <v>5</v>
      </c>
      <c r="I925">
        <v>4.6500000000000004</v>
      </c>
      <c r="J925" t="s">
        <v>852</v>
      </c>
      <c r="K925" t="s">
        <v>28</v>
      </c>
      <c r="L925">
        <v>192</v>
      </c>
      <c r="M925">
        <v>2021</v>
      </c>
      <c r="N925">
        <v>2021</v>
      </c>
      <c r="O925" s="1">
        <v>44740</v>
      </c>
      <c r="P925" s="1">
        <v>44740</v>
      </c>
      <c r="S925" t="s">
        <v>29</v>
      </c>
      <c r="W925">
        <v>1</v>
      </c>
      <c r="X925">
        <v>0</v>
      </c>
    </row>
    <row r="926" spans="1:24" x14ac:dyDescent="0.25">
      <c r="A926">
        <v>52431850</v>
      </c>
      <c r="B926" t="s">
        <v>1663</v>
      </c>
      <c r="C926" t="s">
        <v>1659</v>
      </c>
      <c r="D926" t="s">
        <v>1660</v>
      </c>
      <c r="F926" t="str">
        <f>"4065203228"</f>
        <v>4065203228</v>
      </c>
      <c r="G926" t="str">
        <f>"9784065203224"</f>
        <v>9784065203224</v>
      </c>
      <c r="H926">
        <v>5</v>
      </c>
      <c r="I926">
        <v>4.58</v>
      </c>
      <c r="J926" t="s">
        <v>139</v>
      </c>
      <c r="K926" t="s">
        <v>28</v>
      </c>
      <c r="L926">
        <v>192</v>
      </c>
      <c r="M926">
        <v>2020</v>
      </c>
      <c r="N926">
        <v>2020</v>
      </c>
      <c r="O926" s="1">
        <v>44740</v>
      </c>
      <c r="P926" s="1">
        <v>44740</v>
      </c>
      <c r="S926" t="s">
        <v>29</v>
      </c>
      <c r="W926">
        <v>1</v>
      </c>
      <c r="X926">
        <v>0</v>
      </c>
    </row>
    <row r="927" spans="1:24" x14ac:dyDescent="0.25">
      <c r="A927">
        <v>48722104</v>
      </c>
      <c r="B927" t="s">
        <v>1664</v>
      </c>
      <c r="C927" t="s">
        <v>1659</v>
      </c>
      <c r="D927" t="s">
        <v>1660</v>
      </c>
      <c r="E927" t="s">
        <v>1661</v>
      </c>
      <c r="F927" t="str">
        <f>"4065186897"</f>
        <v>4065186897</v>
      </c>
      <c r="G927" t="str">
        <f>"9784065186893"</f>
        <v>9784065186893</v>
      </c>
      <c r="H927">
        <v>5</v>
      </c>
      <c r="I927">
        <v>4.63</v>
      </c>
      <c r="J927" t="s">
        <v>852</v>
      </c>
      <c r="K927" t="s">
        <v>28</v>
      </c>
      <c r="L927">
        <v>192</v>
      </c>
      <c r="M927">
        <v>2020</v>
      </c>
      <c r="N927">
        <v>2020</v>
      </c>
      <c r="O927" s="1">
        <v>44740</v>
      </c>
      <c r="P927" s="1">
        <v>44740</v>
      </c>
      <c r="S927" t="s">
        <v>29</v>
      </c>
      <c r="W927">
        <v>1</v>
      </c>
      <c r="X927">
        <v>0</v>
      </c>
    </row>
    <row r="928" spans="1:24" x14ac:dyDescent="0.25">
      <c r="A928">
        <v>51065933</v>
      </c>
      <c r="B928" t="s">
        <v>1665</v>
      </c>
      <c r="C928" t="s">
        <v>1659</v>
      </c>
      <c r="D928" t="s">
        <v>1660</v>
      </c>
      <c r="F928" t="str">
        <f>"4065175437"</f>
        <v>4065175437</v>
      </c>
      <c r="G928" t="str">
        <f>"9784065175439"</f>
        <v>9784065175439</v>
      </c>
      <c r="H928">
        <v>5</v>
      </c>
      <c r="I928">
        <v>4.6900000000000004</v>
      </c>
      <c r="J928" t="s">
        <v>852</v>
      </c>
      <c r="K928" t="s">
        <v>28</v>
      </c>
      <c r="L928">
        <v>192</v>
      </c>
      <c r="M928">
        <v>2019</v>
      </c>
      <c r="N928">
        <v>2019</v>
      </c>
      <c r="O928" s="1">
        <v>44740</v>
      </c>
      <c r="P928" s="1">
        <v>44740</v>
      </c>
      <c r="S928" t="s">
        <v>29</v>
      </c>
      <c r="W928">
        <v>1</v>
      </c>
      <c r="X928">
        <v>0</v>
      </c>
    </row>
    <row r="929" spans="1:24" x14ac:dyDescent="0.25">
      <c r="A929">
        <v>44300262</v>
      </c>
      <c r="B929" t="s">
        <v>1666</v>
      </c>
      <c r="C929" t="s">
        <v>1659</v>
      </c>
      <c r="D929" t="s">
        <v>1660</v>
      </c>
      <c r="E929" t="s">
        <v>1667</v>
      </c>
      <c r="F929" t="str">
        <f>"4065162246"</f>
        <v>4065162246</v>
      </c>
      <c r="G929" t="str">
        <f>"9784065162248"</f>
        <v>9784065162248</v>
      </c>
      <c r="H929">
        <v>5</v>
      </c>
      <c r="I929">
        <v>4.58</v>
      </c>
      <c r="J929" t="s">
        <v>852</v>
      </c>
      <c r="K929" t="s">
        <v>28</v>
      </c>
      <c r="L929">
        <v>192</v>
      </c>
      <c r="M929">
        <v>2019</v>
      </c>
      <c r="N929">
        <v>2019</v>
      </c>
      <c r="O929" s="1">
        <v>44740</v>
      </c>
      <c r="P929" s="1">
        <v>44740</v>
      </c>
      <c r="S929" t="s">
        <v>29</v>
      </c>
      <c r="W929">
        <v>1</v>
      </c>
      <c r="X929">
        <v>0</v>
      </c>
    </row>
    <row r="930" spans="1:24" x14ac:dyDescent="0.25">
      <c r="A930">
        <v>42747046</v>
      </c>
      <c r="B930" t="s">
        <v>1668</v>
      </c>
      <c r="C930" t="s">
        <v>1659</v>
      </c>
      <c r="D930" t="s">
        <v>1660</v>
      </c>
      <c r="E930" t="s">
        <v>1667</v>
      </c>
      <c r="F930" t="str">
        <f>"4065148693"</f>
        <v>4065148693</v>
      </c>
      <c r="G930" t="str">
        <f>"9784065148693"</f>
        <v>9784065148693</v>
      </c>
      <c r="H930">
        <v>5</v>
      </c>
      <c r="I930">
        <v>4.58</v>
      </c>
      <c r="J930" t="s">
        <v>852</v>
      </c>
      <c r="K930" t="s">
        <v>28</v>
      </c>
      <c r="L930">
        <v>192</v>
      </c>
      <c r="M930">
        <v>2019</v>
      </c>
      <c r="N930">
        <v>2019</v>
      </c>
      <c r="O930" s="1">
        <v>44740</v>
      </c>
      <c r="P930" s="1">
        <v>44740</v>
      </c>
      <c r="S930" t="s">
        <v>29</v>
      </c>
      <c r="W930">
        <v>1</v>
      </c>
      <c r="X930">
        <v>0</v>
      </c>
    </row>
    <row r="931" spans="1:24" x14ac:dyDescent="0.25">
      <c r="A931">
        <v>40500209</v>
      </c>
      <c r="B931" t="s">
        <v>1669</v>
      </c>
      <c r="C931" t="s">
        <v>1659</v>
      </c>
      <c r="D931" t="s">
        <v>1660</v>
      </c>
      <c r="E931" t="s">
        <v>1667</v>
      </c>
      <c r="F931" t="str">
        <f>"406513479X"</f>
        <v>406513479X</v>
      </c>
      <c r="G931" t="str">
        <f>"9784065134795"</f>
        <v>9784065134795</v>
      </c>
      <c r="H931">
        <v>5</v>
      </c>
      <c r="I931">
        <v>4.41</v>
      </c>
      <c r="J931" t="s">
        <v>852</v>
      </c>
      <c r="K931" t="s">
        <v>28</v>
      </c>
      <c r="L931">
        <v>192</v>
      </c>
      <c r="M931">
        <v>2018</v>
      </c>
      <c r="N931">
        <v>2018</v>
      </c>
      <c r="O931" s="1">
        <v>44740</v>
      </c>
      <c r="P931" s="1">
        <v>44740</v>
      </c>
      <c r="S931" t="s">
        <v>29</v>
      </c>
      <c r="W931">
        <v>1</v>
      </c>
      <c r="X931">
        <v>0</v>
      </c>
    </row>
    <row r="932" spans="1:24" x14ac:dyDescent="0.25">
      <c r="A932">
        <v>36043596</v>
      </c>
      <c r="B932" t="s">
        <v>1670</v>
      </c>
      <c r="C932" t="s">
        <v>1659</v>
      </c>
      <c r="D932" t="s">
        <v>1660</v>
      </c>
      <c r="E932" t="s">
        <v>1659</v>
      </c>
      <c r="F932" t="str">
        <f>"4065121833"</f>
        <v>4065121833</v>
      </c>
      <c r="G932" t="str">
        <f>"9784065121832"</f>
        <v>9784065121832</v>
      </c>
      <c r="H932">
        <v>5</v>
      </c>
      <c r="I932">
        <v>4.59</v>
      </c>
      <c r="J932" t="s">
        <v>852</v>
      </c>
      <c r="K932" t="s">
        <v>28</v>
      </c>
      <c r="L932">
        <v>192</v>
      </c>
      <c r="M932">
        <v>2018</v>
      </c>
      <c r="N932">
        <v>2018</v>
      </c>
      <c r="O932" s="1">
        <v>44740</v>
      </c>
      <c r="P932" s="1">
        <v>44740</v>
      </c>
      <c r="S932" t="s">
        <v>29</v>
      </c>
      <c r="W932">
        <v>1</v>
      </c>
      <c r="X932">
        <v>0</v>
      </c>
    </row>
    <row r="933" spans="1:24" x14ac:dyDescent="0.25">
      <c r="A933">
        <v>36043595</v>
      </c>
      <c r="B933" t="s">
        <v>1671</v>
      </c>
      <c r="C933" t="s">
        <v>1659</v>
      </c>
      <c r="D933" t="s">
        <v>1660</v>
      </c>
      <c r="E933" t="s">
        <v>1659</v>
      </c>
      <c r="F933" t="str">
        <f>"406511201X"</f>
        <v>406511201X</v>
      </c>
      <c r="G933" t="str">
        <f>"9784065112014"</f>
        <v>9784065112014</v>
      </c>
      <c r="H933">
        <v>5</v>
      </c>
      <c r="I933">
        <v>4.62</v>
      </c>
      <c r="J933" t="s">
        <v>852</v>
      </c>
      <c r="K933" t="s">
        <v>28</v>
      </c>
      <c r="L933">
        <v>192</v>
      </c>
      <c r="M933">
        <v>2018</v>
      </c>
      <c r="N933">
        <v>2018</v>
      </c>
      <c r="O933" s="1">
        <v>44740</v>
      </c>
      <c r="P933" s="1">
        <v>44740</v>
      </c>
      <c r="S933" t="s">
        <v>29</v>
      </c>
      <c r="W933">
        <v>1</v>
      </c>
      <c r="X933">
        <v>0</v>
      </c>
    </row>
    <row r="934" spans="1:24" x14ac:dyDescent="0.25">
      <c r="A934">
        <v>35709632</v>
      </c>
      <c r="B934" t="s">
        <v>1672</v>
      </c>
      <c r="C934" t="s">
        <v>1659</v>
      </c>
      <c r="D934" t="s">
        <v>1660</v>
      </c>
      <c r="E934" t="s">
        <v>1659</v>
      </c>
      <c r="F934" t="str">
        <f>"406510548X"</f>
        <v>406510548X</v>
      </c>
      <c r="G934" t="str">
        <f>"9784065105481"</f>
        <v>9784065105481</v>
      </c>
      <c r="H934">
        <v>5</v>
      </c>
      <c r="I934">
        <v>4.45</v>
      </c>
      <c r="J934" t="s">
        <v>852</v>
      </c>
      <c r="K934" t="s">
        <v>28</v>
      </c>
      <c r="L934">
        <v>192</v>
      </c>
      <c r="M934">
        <v>2017</v>
      </c>
      <c r="N934">
        <v>2017</v>
      </c>
      <c r="O934" s="1">
        <v>44740</v>
      </c>
      <c r="P934" s="1">
        <v>44740</v>
      </c>
      <c r="S934" t="s">
        <v>29</v>
      </c>
      <c r="W934">
        <v>1</v>
      </c>
      <c r="X934">
        <v>0</v>
      </c>
    </row>
    <row r="935" spans="1:24" x14ac:dyDescent="0.25">
      <c r="A935">
        <v>34659868</v>
      </c>
      <c r="B935" t="s">
        <v>1673</v>
      </c>
      <c r="C935" t="s">
        <v>1659</v>
      </c>
      <c r="D935" t="s">
        <v>1660</v>
      </c>
      <c r="E935" t="s">
        <v>1667</v>
      </c>
      <c r="F935" t="str">
        <f>"406510100X"</f>
        <v>406510100X</v>
      </c>
      <c r="G935" t="str">
        <f>"9784065101001"</f>
        <v>9784065101001</v>
      </c>
      <c r="H935">
        <v>5</v>
      </c>
      <c r="I935">
        <v>4.3499999999999996</v>
      </c>
      <c r="J935" t="s">
        <v>852</v>
      </c>
      <c r="K935" t="s">
        <v>28</v>
      </c>
      <c r="L935">
        <v>192</v>
      </c>
      <c r="M935">
        <v>2017</v>
      </c>
      <c r="N935">
        <v>2017</v>
      </c>
      <c r="O935" s="1">
        <v>44740</v>
      </c>
      <c r="P935" s="1">
        <v>44740</v>
      </c>
      <c r="S935" t="s">
        <v>29</v>
      </c>
      <c r="W935">
        <v>1</v>
      </c>
      <c r="X935">
        <v>0</v>
      </c>
    </row>
    <row r="936" spans="1:24" x14ac:dyDescent="0.25">
      <c r="A936">
        <v>33123591</v>
      </c>
      <c r="B936" t="s">
        <v>1674</v>
      </c>
      <c r="C936" t="s">
        <v>1659</v>
      </c>
      <c r="D936" t="s">
        <v>1660</v>
      </c>
      <c r="E936" t="s">
        <v>1659</v>
      </c>
      <c r="F936" t="str">
        <f>"4063959090"</f>
        <v>4063959090</v>
      </c>
      <c r="G936" t="str">
        <f>"9784063959093"</f>
        <v>9784063959093</v>
      </c>
      <c r="H936">
        <v>5</v>
      </c>
      <c r="I936">
        <v>4.59</v>
      </c>
      <c r="J936" t="s">
        <v>852</v>
      </c>
      <c r="K936" t="s">
        <v>28</v>
      </c>
      <c r="L936">
        <v>192</v>
      </c>
      <c r="M936">
        <v>2017</v>
      </c>
      <c r="N936">
        <v>2017</v>
      </c>
      <c r="O936" s="1">
        <v>44740</v>
      </c>
      <c r="P936" s="1">
        <v>44739</v>
      </c>
      <c r="S936" t="s">
        <v>29</v>
      </c>
      <c r="W936">
        <v>1</v>
      </c>
      <c r="X936">
        <v>0</v>
      </c>
    </row>
    <row r="937" spans="1:24" x14ac:dyDescent="0.25">
      <c r="A937">
        <v>31395286</v>
      </c>
      <c r="B937" t="s">
        <v>1675</v>
      </c>
      <c r="C937" t="s">
        <v>1659</v>
      </c>
      <c r="D937" t="s">
        <v>1660</v>
      </c>
      <c r="E937" t="s">
        <v>1659</v>
      </c>
      <c r="F937" t="str">
        <f>"4063958159"</f>
        <v>4063958159</v>
      </c>
      <c r="G937" t="str">
        <f>"9784063958157"</f>
        <v>9784063958157</v>
      </c>
      <c r="H937">
        <v>5</v>
      </c>
      <c r="I937">
        <v>4.63</v>
      </c>
      <c r="J937" t="s">
        <v>852</v>
      </c>
      <c r="K937" t="s">
        <v>28</v>
      </c>
      <c r="L937">
        <v>192</v>
      </c>
      <c r="M937">
        <v>2016</v>
      </c>
      <c r="N937">
        <v>2016</v>
      </c>
      <c r="O937" s="1">
        <v>44739</v>
      </c>
      <c r="P937" s="1">
        <v>44739</v>
      </c>
      <c r="S937" t="s">
        <v>29</v>
      </c>
      <c r="W937">
        <v>1</v>
      </c>
      <c r="X937">
        <v>0</v>
      </c>
    </row>
    <row r="938" spans="1:24" x14ac:dyDescent="0.25">
      <c r="A938">
        <v>18363261</v>
      </c>
      <c r="B938" t="s">
        <v>1676</v>
      </c>
      <c r="C938" t="s">
        <v>1659</v>
      </c>
      <c r="D938" t="s">
        <v>1660</v>
      </c>
      <c r="E938" t="s">
        <v>1667</v>
      </c>
      <c r="F938" t="str">
        <f>"4063957209"</f>
        <v>4063957209</v>
      </c>
      <c r="G938" t="str">
        <f>"9784063957204"</f>
        <v>9784063957204</v>
      </c>
      <c r="H938">
        <v>5</v>
      </c>
      <c r="I938">
        <v>4.67</v>
      </c>
      <c r="J938" t="s">
        <v>852</v>
      </c>
      <c r="K938" t="s">
        <v>28</v>
      </c>
      <c r="L938">
        <v>192</v>
      </c>
      <c r="M938">
        <v>2016</v>
      </c>
      <c r="N938">
        <v>2016</v>
      </c>
      <c r="O938" s="1">
        <v>44739</v>
      </c>
      <c r="P938" s="1">
        <v>44739</v>
      </c>
      <c r="S938" t="s">
        <v>29</v>
      </c>
      <c r="W938">
        <v>2</v>
      </c>
      <c r="X938">
        <v>0</v>
      </c>
    </row>
    <row r="939" spans="1:24" x14ac:dyDescent="0.25">
      <c r="A939">
        <v>18363260</v>
      </c>
      <c r="B939" t="s">
        <v>1677</v>
      </c>
      <c r="C939" t="s">
        <v>1659</v>
      </c>
      <c r="D939" t="s">
        <v>1660</v>
      </c>
      <c r="E939" t="s">
        <v>1659</v>
      </c>
      <c r="F939" t="str">
        <f>"4063956369"</f>
        <v>4063956369</v>
      </c>
      <c r="G939" t="str">
        <f>"9784063956368"</f>
        <v>9784063956368</v>
      </c>
      <c r="H939">
        <v>5</v>
      </c>
      <c r="I939">
        <v>4.58</v>
      </c>
      <c r="J939" t="s">
        <v>852</v>
      </c>
      <c r="K939" t="s">
        <v>28</v>
      </c>
      <c r="L939">
        <v>192</v>
      </c>
      <c r="M939">
        <v>2016</v>
      </c>
      <c r="N939">
        <v>2016</v>
      </c>
      <c r="O939" s="1">
        <v>44739</v>
      </c>
      <c r="P939" s="1">
        <v>44739</v>
      </c>
      <c r="S939" t="s">
        <v>29</v>
      </c>
      <c r="W939">
        <v>1</v>
      </c>
      <c r="X939">
        <v>0</v>
      </c>
    </row>
    <row r="940" spans="1:24" x14ac:dyDescent="0.25">
      <c r="A940">
        <v>18363258</v>
      </c>
      <c r="B940" t="s">
        <v>1678</v>
      </c>
      <c r="C940" t="s">
        <v>1659</v>
      </c>
      <c r="D940" t="s">
        <v>1660</v>
      </c>
      <c r="E940" t="s">
        <v>1659</v>
      </c>
      <c r="F940" t="str">
        <f>"4063955494"</f>
        <v>4063955494</v>
      </c>
      <c r="G940" t="str">
        <f>"9784063955491"</f>
        <v>9784063955491</v>
      </c>
      <c r="H940">
        <v>5</v>
      </c>
      <c r="I940">
        <v>4.55</v>
      </c>
      <c r="J940" t="s">
        <v>852</v>
      </c>
      <c r="K940" t="s">
        <v>28</v>
      </c>
      <c r="L940">
        <v>192</v>
      </c>
      <c r="M940">
        <v>2015</v>
      </c>
      <c r="N940">
        <v>2015</v>
      </c>
      <c r="O940" s="1">
        <v>44739</v>
      </c>
      <c r="P940" s="1">
        <v>44739</v>
      </c>
      <c r="S940" t="s">
        <v>29</v>
      </c>
      <c r="W940">
        <v>1</v>
      </c>
      <c r="X940">
        <v>0</v>
      </c>
    </row>
    <row r="941" spans="1:24" x14ac:dyDescent="0.25">
      <c r="A941">
        <v>18363242</v>
      </c>
      <c r="B941" t="s">
        <v>1679</v>
      </c>
      <c r="C941" t="s">
        <v>1659</v>
      </c>
      <c r="D941" t="s">
        <v>1660</v>
      </c>
      <c r="E941" t="s">
        <v>1659</v>
      </c>
      <c r="F941" t="str">
        <f>"4063954463"</f>
        <v>4063954463</v>
      </c>
      <c r="G941" t="str">
        <f>"9784063954463"</f>
        <v>9784063954463</v>
      </c>
      <c r="H941">
        <v>5</v>
      </c>
      <c r="I941">
        <v>4.45</v>
      </c>
      <c r="J941" t="s">
        <v>852</v>
      </c>
      <c r="K941" t="s">
        <v>28</v>
      </c>
      <c r="L941">
        <v>192</v>
      </c>
      <c r="M941">
        <v>2015</v>
      </c>
      <c r="N941">
        <v>2015</v>
      </c>
      <c r="O941" s="1">
        <v>44739</v>
      </c>
      <c r="P941" s="1">
        <v>44739</v>
      </c>
      <c r="S941" t="s">
        <v>29</v>
      </c>
      <c r="W941">
        <v>1</v>
      </c>
      <c r="X941">
        <v>0</v>
      </c>
    </row>
    <row r="942" spans="1:24" x14ac:dyDescent="0.25">
      <c r="A942">
        <v>24531650</v>
      </c>
      <c r="B942" t="s">
        <v>1680</v>
      </c>
      <c r="C942" t="s">
        <v>1659</v>
      </c>
      <c r="D942" t="s">
        <v>1660</v>
      </c>
      <c r="F942" t="str">
        <f>"1612629806"</f>
        <v>1612629806</v>
      </c>
      <c r="G942" t="str">
        <f>"9781612629803"</f>
        <v>9781612629803</v>
      </c>
      <c r="H942">
        <v>5</v>
      </c>
      <c r="I942">
        <v>4.54</v>
      </c>
      <c r="J942" t="s">
        <v>847</v>
      </c>
      <c r="K942" t="s">
        <v>28</v>
      </c>
      <c r="L942">
        <v>192</v>
      </c>
      <c r="M942">
        <v>2015</v>
      </c>
      <c r="N942">
        <v>2015</v>
      </c>
      <c r="O942" s="1">
        <v>44739</v>
      </c>
      <c r="P942" s="1">
        <v>44738</v>
      </c>
      <c r="S942" t="s">
        <v>29</v>
      </c>
      <c r="W942">
        <v>1</v>
      </c>
      <c r="X942">
        <v>0</v>
      </c>
    </row>
    <row r="943" spans="1:24" x14ac:dyDescent="0.25">
      <c r="A943">
        <v>18363232</v>
      </c>
      <c r="B943" t="s">
        <v>1681</v>
      </c>
      <c r="C943" t="s">
        <v>1659</v>
      </c>
      <c r="D943" t="s">
        <v>1660</v>
      </c>
      <c r="E943" t="s">
        <v>1659</v>
      </c>
      <c r="F943" t="str">
        <f>"4063952533"</f>
        <v>4063952533</v>
      </c>
      <c r="G943" t="str">
        <f>"9784063952537"</f>
        <v>9784063952537</v>
      </c>
      <c r="H943">
        <v>5</v>
      </c>
      <c r="I943">
        <v>4.4800000000000004</v>
      </c>
      <c r="J943" t="s">
        <v>852</v>
      </c>
      <c r="K943" t="s">
        <v>28</v>
      </c>
      <c r="L943">
        <v>192</v>
      </c>
      <c r="M943">
        <v>2014</v>
      </c>
      <c r="N943">
        <v>2014</v>
      </c>
      <c r="O943" s="1">
        <v>44738</v>
      </c>
      <c r="P943" s="1">
        <v>44738</v>
      </c>
      <c r="S943" t="s">
        <v>29</v>
      </c>
      <c r="W943">
        <v>1</v>
      </c>
      <c r="X943">
        <v>0</v>
      </c>
    </row>
    <row r="944" spans="1:24" x14ac:dyDescent="0.25">
      <c r="A944">
        <v>23546591</v>
      </c>
      <c r="B944" t="s">
        <v>1682</v>
      </c>
      <c r="C944" t="s">
        <v>1659</v>
      </c>
      <c r="D944" t="s">
        <v>1660</v>
      </c>
      <c r="F944" t="str">
        <f>""</f>
        <v/>
      </c>
      <c r="G944" t="str">
        <f>""</f>
        <v/>
      </c>
      <c r="H944">
        <v>5</v>
      </c>
      <c r="I944">
        <v>4.4800000000000004</v>
      </c>
      <c r="J944" t="s">
        <v>847</v>
      </c>
      <c r="K944" t="s">
        <v>133</v>
      </c>
      <c r="L944">
        <v>192</v>
      </c>
      <c r="M944">
        <v>2014</v>
      </c>
      <c r="N944">
        <v>2014</v>
      </c>
      <c r="O944" s="1">
        <v>44738</v>
      </c>
      <c r="P944" s="1">
        <v>44738</v>
      </c>
      <c r="S944" t="s">
        <v>29</v>
      </c>
      <c r="W944">
        <v>1</v>
      </c>
      <c r="X944">
        <v>0</v>
      </c>
    </row>
    <row r="945" spans="1:24" x14ac:dyDescent="0.25">
      <c r="A945">
        <v>19336279</v>
      </c>
      <c r="B945" t="s">
        <v>1683</v>
      </c>
      <c r="C945" t="s">
        <v>1659</v>
      </c>
      <c r="D945" t="s">
        <v>1660</v>
      </c>
      <c r="F945" t="str">
        <f>"1612626793"</f>
        <v>1612626793</v>
      </c>
      <c r="G945" t="str">
        <f>"9781612626796"</f>
        <v>9781612626796</v>
      </c>
      <c r="H945">
        <v>5</v>
      </c>
      <c r="I945">
        <v>4.42</v>
      </c>
      <c r="J945" t="s">
        <v>847</v>
      </c>
      <c r="K945" t="s">
        <v>28</v>
      </c>
      <c r="L945">
        <v>192</v>
      </c>
      <c r="M945">
        <v>2014</v>
      </c>
      <c r="N945">
        <v>2014</v>
      </c>
      <c r="O945" s="1">
        <v>44738</v>
      </c>
      <c r="P945" s="1">
        <v>44738</v>
      </c>
      <c r="S945" t="s">
        <v>29</v>
      </c>
      <c r="W945">
        <v>1</v>
      </c>
      <c r="X945">
        <v>0</v>
      </c>
    </row>
    <row r="946" spans="1:24" x14ac:dyDescent="0.25">
      <c r="A946">
        <v>21895563</v>
      </c>
      <c r="B946" t="s">
        <v>1684</v>
      </c>
      <c r="C946" t="s">
        <v>1659</v>
      </c>
      <c r="D946" t="s">
        <v>1660</v>
      </c>
      <c r="F946" t="str">
        <f>""</f>
        <v/>
      </c>
      <c r="G946" t="str">
        <f>""</f>
        <v/>
      </c>
      <c r="H946">
        <v>5</v>
      </c>
      <c r="I946">
        <v>4.5599999999999996</v>
      </c>
      <c r="K946" t="s">
        <v>133</v>
      </c>
      <c r="L946">
        <v>192</v>
      </c>
      <c r="M946">
        <v>2014</v>
      </c>
      <c r="N946">
        <v>2013</v>
      </c>
      <c r="O946" s="1">
        <v>44738</v>
      </c>
      <c r="P946" s="1">
        <v>44738</v>
      </c>
      <c r="S946" t="s">
        <v>29</v>
      </c>
      <c r="W946">
        <v>1</v>
      </c>
      <c r="X946">
        <v>0</v>
      </c>
    </row>
    <row r="947" spans="1:24" x14ac:dyDescent="0.25">
      <c r="A947">
        <v>18077957</v>
      </c>
      <c r="B947" t="s">
        <v>1685</v>
      </c>
      <c r="C947" t="s">
        <v>1659</v>
      </c>
      <c r="D947" t="s">
        <v>1660</v>
      </c>
      <c r="F947" t="str">
        <f>"1612626777"</f>
        <v>1612626777</v>
      </c>
      <c r="G947" t="str">
        <f>"9781612626772"</f>
        <v>9781612626772</v>
      </c>
      <c r="H947">
        <v>5</v>
      </c>
      <c r="I947">
        <v>4.54</v>
      </c>
      <c r="J947" t="s">
        <v>847</v>
      </c>
      <c r="K947" t="s">
        <v>28</v>
      </c>
      <c r="L947">
        <v>192</v>
      </c>
      <c r="M947">
        <v>2014</v>
      </c>
      <c r="N947">
        <v>2013</v>
      </c>
      <c r="O947" s="1">
        <v>44738</v>
      </c>
      <c r="P947" s="1">
        <v>44738</v>
      </c>
      <c r="S947" t="s">
        <v>29</v>
      </c>
      <c r="W947">
        <v>1</v>
      </c>
      <c r="X947">
        <v>0</v>
      </c>
    </row>
    <row r="948" spans="1:24" x14ac:dyDescent="0.25">
      <c r="A948">
        <v>17883512</v>
      </c>
      <c r="B948" t="s">
        <v>1686</v>
      </c>
      <c r="C948" t="s">
        <v>1659</v>
      </c>
      <c r="D948" t="s">
        <v>1660</v>
      </c>
      <c r="E948" t="s">
        <v>1667</v>
      </c>
      <c r="F948" t="str">
        <f>"4063848396"</f>
        <v>4063848396</v>
      </c>
      <c r="G948" t="str">
        <f>"9784063848397"</f>
        <v>9784063848397</v>
      </c>
      <c r="H948">
        <v>5</v>
      </c>
      <c r="I948">
        <v>4.55</v>
      </c>
      <c r="J948" t="s">
        <v>852</v>
      </c>
      <c r="K948" t="s">
        <v>28</v>
      </c>
      <c r="L948">
        <v>192</v>
      </c>
      <c r="M948">
        <v>2013</v>
      </c>
      <c r="N948">
        <v>2013</v>
      </c>
      <c r="O948" s="1">
        <v>44738</v>
      </c>
      <c r="P948" s="1">
        <v>44738</v>
      </c>
      <c r="S948" t="s">
        <v>29</v>
      </c>
      <c r="W948">
        <v>1</v>
      </c>
      <c r="X948">
        <v>0</v>
      </c>
    </row>
    <row r="949" spans="1:24" x14ac:dyDescent="0.25">
      <c r="A949">
        <v>17450840</v>
      </c>
      <c r="B949" t="s">
        <v>1687</v>
      </c>
      <c r="C949" t="s">
        <v>1659</v>
      </c>
      <c r="D949" t="s">
        <v>1660</v>
      </c>
      <c r="F949" t="str">
        <f>"4063847764"</f>
        <v>4063847764</v>
      </c>
      <c r="G949" t="str">
        <f>"9784063847765"</f>
        <v>9784063847765</v>
      </c>
      <c r="H949">
        <v>5</v>
      </c>
      <c r="I949">
        <v>4.49</v>
      </c>
      <c r="J949" t="s">
        <v>852</v>
      </c>
      <c r="K949" t="s">
        <v>28</v>
      </c>
      <c r="L949">
        <v>192</v>
      </c>
      <c r="M949">
        <v>2012</v>
      </c>
      <c r="N949">
        <v>2012</v>
      </c>
      <c r="O949" s="1">
        <v>44738</v>
      </c>
      <c r="P949" s="1">
        <v>44738</v>
      </c>
      <c r="S949" t="s">
        <v>29</v>
      </c>
      <c r="W949">
        <v>1</v>
      </c>
      <c r="X949">
        <v>0</v>
      </c>
    </row>
    <row r="950" spans="1:24" x14ac:dyDescent="0.25">
      <c r="A950">
        <v>17450822</v>
      </c>
      <c r="B950" t="s">
        <v>1688</v>
      </c>
      <c r="C950" t="s">
        <v>1659</v>
      </c>
      <c r="D950" t="s">
        <v>1660</v>
      </c>
      <c r="E950" t="s">
        <v>1659</v>
      </c>
      <c r="F950" t="str">
        <f>"4063847128"</f>
        <v>4063847128</v>
      </c>
      <c r="G950" t="str">
        <f>"9784063847123"</f>
        <v>9784063847123</v>
      </c>
      <c r="H950">
        <v>5</v>
      </c>
      <c r="I950">
        <v>4.54</v>
      </c>
      <c r="J950" t="s">
        <v>852</v>
      </c>
      <c r="K950" t="s">
        <v>28</v>
      </c>
      <c r="L950">
        <v>192</v>
      </c>
      <c r="M950">
        <v>2012</v>
      </c>
      <c r="N950">
        <v>2012</v>
      </c>
      <c r="O950" s="1">
        <v>44738</v>
      </c>
      <c r="P950" s="1">
        <v>44738</v>
      </c>
      <c r="S950" t="s">
        <v>29</v>
      </c>
      <c r="W950">
        <v>1</v>
      </c>
      <c r="X950">
        <v>0</v>
      </c>
    </row>
    <row r="951" spans="1:24" x14ac:dyDescent="0.25">
      <c r="A951">
        <v>17450811</v>
      </c>
      <c r="B951" t="s">
        <v>1689</v>
      </c>
      <c r="C951" t="s">
        <v>1659</v>
      </c>
      <c r="D951" t="s">
        <v>1660</v>
      </c>
      <c r="E951" t="s">
        <v>1659</v>
      </c>
      <c r="F951" t="str">
        <f>"4063846520"</f>
        <v>4063846520</v>
      </c>
      <c r="G951" t="str">
        <f>"9784063846522"</f>
        <v>9784063846522</v>
      </c>
      <c r="H951">
        <v>5</v>
      </c>
      <c r="I951">
        <v>4.5199999999999996</v>
      </c>
      <c r="J951" t="s">
        <v>852</v>
      </c>
      <c r="K951" t="s">
        <v>28</v>
      </c>
      <c r="L951">
        <v>192</v>
      </c>
      <c r="M951">
        <v>2012</v>
      </c>
      <c r="N951">
        <v>2012</v>
      </c>
      <c r="O951" s="1">
        <v>44738</v>
      </c>
      <c r="P951" s="1">
        <v>44738</v>
      </c>
      <c r="S951" t="s">
        <v>29</v>
      </c>
      <c r="W951">
        <v>1</v>
      </c>
      <c r="X951">
        <v>0</v>
      </c>
    </row>
    <row r="952" spans="1:24" x14ac:dyDescent="0.25">
      <c r="A952">
        <v>17262714</v>
      </c>
      <c r="B952" t="s">
        <v>1690</v>
      </c>
      <c r="C952" t="s">
        <v>1659</v>
      </c>
      <c r="D952" t="s">
        <v>1660</v>
      </c>
      <c r="F952" t="str">
        <f>"1612622550"</f>
        <v>1612622550</v>
      </c>
      <c r="G952" t="str">
        <f>"9781612622552"</f>
        <v>9781612622552</v>
      </c>
      <c r="H952">
        <v>5</v>
      </c>
      <c r="I952">
        <v>4.5199999999999996</v>
      </c>
      <c r="J952" t="s">
        <v>847</v>
      </c>
      <c r="K952" t="s">
        <v>28</v>
      </c>
      <c r="L952">
        <v>208</v>
      </c>
      <c r="M952">
        <v>2013</v>
      </c>
      <c r="N952">
        <v>2011</v>
      </c>
      <c r="O952" s="1">
        <v>44738</v>
      </c>
      <c r="P952" s="1">
        <v>44738</v>
      </c>
      <c r="S952" t="s">
        <v>29</v>
      </c>
      <c r="W952">
        <v>1</v>
      </c>
      <c r="X952">
        <v>0</v>
      </c>
    </row>
    <row r="953" spans="1:24" x14ac:dyDescent="0.25">
      <c r="A953">
        <v>16071864</v>
      </c>
      <c r="B953" t="s">
        <v>1691</v>
      </c>
      <c r="C953" t="s">
        <v>1659</v>
      </c>
      <c r="D953" t="s">
        <v>1660</v>
      </c>
      <c r="F953" t="str">
        <f>"1612622542"</f>
        <v>1612622542</v>
      </c>
      <c r="G953" t="str">
        <f>"9781612622545"</f>
        <v>9781612622545</v>
      </c>
      <c r="H953">
        <v>5</v>
      </c>
      <c r="I953">
        <v>4.49</v>
      </c>
      <c r="J953" t="s">
        <v>847</v>
      </c>
      <c r="K953" t="s">
        <v>28</v>
      </c>
      <c r="L953">
        <v>192</v>
      </c>
      <c r="M953">
        <v>2013</v>
      </c>
      <c r="N953">
        <v>2011</v>
      </c>
      <c r="O953" s="1">
        <v>44738</v>
      </c>
      <c r="P953" s="1">
        <v>44738</v>
      </c>
      <c r="S953" t="s">
        <v>29</v>
      </c>
      <c r="W953">
        <v>1</v>
      </c>
      <c r="X953">
        <v>0</v>
      </c>
    </row>
    <row r="954" spans="1:24" x14ac:dyDescent="0.25">
      <c r="A954">
        <v>15798166</v>
      </c>
      <c r="B954" t="s">
        <v>1692</v>
      </c>
      <c r="C954" t="s">
        <v>1659</v>
      </c>
      <c r="D954" t="s">
        <v>1660</v>
      </c>
      <c r="F954" t="str">
        <f>"1612622534"</f>
        <v>1612622534</v>
      </c>
      <c r="G954" t="str">
        <f>"9781612622538"</f>
        <v>9781612622538</v>
      </c>
      <c r="H954">
        <v>5</v>
      </c>
      <c r="I954">
        <v>4.45</v>
      </c>
      <c r="J954" t="s">
        <v>847</v>
      </c>
      <c r="K954" t="s">
        <v>28</v>
      </c>
      <c r="L954">
        <v>192</v>
      </c>
      <c r="M954">
        <v>2013</v>
      </c>
      <c r="N954">
        <v>2011</v>
      </c>
      <c r="O954" s="1">
        <v>44738</v>
      </c>
      <c r="P954" s="1">
        <v>44737</v>
      </c>
      <c r="S954" t="s">
        <v>29</v>
      </c>
      <c r="W954">
        <v>1</v>
      </c>
      <c r="X954">
        <v>0</v>
      </c>
    </row>
    <row r="955" spans="1:24" x14ac:dyDescent="0.25">
      <c r="A955">
        <v>13536803</v>
      </c>
      <c r="B955" t="s">
        <v>1693</v>
      </c>
      <c r="C955" t="s">
        <v>1659</v>
      </c>
      <c r="D955" t="s">
        <v>1660</v>
      </c>
      <c r="F955" t="str">
        <f>"1612620264"</f>
        <v>1612620264</v>
      </c>
      <c r="G955" t="str">
        <f>"9781612620268"</f>
        <v>9781612620268</v>
      </c>
      <c r="H955">
        <v>5</v>
      </c>
      <c r="I955">
        <v>4.47</v>
      </c>
      <c r="J955" t="s">
        <v>847</v>
      </c>
      <c r="K955" t="s">
        <v>28</v>
      </c>
      <c r="L955">
        <v>208</v>
      </c>
      <c r="M955">
        <v>2012</v>
      </c>
      <c r="N955">
        <v>2010</v>
      </c>
      <c r="O955" s="1">
        <v>44737</v>
      </c>
      <c r="P955" s="1">
        <v>44737</v>
      </c>
      <c r="S955" t="s">
        <v>29</v>
      </c>
      <c r="W955">
        <v>1</v>
      </c>
      <c r="X955">
        <v>0</v>
      </c>
    </row>
    <row r="956" spans="1:24" x14ac:dyDescent="0.25">
      <c r="A956">
        <v>13531561</v>
      </c>
      <c r="B956" t="s">
        <v>1694</v>
      </c>
      <c r="C956" t="s">
        <v>1659</v>
      </c>
      <c r="D956" t="s">
        <v>1660</v>
      </c>
      <c r="F956" t="str">
        <f>"1612620256"</f>
        <v>1612620256</v>
      </c>
      <c r="G956" t="str">
        <f>"9781612620251"</f>
        <v>9781612620251</v>
      </c>
      <c r="H956">
        <v>5</v>
      </c>
      <c r="I956">
        <v>4.53</v>
      </c>
      <c r="J956" t="s">
        <v>847</v>
      </c>
      <c r="K956" t="s">
        <v>28</v>
      </c>
      <c r="L956">
        <v>189</v>
      </c>
      <c r="M956">
        <v>2012</v>
      </c>
      <c r="N956">
        <v>2010</v>
      </c>
      <c r="O956" s="1">
        <v>44737</v>
      </c>
      <c r="P956" s="1">
        <v>44737</v>
      </c>
      <c r="S956" t="s">
        <v>29</v>
      </c>
      <c r="W956">
        <v>1</v>
      </c>
      <c r="X956">
        <v>0</v>
      </c>
    </row>
    <row r="957" spans="1:24" x14ac:dyDescent="0.25">
      <c r="A957">
        <v>13154150</v>
      </c>
      <c r="B957" t="s">
        <v>1695</v>
      </c>
      <c r="C957" t="s">
        <v>1659</v>
      </c>
      <c r="D957" t="s">
        <v>1660</v>
      </c>
      <c r="E957" t="s">
        <v>1696</v>
      </c>
      <c r="F957" t="str">
        <f>"1612620248"</f>
        <v>1612620248</v>
      </c>
      <c r="G957" t="str">
        <f>"9781612620244"</f>
        <v>9781612620244</v>
      </c>
      <c r="H957">
        <v>5</v>
      </c>
      <c r="I957">
        <v>4.47</v>
      </c>
      <c r="J957" t="s">
        <v>847</v>
      </c>
      <c r="K957" t="s">
        <v>28</v>
      </c>
      <c r="L957">
        <v>193</v>
      </c>
      <c r="M957">
        <v>2012</v>
      </c>
      <c r="N957">
        <v>2009</v>
      </c>
      <c r="O957" s="1">
        <v>44737</v>
      </c>
      <c r="P957" s="1">
        <v>44736</v>
      </c>
      <c r="S957" t="s">
        <v>29</v>
      </c>
      <c r="W957">
        <v>1</v>
      </c>
      <c r="X957">
        <v>0</v>
      </c>
    </row>
    <row r="958" spans="1:24" x14ac:dyDescent="0.25">
      <c r="A958">
        <v>56530607</v>
      </c>
      <c r="B958" t="s">
        <v>1697</v>
      </c>
      <c r="C958" t="s">
        <v>1698</v>
      </c>
      <c r="D958" t="s">
        <v>1699</v>
      </c>
      <c r="F958" t="str">
        <f>""</f>
        <v/>
      </c>
      <c r="G958" t="str">
        <f>""</f>
        <v/>
      </c>
      <c r="H958">
        <v>2</v>
      </c>
      <c r="I958">
        <v>3.76</v>
      </c>
      <c r="L958">
        <v>226</v>
      </c>
      <c r="O958" s="1">
        <v>44733</v>
      </c>
      <c r="P958" s="1">
        <v>44733</v>
      </c>
      <c r="S958" t="s">
        <v>29</v>
      </c>
      <c r="W958">
        <v>1</v>
      </c>
      <c r="X958">
        <v>0</v>
      </c>
    </row>
    <row r="959" spans="1:24" x14ac:dyDescent="0.25">
      <c r="A959">
        <v>34928122</v>
      </c>
      <c r="B959" t="s">
        <v>1700</v>
      </c>
      <c r="C959" t="s">
        <v>1701</v>
      </c>
      <c r="D959" t="s">
        <v>1702</v>
      </c>
      <c r="F959" t="str">
        <f>"0553448129"</f>
        <v>0553448129</v>
      </c>
      <c r="G959" t="str">
        <f>"9780553448122"</f>
        <v>9780553448122</v>
      </c>
      <c r="H959">
        <v>2</v>
      </c>
      <c r="I959">
        <v>3.69</v>
      </c>
      <c r="J959" t="s">
        <v>1703</v>
      </c>
      <c r="K959" t="s">
        <v>34</v>
      </c>
      <c r="L959">
        <v>305</v>
      </c>
      <c r="M959">
        <v>2017</v>
      </c>
      <c r="N959">
        <v>2017</v>
      </c>
      <c r="O959" s="1">
        <v>44732</v>
      </c>
      <c r="P959" s="1">
        <v>44729</v>
      </c>
      <c r="S959" t="s">
        <v>29</v>
      </c>
      <c r="W959">
        <v>1</v>
      </c>
      <c r="X959">
        <v>0</v>
      </c>
    </row>
    <row r="960" spans="1:24" x14ac:dyDescent="0.25">
      <c r="A960">
        <v>34703445</v>
      </c>
      <c r="B960" t="s">
        <v>1704</v>
      </c>
      <c r="C960" t="s">
        <v>160</v>
      </c>
      <c r="D960" t="s">
        <v>161</v>
      </c>
      <c r="F960" t="str">
        <f>"1250166543"</f>
        <v>1250166543</v>
      </c>
      <c r="G960" t="str">
        <f>"9781250166548"</f>
        <v>9781250166548</v>
      </c>
      <c r="H960">
        <v>5</v>
      </c>
      <c r="I960">
        <v>4.25</v>
      </c>
      <c r="J960" t="s">
        <v>162</v>
      </c>
      <c r="K960" t="s">
        <v>34</v>
      </c>
      <c r="L960">
        <v>272</v>
      </c>
      <c r="M960">
        <v>2017</v>
      </c>
      <c r="N960">
        <v>2017</v>
      </c>
      <c r="O960" s="1">
        <v>44732</v>
      </c>
      <c r="P960" s="1">
        <v>44730</v>
      </c>
      <c r="S960" t="s">
        <v>29</v>
      </c>
      <c r="W960">
        <v>1</v>
      </c>
      <c r="X960">
        <v>0</v>
      </c>
    </row>
    <row r="961" spans="1:24" x14ac:dyDescent="0.25">
      <c r="A961">
        <v>57423806</v>
      </c>
      <c r="B961" t="s">
        <v>1705</v>
      </c>
      <c r="C961" t="s">
        <v>1706</v>
      </c>
      <c r="D961" t="s">
        <v>1707</v>
      </c>
      <c r="F961" t="str">
        <f>"0691190801"</f>
        <v>0691190801</v>
      </c>
      <c r="G961" t="str">
        <f>"9780691190808"</f>
        <v>9780691190808</v>
      </c>
      <c r="H961">
        <v>0</v>
      </c>
      <c r="I961">
        <v>3.96</v>
      </c>
      <c r="J961" t="s">
        <v>1708</v>
      </c>
      <c r="K961" t="s">
        <v>34</v>
      </c>
      <c r="L961">
        <v>312</v>
      </c>
      <c r="M961">
        <v>2021</v>
      </c>
      <c r="N961">
        <v>2021</v>
      </c>
      <c r="P961" s="1">
        <v>44729</v>
      </c>
      <c r="Q961" t="s">
        <v>35</v>
      </c>
      <c r="R961" t="s">
        <v>1709</v>
      </c>
      <c r="S961" t="s">
        <v>35</v>
      </c>
      <c r="W961">
        <v>0</v>
      </c>
      <c r="X961">
        <v>0</v>
      </c>
    </row>
    <row r="962" spans="1:24" x14ac:dyDescent="0.25">
      <c r="A962">
        <v>17231</v>
      </c>
      <c r="B962" t="s">
        <v>1710</v>
      </c>
      <c r="C962" t="s">
        <v>1565</v>
      </c>
      <c r="D962" t="s">
        <v>1566</v>
      </c>
      <c r="F962" t="str">
        <f>""</f>
        <v/>
      </c>
      <c r="G962" t="str">
        <f>""</f>
        <v/>
      </c>
      <c r="H962">
        <v>3</v>
      </c>
      <c r="I962">
        <v>3.9</v>
      </c>
      <c r="J962" t="s">
        <v>1567</v>
      </c>
      <c r="K962" t="s">
        <v>28</v>
      </c>
      <c r="L962">
        <v>288</v>
      </c>
      <c r="M962">
        <v>2006</v>
      </c>
      <c r="N962">
        <v>2004</v>
      </c>
      <c r="O962" s="1">
        <v>44729</v>
      </c>
      <c r="P962" s="1">
        <v>44724</v>
      </c>
      <c r="S962" t="s">
        <v>29</v>
      </c>
      <c r="W962">
        <v>1</v>
      </c>
      <c r="X962">
        <v>0</v>
      </c>
    </row>
    <row r="963" spans="1:24" x14ac:dyDescent="0.25">
      <c r="A963">
        <v>5759</v>
      </c>
      <c r="B963" t="s">
        <v>1711</v>
      </c>
      <c r="C963" t="s">
        <v>701</v>
      </c>
      <c r="D963" t="s">
        <v>702</v>
      </c>
      <c r="F963" t="str">
        <f>"0393327345"</f>
        <v>0393327345</v>
      </c>
      <c r="G963" t="str">
        <f>"9780393327342"</f>
        <v>9780393327342</v>
      </c>
      <c r="H963">
        <v>5</v>
      </c>
      <c r="I963">
        <v>4.1900000000000004</v>
      </c>
      <c r="J963" t="s">
        <v>1712</v>
      </c>
      <c r="K963" t="s">
        <v>28</v>
      </c>
      <c r="L963">
        <v>218</v>
      </c>
      <c r="M963">
        <v>2005</v>
      </c>
      <c r="N963">
        <v>1996</v>
      </c>
      <c r="O963" s="1">
        <v>44726</v>
      </c>
      <c r="P963" s="1">
        <v>43610</v>
      </c>
      <c r="S963" t="s">
        <v>29</v>
      </c>
      <c r="W963">
        <v>1</v>
      </c>
      <c r="X963">
        <v>0</v>
      </c>
    </row>
    <row r="964" spans="1:24" x14ac:dyDescent="0.25">
      <c r="A964">
        <v>29059</v>
      </c>
      <c r="B964" t="s">
        <v>1713</v>
      </c>
      <c r="C964" t="s">
        <v>701</v>
      </c>
      <c r="D964" t="s">
        <v>702</v>
      </c>
      <c r="F964" t="str">
        <f>"0385720920"</f>
        <v>0385720920</v>
      </c>
      <c r="G964" t="str">
        <f>"9780385720922"</f>
        <v>9780385720922</v>
      </c>
      <c r="H964">
        <v>3</v>
      </c>
      <c r="I964">
        <v>3.7</v>
      </c>
      <c r="J964" t="s">
        <v>564</v>
      </c>
      <c r="K964" t="s">
        <v>28</v>
      </c>
      <c r="L964">
        <v>293</v>
      </c>
      <c r="M964">
        <v>2002</v>
      </c>
      <c r="N964">
        <v>2001</v>
      </c>
      <c r="O964" s="1">
        <v>44725</v>
      </c>
      <c r="P964" s="1">
        <v>44723</v>
      </c>
      <c r="S964" t="s">
        <v>29</v>
      </c>
      <c r="W964">
        <v>1</v>
      </c>
      <c r="X964">
        <v>0</v>
      </c>
    </row>
    <row r="965" spans="1:24" x14ac:dyDescent="0.25">
      <c r="A965">
        <v>23215466</v>
      </c>
      <c r="B965" t="s">
        <v>1714</v>
      </c>
      <c r="C965" t="s">
        <v>1715</v>
      </c>
      <c r="D965" t="s">
        <v>1716</v>
      </c>
      <c r="E965" t="s">
        <v>1717</v>
      </c>
      <c r="F965" t="str">
        <f>"0062362224"</f>
        <v>0062362224</v>
      </c>
      <c r="G965" t="str">
        <f>"9780062362223"</f>
        <v>9780062362223</v>
      </c>
      <c r="H965">
        <v>0</v>
      </c>
      <c r="I965">
        <v>4.04</v>
      </c>
      <c r="J965" t="s">
        <v>1718</v>
      </c>
      <c r="K965" t="s">
        <v>34</v>
      </c>
      <c r="L965">
        <v>256</v>
      </c>
      <c r="M965">
        <v>2015</v>
      </c>
      <c r="N965">
        <v>1911</v>
      </c>
      <c r="P965" s="1">
        <v>44722</v>
      </c>
      <c r="Q965" t="s">
        <v>35</v>
      </c>
      <c r="R965" t="s">
        <v>1719</v>
      </c>
      <c r="S965" t="s">
        <v>35</v>
      </c>
      <c r="W965">
        <v>0</v>
      </c>
      <c r="X965">
        <v>0</v>
      </c>
    </row>
    <row r="966" spans="1:24" x14ac:dyDescent="0.25">
      <c r="A966">
        <v>2312486</v>
      </c>
      <c r="B966" t="s">
        <v>1720</v>
      </c>
      <c r="C966" t="s">
        <v>1721</v>
      </c>
      <c r="D966" t="s">
        <v>1722</v>
      </c>
      <c r="F966" t="str">
        <f>""</f>
        <v/>
      </c>
      <c r="G966" t="str">
        <f>""</f>
        <v/>
      </c>
      <c r="H966">
        <v>0</v>
      </c>
      <c r="I966">
        <v>4.3</v>
      </c>
      <c r="K966" t="s">
        <v>34</v>
      </c>
      <c r="L966">
        <v>3864</v>
      </c>
      <c r="M966">
        <v>1993</v>
      </c>
      <c r="N966">
        <v>1377</v>
      </c>
      <c r="P966" s="1">
        <v>44723</v>
      </c>
      <c r="Q966" t="s">
        <v>35</v>
      </c>
      <c r="R966" t="s">
        <v>1723</v>
      </c>
      <c r="S966" t="s">
        <v>35</v>
      </c>
      <c r="W966">
        <v>0</v>
      </c>
      <c r="X966">
        <v>0</v>
      </c>
    </row>
    <row r="967" spans="1:24" x14ac:dyDescent="0.25">
      <c r="A967">
        <v>38501</v>
      </c>
      <c r="B967" t="s">
        <v>1724</v>
      </c>
      <c r="C967" t="s">
        <v>1725</v>
      </c>
      <c r="D967" t="s">
        <v>1726</v>
      </c>
      <c r="F967" t="str">
        <f>"006117758X"</f>
        <v>006117758X</v>
      </c>
      <c r="G967" t="str">
        <f>"9780061177583"</f>
        <v>9780061177583</v>
      </c>
      <c r="H967">
        <v>0</v>
      </c>
      <c r="I967">
        <v>4.1500000000000004</v>
      </c>
      <c r="J967" t="s">
        <v>1727</v>
      </c>
      <c r="K967" t="s">
        <v>28</v>
      </c>
      <c r="L967">
        <v>288</v>
      </c>
      <c r="M967">
        <v>2014</v>
      </c>
      <c r="N967">
        <v>1982</v>
      </c>
      <c r="P967" s="1">
        <v>44724</v>
      </c>
      <c r="Q967" t="s">
        <v>35</v>
      </c>
      <c r="R967" t="s">
        <v>1728</v>
      </c>
      <c r="S967" t="s">
        <v>35</v>
      </c>
      <c r="W967">
        <v>0</v>
      </c>
      <c r="X967">
        <v>0</v>
      </c>
    </row>
    <row r="968" spans="1:24" x14ac:dyDescent="0.25">
      <c r="A968">
        <v>15797975</v>
      </c>
      <c r="B968" t="s">
        <v>1729</v>
      </c>
      <c r="C968" t="s">
        <v>1730</v>
      </c>
      <c r="D968" t="s">
        <v>1731</v>
      </c>
      <c r="F968" t="str">
        <f>"1601424442"</f>
        <v>1601424442</v>
      </c>
      <c r="G968" t="str">
        <f>"9781601424440"</f>
        <v>9781601424440</v>
      </c>
      <c r="H968">
        <v>3</v>
      </c>
      <c r="I968">
        <v>4.05</v>
      </c>
      <c r="J968" t="s">
        <v>1732</v>
      </c>
      <c r="K968" t="s">
        <v>34</v>
      </c>
      <c r="L968">
        <v>224</v>
      </c>
      <c r="M968">
        <v>2013</v>
      </c>
      <c r="N968">
        <v>2004</v>
      </c>
      <c r="O968" s="1">
        <v>44722</v>
      </c>
      <c r="P968" s="1">
        <v>44718</v>
      </c>
      <c r="S968" t="s">
        <v>29</v>
      </c>
      <c r="W968">
        <v>1</v>
      </c>
      <c r="X968">
        <v>0</v>
      </c>
    </row>
    <row r="969" spans="1:24" x14ac:dyDescent="0.25">
      <c r="A969">
        <v>31823677</v>
      </c>
      <c r="B969" t="s">
        <v>1733</v>
      </c>
      <c r="C969" t="s">
        <v>1734</v>
      </c>
      <c r="D969" t="s">
        <v>1735</v>
      </c>
      <c r="E969" t="s">
        <v>1736</v>
      </c>
      <c r="F969" t="str">
        <f>""</f>
        <v/>
      </c>
      <c r="G969" t="str">
        <f>""</f>
        <v/>
      </c>
      <c r="H969">
        <v>0</v>
      </c>
      <c r="I969">
        <v>4.0999999999999996</v>
      </c>
      <c r="J969" t="s">
        <v>1737</v>
      </c>
      <c r="K969" t="s">
        <v>133</v>
      </c>
      <c r="L969">
        <v>707</v>
      </c>
      <c r="M969">
        <v>2016</v>
      </c>
      <c r="N969">
        <v>2016</v>
      </c>
      <c r="P969" s="1">
        <v>44722</v>
      </c>
      <c r="Q969" t="s">
        <v>35</v>
      </c>
      <c r="R969" t="s">
        <v>1738</v>
      </c>
      <c r="S969" t="s">
        <v>35</v>
      </c>
      <c r="W969">
        <v>0</v>
      </c>
      <c r="X969">
        <v>0</v>
      </c>
    </row>
    <row r="970" spans="1:24" x14ac:dyDescent="0.25">
      <c r="A970">
        <v>43708884</v>
      </c>
      <c r="B970" t="s">
        <v>1739</v>
      </c>
      <c r="C970" t="s">
        <v>1740</v>
      </c>
      <c r="D970" t="s">
        <v>1741</v>
      </c>
      <c r="F970" t="str">
        <f>"1529105102"</f>
        <v>1529105102</v>
      </c>
      <c r="G970" t="str">
        <f>"9781529105100"</f>
        <v>9781529105100</v>
      </c>
      <c r="H970">
        <v>5</v>
      </c>
      <c r="I970">
        <v>4.57</v>
      </c>
      <c r="J970" t="s">
        <v>1742</v>
      </c>
      <c r="K970" t="s">
        <v>34</v>
      </c>
      <c r="L970">
        <v>128</v>
      </c>
      <c r="M970">
        <v>2019</v>
      </c>
      <c r="N970">
        <v>2019</v>
      </c>
      <c r="O970" s="1">
        <v>44722</v>
      </c>
      <c r="P970" s="1">
        <v>44720</v>
      </c>
      <c r="S970" t="s">
        <v>29</v>
      </c>
      <c r="W970">
        <v>1</v>
      </c>
      <c r="X970">
        <v>0</v>
      </c>
    </row>
    <row r="971" spans="1:24" x14ac:dyDescent="0.25">
      <c r="A971">
        <v>49127718</v>
      </c>
      <c r="B971" t="s">
        <v>1743</v>
      </c>
      <c r="C971" t="s">
        <v>1744</v>
      </c>
      <c r="D971" t="s">
        <v>1745</v>
      </c>
      <c r="E971" t="s">
        <v>1746</v>
      </c>
      <c r="F971" t="str">
        <f>"198216963X"</f>
        <v>198216963X</v>
      </c>
      <c r="G971" t="str">
        <f>"9781982169633"</f>
        <v>9781982169633</v>
      </c>
      <c r="H971">
        <v>5</v>
      </c>
      <c r="I971">
        <v>4.1900000000000004</v>
      </c>
      <c r="J971" t="s">
        <v>698</v>
      </c>
      <c r="K971" t="s">
        <v>34</v>
      </c>
      <c r="L971">
        <v>336</v>
      </c>
      <c r="M971">
        <v>2020</v>
      </c>
      <c r="N971">
        <v>2019</v>
      </c>
      <c r="O971" s="1">
        <v>44720</v>
      </c>
      <c r="P971" s="1">
        <v>44687</v>
      </c>
      <c r="S971" t="s">
        <v>29</v>
      </c>
      <c r="W971">
        <v>1</v>
      </c>
      <c r="X971">
        <v>0</v>
      </c>
    </row>
    <row r="972" spans="1:24" x14ac:dyDescent="0.25">
      <c r="A972">
        <v>57951862</v>
      </c>
      <c r="B972" t="s">
        <v>1747</v>
      </c>
      <c r="C972" t="s">
        <v>1748</v>
      </c>
      <c r="D972" t="s">
        <v>1749</v>
      </c>
      <c r="E972" t="s">
        <v>1750</v>
      </c>
      <c r="F972" t="str">
        <f>"1510107789"</f>
        <v>1510107789</v>
      </c>
      <c r="G972" t="str">
        <f>"9781510107786"</f>
        <v>9781510107786</v>
      </c>
      <c r="H972">
        <v>0</v>
      </c>
      <c r="I972">
        <v>4.4400000000000004</v>
      </c>
      <c r="J972" t="s">
        <v>1751</v>
      </c>
      <c r="K972" t="s">
        <v>34</v>
      </c>
      <c r="L972">
        <v>204</v>
      </c>
      <c r="M972">
        <v>2021</v>
      </c>
      <c r="N972">
        <v>2021</v>
      </c>
      <c r="P972" s="1">
        <v>44720</v>
      </c>
      <c r="Q972" t="s">
        <v>35</v>
      </c>
      <c r="R972" t="s">
        <v>1752</v>
      </c>
      <c r="S972" t="s">
        <v>35</v>
      </c>
      <c r="W972">
        <v>0</v>
      </c>
      <c r="X972">
        <v>0</v>
      </c>
    </row>
    <row r="973" spans="1:24" x14ac:dyDescent="0.25">
      <c r="A973">
        <v>49149</v>
      </c>
      <c r="B973" t="s">
        <v>1753</v>
      </c>
      <c r="C973" t="s">
        <v>1730</v>
      </c>
      <c r="D973" t="s">
        <v>1731</v>
      </c>
      <c r="E973" t="s">
        <v>1754</v>
      </c>
      <c r="F973" t="str">
        <f>"1590525728"</f>
        <v>1590525728</v>
      </c>
      <c r="G973" t="str">
        <f>"9781590525722"</f>
        <v>9781590525722</v>
      </c>
      <c r="H973">
        <v>3</v>
      </c>
      <c r="I973">
        <v>4.1399999999999997</v>
      </c>
      <c r="J973" t="s">
        <v>1755</v>
      </c>
      <c r="K973" t="s">
        <v>34</v>
      </c>
      <c r="L973">
        <v>190</v>
      </c>
      <c r="M973">
        <v>2006</v>
      </c>
      <c r="N973">
        <v>2006</v>
      </c>
      <c r="O973" s="1">
        <v>44720</v>
      </c>
      <c r="P973" s="1">
        <v>44716</v>
      </c>
      <c r="S973" t="s">
        <v>29</v>
      </c>
      <c r="W973">
        <v>1</v>
      </c>
      <c r="X973">
        <v>0</v>
      </c>
    </row>
    <row r="974" spans="1:24" x14ac:dyDescent="0.25">
      <c r="A974">
        <v>5211</v>
      </c>
      <c r="B974" t="s">
        <v>1756</v>
      </c>
      <c r="C974" t="s">
        <v>1757</v>
      </c>
      <c r="D974" t="s">
        <v>1758</v>
      </c>
      <c r="F974" t="str">
        <f>"140003065X"</f>
        <v>140003065X</v>
      </c>
      <c r="G974" t="str">
        <f>"9781400030651"</f>
        <v>9781400030651</v>
      </c>
      <c r="H974">
        <v>0</v>
      </c>
      <c r="I974">
        <v>4.37</v>
      </c>
      <c r="J974" t="s">
        <v>198</v>
      </c>
      <c r="K974" t="s">
        <v>28</v>
      </c>
      <c r="L974">
        <v>603</v>
      </c>
      <c r="M974">
        <v>2001</v>
      </c>
      <c r="N974">
        <v>1995</v>
      </c>
      <c r="P974" s="1">
        <v>44720</v>
      </c>
      <c r="Q974" t="s">
        <v>35</v>
      </c>
      <c r="R974" t="s">
        <v>1759</v>
      </c>
      <c r="S974" t="s">
        <v>35</v>
      </c>
      <c r="W974">
        <v>0</v>
      </c>
      <c r="X974">
        <v>0</v>
      </c>
    </row>
    <row r="975" spans="1:24" x14ac:dyDescent="0.25">
      <c r="A975">
        <v>4667024</v>
      </c>
      <c r="B975" t="s">
        <v>1760</v>
      </c>
      <c r="C975" t="s">
        <v>1761</v>
      </c>
      <c r="D975" t="s">
        <v>1762</v>
      </c>
      <c r="F975" t="str">
        <f>"0399155341"</f>
        <v>0399155341</v>
      </c>
      <c r="G975" t="str">
        <f>"9780399155345"</f>
        <v>9780399155345</v>
      </c>
      <c r="H975">
        <v>5</v>
      </c>
      <c r="I975">
        <v>4.47</v>
      </c>
      <c r="J975" t="s">
        <v>579</v>
      </c>
      <c r="K975" t="s">
        <v>34</v>
      </c>
      <c r="L975">
        <v>464</v>
      </c>
      <c r="M975">
        <v>2009</v>
      </c>
      <c r="N975">
        <v>2009</v>
      </c>
      <c r="O975" s="1">
        <v>44719</v>
      </c>
      <c r="P975" s="1">
        <v>44262</v>
      </c>
      <c r="S975" t="s">
        <v>29</v>
      </c>
      <c r="W975">
        <v>1</v>
      </c>
      <c r="X975">
        <v>0</v>
      </c>
    </row>
    <row r="976" spans="1:24" x14ac:dyDescent="0.25">
      <c r="A976">
        <v>11389341</v>
      </c>
      <c r="B976" t="s">
        <v>1763</v>
      </c>
      <c r="C976" t="s">
        <v>1764</v>
      </c>
      <c r="D976" t="s">
        <v>1765</v>
      </c>
      <c r="E976" t="s">
        <v>1766</v>
      </c>
      <c r="F976" t="str">
        <f>"0525952470"</f>
        <v>0525952470</v>
      </c>
      <c r="G976" t="str">
        <f>"9780525952473"</f>
        <v>9780525952473</v>
      </c>
      <c r="H976">
        <v>0</v>
      </c>
      <c r="I976">
        <v>4.47</v>
      </c>
      <c r="J976" t="s">
        <v>1767</v>
      </c>
      <c r="K976" t="s">
        <v>34</v>
      </c>
      <c r="L976">
        <v>288</v>
      </c>
      <c r="M976">
        <v>2011</v>
      </c>
      <c r="N976">
        <v>2011</v>
      </c>
      <c r="P976" s="1">
        <v>44719</v>
      </c>
      <c r="Q976" t="s">
        <v>35</v>
      </c>
      <c r="R976" t="s">
        <v>1768</v>
      </c>
      <c r="S976" t="s">
        <v>35</v>
      </c>
      <c r="W976">
        <v>0</v>
      </c>
      <c r="X976">
        <v>0</v>
      </c>
    </row>
    <row r="977" spans="1:24" x14ac:dyDescent="0.25">
      <c r="A977">
        <v>32510799</v>
      </c>
      <c r="B977" t="s">
        <v>1769</v>
      </c>
      <c r="C977" t="s">
        <v>1770</v>
      </c>
      <c r="D977" t="s">
        <v>1771</v>
      </c>
      <c r="F977" t="str">
        <f>"0764219448"</f>
        <v>0764219448</v>
      </c>
      <c r="G977" t="str">
        <f>"9780764219443"</f>
        <v>9780764219443</v>
      </c>
      <c r="H977">
        <v>0</v>
      </c>
      <c r="I977">
        <v>3.96</v>
      </c>
      <c r="J977" t="s">
        <v>1772</v>
      </c>
      <c r="K977" t="s">
        <v>28</v>
      </c>
      <c r="L977">
        <v>176</v>
      </c>
      <c r="M977">
        <v>2017</v>
      </c>
      <c r="P977" s="1">
        <v>44717</v>
      </c>
      <c r="Q977" t="s">
        <v>35</v>
      </c>
      <c r="R977" t="s">
        <v>1773</v>
      </c>
      <c r="S977" t="s">
        <v>35</v>
      </c>
      <c r="W977">
        <v>0</v>
      </c>
      <c r="X977">
        <v>0</v>
      </c>
    </row>
    <row r="978" spans="1:24" x14ac:dyDescent="0.25">
      <c r="A978">
        <v>22103881</v>
      </c>
      <c r="B978" t="s">
        <v>1774</v>
      </c>
      <c r="C978" t="s">
        <v>1775</v>
      </c>
      <c r="D978" t="s">
        <v>1776</v>
      </c>
      <c r="E978" t="s">
        <v>1010</v>
      </c>
      <c r="F978" t="str">
        <f>"0062367544"</f>
        <v>0062367544</v>
      </c>
      <c r="G978" t="str">
        <f>"9780062367549"</f>
        <v>9780062367549</v>
      </c>
      <c r="H978">
        <v>4</v>
      </c>
      <c r="I978">
        <v>3.88</v>
      </c>
      <c r="J978" t="s">
        <v>1777</v>
      </c>
      <c r="K978" t="s">
        <v>34</v>
      </c>
      <c r="L978">
        <v>112</v>
      </c>
      <c r="M978">
        <v>2015</v>
      </c>
      <c r="N978">
        <v>2015</v>
      </c>
      <c r="O978" s="1">
        <v>44718</v>
      </c>
      <c r="P978" s="1">
        <v>44708</v>
      </c>
      <c r="S978" t="s">
        <v>29</v>
      </c>
      <c r="W978">
        <v>1</v>
      </c>
      <c r="X978">
        <v>0</v>
      </c>
    </row>
    <row r="979" spans="1:24" x14ac:dyDescent="0.25">
      <c r="A979">
        <v>212245</v>
      </c>
      <c r="B979" t="s">
        <v>1778</v>
      </c>
      <c r="C979" t="s">
        <v>1779</v>
      </c>
      <c r="D979" t="s">
        <v>1780</v>
      </c>
      <c r="E979" t="s">
        <v>1781</v>
      </c>
      <c r="F979" t="str">
        <f>"0786865091"</f>
        <v>0786865091</v>
      </c>
      <c r="G979" t="str">
        <f>"9780786865093"</f>
        <v>9780786865093</v>
      </c>
      <c r="H979">
        <v>0</v>
      </c>
      <c r="I979">
        <v>4.0599999999999996</v>
      </c>
      <c r="J979" t="s">
        <v>1782</v>
      </c>
      <c r="K979" t="s">
        <v>34</v>
      </c>
      <c r="L979">
        <v>272</v>
      </c>
      <c r="M979">
        <v>1999</v>
      </c>
      <c r="N979">
        <v>1999</v>
      </c>
      <c r="P979" s="1">
        <v>44718</v>
      </c>
      <c r="Q979" t="s">
        <v>35</v>
      </c>
      <c r="R979" t="s">
        <v>1783</v>
      </c>
      <c r="S979" t="s">
        <v>35</v>
      </c>
      <c r="W979">
        <v>0</v>
      </c>
      <c r="X979">
        <v>0</v>
      </c>
    </row>
    <row r="980" spans="1:24" x14ac:dyDescent="0.25">
      <c r="A980">
        <v>23121356</v>
      </c>
      <c r="B980" t="s">
        <v>1784</v>
      </c>
      <c r="C980" t="s">
        <v>1785</v>
      </c>
      <c r="D980" t="s">
        <v>1786</v>
      </c>
      <c r="E980" t="s">
        <v>1787</v>
      </c>
      <c r="F980" t="str">
        <f>""</f>
        <v/>
      </c>
      <c r="G980" t="str">
        <f>""</f>
        <v/>
      </c>
      <c r="H980">
        <v>5</v>
      </c>
      <c r="I980">
        <v>4.2300000000000004</v>
      </c>
      <c r="J980" t="s">
        <v>1788</v>
      </c>
      <c r="K980" t="s">
        <v>133</v>
      </c>
      <c r="L980">
        <v>180</v>
      </c>
      <c r="M980">
        <v>2014</v>
      </c>
      <c r="N980">
        <v>2014</v>
      </c>
      <c r="O980" s="1">
        <v>44717</v>
      </c>
      <c r="P980" s="1">
        <v>44717</v>
      </c>
      <c r="S980" t="s">
        <v>29</v>
      </c>
      <c r="W980">
        <v>1</v>
      </c>
      <c r="X980">
        <v>0</v>
      </c>
    </row>
    <row r="981" spans="1:24" x14ac:dyDescent="0.25">
      <c r="A981">
        <v>44167792</v>
      </c>
      <c r="B981" t="s">
        <v>1789</v>
      </c>
      <c r="C981" t="s">
        <v>1790</v>
      </c>
      <c r="D981" t="s">
        <v>1791</v>
      </c>
      <c r="F981" t="str">
        <f>"0997487178"</f>
        <v>0997487178</v>
      </c>
      <c r="G981" t="str">
        <f>"9780997487176"</f>
        <v>9780997487176</v>
      </c>
      <c r="H981">
        <v>5</v>
      </c>
      <c r="I981">
        <v>4.3</v>
      </c>
      <c r="J981" t="s">
        <v>1792</v>
      </c>
      <c r="K981" t="s">
        <v>34</v>
      </c>
      <c r="L981">
        <v>352</v>
      </c>
      <c r="M981">
        <v>2019</v>
      </c>
      <c r="N981">
        <v>2019</v>
      </c>
      <c r="O981" s="1">
        <v>44717</v>
      </c>
      <c r="P981" s="1">
        <v>44715</v>
      </c>
      <c r="S981" t="s">
        <v>29</v>
      </c>
      <c r="W981">
        <v>1</v>
      </c>
      <c r="X981">
        <v>0</v>
      </c>
    </row>
    <row r="982" spans="1:24" x14ac:dyDescent="0.25">
      <c r="A982">
        <v>32601127</v>
      </c>
      <c r="B982" t="s">
        <v>1793</v>
      </c>
      <c r="C982" t="s">
        <v>1794</v>
      </c>
      <c r="D982" t="s">
        <v>1795</v>
      </c>
      <c r="F982" t="str">
        <f>"1469005360"</f>
        <v>1469005360</v>
      </c>
      <c r="G982" t="str">
        <f>"9781469005362"</f>
        <v>9781469005362</v>
      </c>
      <c r="H982">
        <v>3</v>
      </c>
      <c r="I982">
        <v>3.56</v>
      </c>
      <c r="J982" t="s">
        <v>1796</v>
      </c>
      <c r="K982" t="s">
        <v>34</v>
      </c>
      <c r="L982">
        <v>240</v>
      </c>
      <c r="M982">
        <v>2017</v>
      </c>
      <c r="O982" s="1">
        <v>44717</v>
      </c>
      <c r="P982" s="1">
        <v>44716</v>
      </c>
      <c r="S982" t="s">
        <v>29</v>
      </c>
      <c r="W982">
        <v>1</v>
      </c>
      <c r="X982">
        <v>0</v>
      </c>
    </row>
    <row r="983" spans="1:24" x14ac:dyDescent="0.25">
      <c r="A983">
        <v>6088007</v>
      </c>
      <c r="B983" t="s">
        <v>1797</v>
      </c>
      <c r="C983" t="s">
        <v>1798</v>
      </c>
      <c r="D983" t="s">
        <v>1799</v>
      </c>
      <c r="F983" t="str">
        <f>""</f>
        <v/>
      </c>
      <c r="G983" t="str">
        <f>""</f>
        <v/>
      </c>
      <c r="H983">
        <v>0</v>
      </c>
      <c r="I983">
        <v>3.9</v>
      </c>
      <c r="J983" t="s">
        <v>1800</v>
      </c>
      <c r="K983" t="s">
        <v>133</v>
      </c>
      <c r="L983">
        <v>292</v>
      </c>
      <c r="M983">
        <v>2000</v>
      </c>
      <c r="N983">
        <v>1984</v>
      </c>
      <c r="P983" s="1">
        <v>44716</v>
      </c>
      <c r="Q983" t="s">
        <v>35</v>
      </c>
      <c r="R983" t="s">
        <v>1801</v>
      </c>
      <c r="S983" t="s">
        <v>35</v>
      </c>
      <c r="W983">
        <v>0</v>
      </c>
      <c r="X983">
        <v>0</v>
      </c>
    </row>
    <row r="984" spans="1:24" x14ac:dyDescent="0.25">
      <c r="A984">
        <v>39988</v>
      </c>
      <c r="B984" t="s">
        <v>1802</v>
      </c>
      <c r="C984" t="s">
        <v>1803</v>
      </c>
      <c r="D984" t="s">
        <v>1804</v>
      </c>
      <c r="E984" t="s">
        <v>1805</v>
      </c>
      <c r="F984" t="str">
        <f>"0141301066"</f>
        <v>0141301066</v>
      </c>
      <c r="G984" t="str">
        <f>"9780141301068"</f>
        <v>9780141301068</v>
      </c>
      <c r="H984">
        <v>4</v>
      </c>
      <c r="I984">
        <v>4.33</v>
      </c>
      <c r="J984" t="s">
        <v>1806</v>
      </c>
      <c r="K984" t="s">
        <v>28</v>
      </c>
      <c r="L984">
        <v>240</v>
      </c>
      <c r="M984">
        <v>1998</v>
      </c>
      <c r="N984">
        <v>1988</v>
      </c>
      <c r="O984" s="1">
        <v>44716</v>
      </c>
      <c r="P984" s="1">
        <v>44545</v>
      </c>
      <c r="S984" t="s">
        <v>29</v>
      </c>
      <c r="W984">
        <v>1</v>
      </c>
      <c r="X984">
        <v>0</v>
      </c>
    </row>
    <row r="985" spans="1:24" x14ac:dyDescent="0.25">
      <c r="A985">
        <v>29972869</v>
      </c>
      <c r="B985" t="s">
        <v>1807</v>
      </c>
      <c r="C985" t="s">
        <v>1808</v>
      </c>
      <c r="D985" t="s">
        <v>1809</v>
      </c>
      <c r="F985" t="str">
        <f>""</f>
        <v/>
      </c>
      <c r="G985" t="str">
        <f>"9789948022473"</f>
        <v>9789948022473</v>
      </c>
      <c r="H985">
        <v>0</v>
      </c>
      <c r="I985">
        <v>4.13</v>
      </c>
      <c r="J985" t="s">
        <v>1810</v>
      </c>
      <c r="K985" t="s">
        <v>28</v>
      </c>
      <c r="L985">
        <v>265</v>
      </c>
      <c r="M985">
        <v>2016</v>
      </c>
      <c r="P985" s="1">
        <v>44716</v>
      </c>
      <c r="Q985" t="s">
        <v>35</v>
      </c>
      <c r="R985" t="s">
        <v>1811</v>
      </c>
      <c r="S985" t="s">
        <v>35</v>
      </c>
      <c r="W985">
        <v>0</v>
      </c>
      <c r="X985">
        <v>0</v>
      </c>
    </row>
    <row r="986" spans="1:24" x14ac:dyDescent="0.25">
      <c r="A986">
        <v>41817486</v>
      </c>
      <c r="B986" t="s">
        <v>1812</v>
      </c>
      <c r="C986" t="s">
        <v>1813</v>
      </c>
      <c r="D986" t="s">
        <v>1814</v>
      </c>
      <c r="F986" t="str">
        <f>"0393341763"</f>
        <v>0393341763</v>
      </c>
      <c r="G986" t="str">
        <f>"9780393341768"</f>
        <v>9780393341768</v>
      </c>
      <c r="H986">
        <v>0</v>
      </c>
      <c r="I986">
        <v>4</v>
      </c>
      <c r="J986" t="s">
        <v>1815</v>
      </c>
      <c r="K986" t="s">
        <v>28</v>
      </c>
      <c r="L986">
        <v>240</v>
      </c>
      <c r="M986">
        <v>2019</v>
      </c>
      <c r="N986">
        <v>1962</v>
      </c>
      <c r="P986" s="1">
        <v>44715</v>
      </c>
      <c r="Q986" t="s">
        <v>35</v>
      </c>
      <c r="R986" t="s">
        <v>1816</v>
      </c>
      <c r="S986" t="s">
        <v>35</v>
      </c>
      <c r="W986">
        <v>0</v>
      </c>
      <c r="X986">
        <v>0</v>
      </c>
    </row>
    <row r="987" spans="1:24" x14ac:dyDescent="0.25">
      <c r="A987">
        <v>7627</v>
      </c>
      <c r="B987" t="s">
        <v>1817</v>
      </c>
      <c r="C987" t="s">
        <v>1818</v>
      </c>
      <c r="D987" t="s">
        <v>1819</v>
      </c>
      <c r="E987" t="s">
        <v>1820</v>
      </c>
      <c r="F987" t="str">
        <f>"0571056865"</f>
        <v>0571056865</v>
      </c>
      <c r="G987" t="str">
        <f>"9780571056866"</f>
        <v>9780571056866</v>
      </c>
      <c r="H987">
        <v>3</v>
      </c>
      <c r="I987">
        <v>3.69</v>
      </c>
      <c r="J987" t="s">
        <v>1821</v>
      </c>
      <c r="K987" t="s">
        <v>28</v>
      </c>
      <c r="L987">
        <v>288</v>
      </c>
      <c r="M987">
        <v>1962</v>
      </c>
      <c r="N987">
        <v>1954</v>
      </c>
      <c r="O987" s="1">
        <v>44714</v>
      </c>
      <c r="P987" s="1">
        <v>44580</v>
      </c>
      <c r="S987" t="s">
        <v>29</v>
      </c>
      <c r="W987">
        <v>1</v>
      </c>
      <c r="X987">
        <v>0</v>
      </c>
    </row>
    <row r="988" spans="1:24" x14ac:dyDescent="0.25">
      <c r="A988">
        <v>55926835</v>
      </c>
      <c r="B988" t="s">
        <v>1822</v>
      </c>
      <c r="C988" t="s">
        <v>1823</v>
      </c>
      <c r="D988" t="s">
        <v>1824</v>
      </c>
      <c r="F988" t="str">
        <f>""</f>
        <v/>
      </c>
      <c r="G988" t="str">
        <f>"9781911277149"</f>
        <v>9781911277149</v>
      </c>
      <c r="H988">
        <v>5</v>
      </c>
      <c r="I988">
        <v>4.42</v>
      </c>
      <c r="J988" t="s">
        <v>1825</v>
      </c>
      <c r="K988" t="s">
        <v>34</v>
      </c>
      <c r="L988">
        <v>94</v>
      </c>
      <c r="M988">
        <v>2020</v>
      </c>
      <c r="N988">
        <v>2020</v>
      </c>
      <c r="O988" s="1">
        <v>44609</v>
      </c>
      <c r="P988" s="1">
        <v>44609</v>
      </c>
      <c r="S988" t="s">
        <v>29</v>
      </c>
      <c r="W988">
        <v>2</v>
      </c>
      <c r="X988">
        <v>0</v>
      </c>
    </row>
    <row r="989" spans="1:24" x14ac:dyDescent="0.25">
      <c r="A989">
        <v>849380</v>
      </c>
      <c r="B989" t="s">
        <v>1826</v>
      </c>
      <c r="C989" t="s">
        <v>1827</v>
      </c>
      <c r="D989" t="s">
        <v>1828</v>
      </c>
      <c r="E989" t="s">
        <v>1829</v>
      </c>
      <c r="F989" t="str">
        <f>"0609805797"</f>
        <v>0609805797</v>
      </c>
      <c r="G989" t="str">
        <f>"9780609805794"</f>
        <v>9780609805794</v>
      </c>
      <c r="H989">
        <v>3</v>
      </c>
      <c r="I989">
        <v>4.21</v>
      </c>
      <c r="J989" t="s">
        <v>1830</v>
      </c>
      <c r="K989" t="s">
        <v>28</v>
      </c>
      <c r="L989">
        <v>271</v>
      </c>
      <c r="M989">
        <v>2000</v>
      </c>
      <c r="N989">
        <v>1999</v>
      </c>
      <c r="O989" s="1">
        <v>44713</v>
      </c>
      <c r="P989" s="1">
        <v>44558</v>
      </c>
      <c r="S989" t="s">
        <v>29</v>
      </c>
      <c r="W989">
        <v>1</v>
      </c>
      <c r="X989">
        <v>0</v>
      </c>
    </row>
    <row r="990" spans="1:24" x14ac:dyDescent="0.25">
      <c r="A990">
        <v>25159062</v>
      </c>
      <c r="B990" t="s">
        <v>1831</v>
      </c>
      <c r="C990" t="s">
        <v>1832</v>
      </c>
      <c r="D990" t="s">
        <v>1833</v>
      </c>
      <c r="F990" t="str">
        <f>"1610395832"</f>
        <v>1610395832</v>
      </c>
      <c r="G990" t="str">
        <f>"9781610395830"</f>
        <v>9781610395830</v>
      </c>
      <c r="H990">
        <v>4</v>
      </c>
      <c r="I990">
        <v>4.1500000000000004</v>
      </c>
      <c r="J990" t="s">
        <v>1834</v>
      </c>
      <c r="K990" t="s">
        <v>34</v>
      </c>
      <c r="L990">
        <v>288</v>
      </c>
      <c r="M990">
        <v>2016</v>
      </c>
      <c r="N990">
        <v>2016</v>
      </c>
      <c r="O990" s="1">
        <v>44712</v>
      </c>
      <c r="P990" s="1">
        <v>43688</v>
      </c>
      <c r="S990" t="s">
        <v>29</v>
      </c>
      <c r="W990">
        <v>1</v>
      </c>
      <c r="X990">
        <v>0</v>
      </c>
    </row>
    <row r="991" spans="1:24" x14ac:dyDescent="0.25">
      <c r="A991">
        <v>41881472</v>
      </c>
      <c r="B991" t="s">
        <v>1835</v>
      </c>
      <c r="C991" t="s">
        <v>1836</v>
      </c>
      <c r="D991" t="s">
        <v>1837</v>
      </c>
      <c r="F991" t="str">
        <f>""</f>
        <v/>
      </c>
      <c r="G991" t="str">
        <f>""</f>
        <v/>
      </c>
      <c r="H991">
        <v>0</v>
      </c>
      <c r="I991">
        <v>4.38</v>
      </c>
      <c r="J991" t="s">
        <v>1838</v>
      </c>
      <c r="K991" t="s">
        <v>28</v>
      </c>
      <c r="L991">
        <v>252</v>
      </c>
      <c r="M991">
        <v>2020</v>
      </c>
      <c r="N991">
        <v>2021</v>
      </c>
      <c r="P991" s="1">
        <v>44711</v>
      </c>
      <c r="Q991" t="s">
        <v>35</v>
      </c>
      <c r="R991" t="s">
        <v>1839</v>
      </c>
      <c r="S991" t="s">
        <v>35</v>
      </c>
      <c r="W991">
        <v>0</v>
      </c>
      <c r="X991">
        <v>0</v>
      </c>
    </row>
    <row r="992" spans="1:24" x14ac:dyDescent="0.25">
      <c r="A992">
        <v>35210</v>
      </c>
      <c r="B992" t="s">
        <v>1840</v>
      </c>
      <c r="C992" t="s">
        <v>1841</v>
      </c>
      <c r="D992" t="s">
        <v>1842</v>
      </c>
      <c r="F992" t="str">
        <f>"007141858X"</f>
        <v>007141858X</v>
      </c>
      <c r="G992" t="str">
        <f>"9780071418584"</f>
        <v>9780071418584</v>
      </c>
      <c r="H992">
        <v>0</v>
      </c>
      <c r="I992">
        <v>3.73</v>
      </c>
      <c r="J992" t="s">
        <v>1843</v>
      </c>
      <c r="K992" t="s">
        <v>609</v>
      </c>
      <c r="L992">
        <v>345</v>
      </c>
      <c r="M992">
        <v>2003</v>
      </c>
      <c r="N992">
        <v>1998</v>
      </c>
      <c r="P992" s="1">
        <v>44711</v>
      </c>
      <c r="Q992" t="s">
        <v>35</v>
      </c>
      <c r="R992" t="s">
        <v>1844</v>
      </c>
      <c r="S992" t="s">
        <v>35</v>
      </c>
      <c r="W992">
        <v>0</v>
      </c>
      <c r="X992">
        <v>0</v>
      </c>
    </row>
    <row r="993" spans="1:24" x14ac:dyDescent="0.25">
      <c r="A993">
        <v>55539565</v>
      </c>
      <c r="B993" t="s">
        <v>1845</v>
      </c>
      <c r="C993" t="s">
        <v>1846</v>
      </c>
      <c r="D993" t="s">
        <v>1847</v>
      </c>
      <c r="F993" t="str">
        <f>"1984878107"</f>
        <v>1984878107</v>
      </c>
      <c r="G993" t="str">
        <f>"9781984878106"</f>
        <v>9781984878106</v>
      </c>
      <c r="H993">
        <v>0</v>
      </c>
      <c r="I993">
        <v>4.24</v>
      </c>
      <c r="J993" t="s">
        <v>1848</v>
      </c>
      <c r="K993" t="s">
        <v>34</v>
      </c>
      <c r="L993">
        <v>307</v>
      </c>
      <c r="M993">
        <v>2021</v>
      </c>
      <c r="N993">
        <v>2021</v>
      </c>
      <c r="P993" s="1">
        <v>44711</v>
      </c>
      <c r="Q993" t="s">
        <v>35</v>
      </c>
      <c r="R993" t="s">
        <v>1849</v>
      </c>
      <c r="S993" t="s">
        <v>35</v>
      </c>
      <c r="W993">
        <v>0</v>
      </c>
      <c r="X993">
        <v>0</v>
      </c>
    </row>
    <row r="994" spans="1:24" x14ac:dyDescent="0.25">
      <c r="A994">
        <v>54898389</v>
      </c>
      <c r="B994" t="s">
        <v>1850</v>
      </c>
      <c r="C994" t="s">
        <v>1851</v>
      </c>
      <c r="D994" t="s">
        <v>1852</v>
      </c>
      <c r="F994" t="str">
        <f>""</f>
        <v/>
      </c>
      <c r="G994" t="str">
        <f>"9781544514208"</f>
        <v>9781544514208</v>
      </c>
      <c r="H994">
        <v>0</v>
      </c>
      <c r="I994">
        <v>4.51</v>
      </c>
      <c r="J994" t="s">
        <v>1853</v>
      </c>
      <c r="K994" t="s">
        <v>609</v>
      </c>
      <c r="L994">
        <v>244</v>
      </c>
      <c r="M994">
        <v>2020</v>
      </c>
      <c r="N994">
        <v>2020</v>
      </c>
      <c r="P994" s="1">
        <v>44711</v>
      </c>
      <c r="Q994" t="s">
        <v>35</v>
      </c>
      <c r="R994" t="s">
        <v>1854</v>
      </c>
      <c r="S994" t="s">
        <v>35</v>
      </c>
      <c r="W994">
        <v>0</v>
      </c>
      <c r="X994">
        <v>0</v>
      </c>
    </row>
    <row r="995" spans="1:24" x14ac:dyDescent="0.25">
      <c r="A995">
        <v>17332218</v>
      </c>
      <c r="B995" t="s">
        <v>1855</v>
      </c>
      <c r="C995" t="s">
        <v>160</v>
      </c>
      <c r="D995" t="s">
        <v>161</v>
      </c>
      <c r="F995" t="str">
        <f>"0765326361"</f>
        <v>0765326361</v>
      </c>
      <c r="G995" t="str">
        <f>"9780765326362"</f>
        <v>9780765326362</v>
      </c>
      <c r="H995">
        <v>5</v>
      </c>
      <c r="I995">
        <v>4.75</v>
      </c>
      <c r="J995" t="s">
        <v>162</v>
      </c>
      <c r="K995" t="s">
        <v>34</v>
      </c>
      <c r="L995">
        <v>1087</v>
      </c>
      <c r="M995">
        <v>2014</v>
      </c>
      <c r="N995">
        <v>2014</v>
      </c>
      <c r="O995" s="1">
        <v>44710</v>
      </c>
      <c r="P995" s="1">
        <v>44464</v>
      </c>
      <c r="S995" t="s">
        <v>29</v>
      </c>
      <c r="W995">
        <v>1</v>
      </c>
      <c r="X995">
        <v>0</v>
      </c>
    </row>
    <row r="996" spans="1:24" x14ac:dyDescent="0.25">
      <c r="A996">
        <v>52838315</v>
      </c>
      <c r="B996" t="s">
        <v>1856</v>
      </c>
      <c r="C996" t="s">
        <v>1857</v>
      </c>
      <c r="D996" t="s">
        <v>1858</v>
      </c>
      <c r="F996" t="str">
        <f>"0593139135"</f>
        <v>0593139135</v>
      </c>
      <c r="G996" t="str">
        <f>"9780593139134"</f>
        <v>9780593139134</v>
      </c>
      <c r="H996">
        <v>4</v>
      </c>
      <c r="I996">
        <v>4.21</v>
      </c>
      <c r="J996" t="s">
        <v>1859</v>
      </c>
      <c r="K996" t="s">
        <v>34</v>
      </c>
      <c r="L996">
        <v>308</v>
      </c>
      <c r="M996">
        <v>2020</v>
      </c>
      <c r="N996">
        <v>2020</v>
      </c>
      <c r="O996" s="1">
        <v>44709</v>
      </c>
      <c r="P996" s="1">
        <v>44708</v>
      </c>
      <c r="S996" t="s">
        <v>29</v>
      </c>
      <c r="W996">
        <v>1</v>
      </c>
      <c r="X996">
        <v>0</v>
      </c>
    </row>
    <row r="997" spans="1:24" x14ac:dyDescent="0.25">
      <c r="A997">
        <v>206328</v>
      </c>
      <c r="B997" t="s">
        <v>1860</v>
      </c>
      <c r="C997" t="s">
        <v>1775</v>
      </c>
      <c r="D997" t="s">
        <v>1776</v>
      </c>
      <c r="E997" t="s">
        <v>1861</v>
      </c>
      <c r="F997" t="str">
        <f>"0060799129"</f>
        <v>0060799129</v>
      </c>
      <c r="G997" t="str">
        <f>"9780060799120"</f>
        <v>9780060799120</v>
      </c>
      <c r="H997">
        <v>0</v>
      </c>
      <c r="I997">
        <v>4</v>
      </c>
      <c r="J997" t="s">
        <v>1777</v>
      </c>
      <c r="K997" t="s">
        <v>34</v>
      </c>
      <c r="L997">
        <v>176</v>
      </c>
      <c r="M997">
        <v>2005</v>
      </c>
      <c r="N997">
        <v>2005</v>
      </c>
      <c r="P997" s="1">
        <v>44709</v>
      </c>
      <c r="Q997" t="s">
        <v>35</v>
      </c>
      <c r="R997" t="s">
        <v>1862</v>
      </c>
      <c r="S997" t="s">
        <v>35</v>
      </c>
      <c r="W997">
        <v>0</v>
      </c>
      <c r="X997">
        <v>0</v>
      </c>
    </row>
    <row r="998" spans="1:24" x14ac:dyDescent="0.25">
      <c r="A998">
        <v>29632242</v>
      </c>
      <c r="B998" t="s">
        <v>1863</v>
      </c>
      <c r="C998" t="s">
        <v>1864</v>
      </c>
      <c r="D998" t="s">
        <v>1865</v>
      </c>
      <c r="E998" t="s">
        <v>1866</v>
      </c>
      <c r="F998" t="str">
        <f>"1421590565"</f>
        <v>1421590565</v>
      </c>
      <c r="G998" t="str">
        <f>"9781421590561"</f>
        <v>9781421590561</v>
      </c>
      <c r="H998">
        <v>4</v>
      </c>
      <c r="I998">
        <v>4.12</v>
      </c>
      <c r="J998" t="s">
        <v>1484</v>
      </c>
      <c r="K998" t="s">
        <v>34</v>
      </c>
      <c r="L998">
        <v>752</v>
      </c>
      <c r="M998">
        <v>2016</v>
      </c>
      <c r="N998">
        <v>1987</v>
      </c>
      <c r="O998" s="1">
        <v>44706</v>
      </c>
      <c r="P998" s="1">
        <v>44704</v>
      </c>
      <c r="S998" t="s">
        <v>29</v>
      </c>
      <c r="W998">
        <v>1</v>
      </c>
      <c r="X998">
        <v>0</v>
      </c>
    </row>
    <row r="999" spans="1:24" x14ac:dyDescent="0.25">
      <c r="A999">
        <v>31856310</v>
      </c>
      <c r="B999" t="s">
        <v>1867</v>
      </c>
      <c r="C999" t="s">
        <v>1868</v>
      </c>
      <c r="D999" t="s">
        <v>1869</v>
      </c>
      <c r="E999" t="s">
        <v>1870</v>
      </c>
      <c r="F999" t="str">
        <f>"1441723234"</f>
        <v>1441723234</v>
      </c>
      <c r="G999" t="str">
        <f>"9781441723239"</f>
        <v>9781441723239</v>
      </c>
      <c r="H999">
        <v>2</v>
      </c>
      <c r="I999">
        <v>4.16</v>
      </c>
      <c r="J999" t="s">
        <v>1871</v>
      </c>
      <c r="K999" t="s">
        <v>1872</v>
      </c>
      <c r="M999">
        <v>2016</v>
      </c>
      <c r="N999">
        <v>2016</v>
      </c>
      <c r="O999" s="1">
        <v>44704</v>
      </c>
      <c r="P999" s="1">
        <v>44704</v>
      </c>
      <c r="S999" t="s">
        <v>29</v>
      </c>
      <c r="W999">
        <v>1</v>
      </c>
      <c r="X999">
        <v>0</v>
      </c>
    </row>
    <row r="1000" spans="1:24" x14ac:dyDescent="0.25">
      <c r="A1000">
        <v>136251</v>
      </c>
      <c r="B1000" t="s">
        <v>1873</v>
      </c>
      <c r="C1000" t="s">
        <v>994</v>
      </c>
      <c r="D1000" t="s">
        <v>995</v>
      </c>
      <c r="F1000" t="str">
        <f>""</f>
        <v/>
      </c>
      <c r="G1000" t="str">
        <f>""</f>
        <v/>
      </c>
      <c r="H1000">
        <v>5</v>
      </c>
      <c r="I1000">
        <v>4.62</v>
      </c>
      <c r="J1000" t="s">
        <v>1874</v>
      </c>
      <c r="K1000" t="s">
        <v>34</v>
      </c>
      <c r="L1000">
        <v>759</v>
      </c>
      <c r="M1000">
        <v>2007</v>
      </c>
      <c r="N1000">
        <v>2007</v>
      </c>
      <c r="O1000" s="1">
        <v>44704</v>
      </c>
      <c r="P1000" s="1">
        <v>43610</v>
      </c>
      <c r="S1000" t="s">
        <v>29</v>
      </c>
      <c r="W1000">
        <v>2</v>
      </c>
      <c r="X1000">
        <v>0</v>
      </c>
    </row>
    <row r="1001" spans="1:24" x14ac:dyDescent="0.25">
      <c r="A1001">
        <v>16144853</v>
      </c>
      <c r="B1001" t="s">
        <v>1875</v>
      </c>
      <c r="C1001" t="s">
        <v>1876</v>
      </c>
      <c r="D1001" t="s">
        <v>1877</v>
      </c>
      <c r="F1001" t="str">
        <f>"1591845327"</f>
        <v>1591845327</v>
      </c>
      <c r="G1001" t="str">
        <f>"9781591845324"</f>
        <v>9781591845324</v>
      </c>
      <c r="H1001">
        <v>0</v>
      </c>
      <c r="I1001">
        <v>4.1100000000000003</v>
      </c>
      <c r="J1001" t="s">
        <v>966</v>
      </c>
      <c r="K1001" t="s">
        <v>34</v>
      </c>
      <c r="L1001">
        <v>350</v>
      </c>
      <c r="M1001">
        <v>2014</v>
      </c>
      <c r="N1001">
        <v>2013</v>
      </c>
      <c r="P1001" s="1">
        <v>44665</v>
      </c>
      <c r="Q1001" t="s">
        <v>35</v>
      </c>
      <c r="R1001" t="s">
        <v>1878</v>
      </c>
      <c r="S1001" t="s">
        <v>35</v>
      </c>
      <c r="W1001">
        <v>0</v>
      </c>
      <c r="X1001">
        <v>0</v>
      </c>
    </row>
    <row r="1002" spans="1:24" x14ac:dyDescent="0.25">
      <c r="A1002">
        <v>18007564</v>
      </c>
      <c r="B1002" t="s">
        <v>1879</v>
      </c>
      <c r="C1002" t="s">
        <v>1701</v>
      </c>
      <c r="D1002" t="s">
        <v>1702</v>
      </c>
      <c r="F1002" t="str">
        <f>"0804139024"</f>
        <v>0804139024</v>
      </c>
      <c r="G1002" t="str">
        <f>"9780804139021"</f>
        <v>9780804139021</v>
      </c>
      <c r="H1002">
        <v>4</v>
      </c>
      <c r="I1002">
        <v>4.41</v>
      </c>
      <c r="J1002" t="s">
        <v>1703</v>
      </c>
      <c r="K1002" t="s">
        <v>34</v>
      </c>
      <c r="L1002">
        <v>384</v>
      </c>
      <c r="M1002">
        <v>2014</v>
      </c>
      <c r="N1002">
        <v>2011</v>
      </c>
      <c r="O1002" s="1">
        <v>44701</v>
      </c>
      <c r="P1002" s="1">
        <v>44575</v>
      </c>
      <c r="S1002" t="s">
        <v>29</v>
      </c>
      <c r="W1002">
        <v>1</v>
      </c>
      <c r="X1002">
        <v>0</v>
      </c>
    </row>
    <row r="1003" spans="1:24" x14ac:dyDescent="0.25">
      <c r="A1003">
        <v>26156469</v>
      </c>
      <c r="B1003" t="s">
        <v>1880</v>
      </c>
      <c r="C1003" t="s">
        <v>1881</v>
      </c>
      <c r="D1003" t="s">
        <v>1882</v>
      </c>
      <c r="E1003" t="s">
        <v>1883</v>
      </c>
      <c r="F1003" t="str">
        <f>"0062407805"</f>
        <v>0062407805</v>
      </c>
      <c r="G1003" t="str">
        <f>"9780062407801"</f>
        <v>9780062407801</v>
      </c>
      <c r="H1003">
        <v>0</v>
      </c>
      <c r="I1003">
        <v>4.37</v>
      </c>
      <c r="J1003" t="s">
        <v>1271</v>
      </c>
      <c r="K1003" t="s">
        <v>34</v>
      </c>
      <c r="L1003">
        <v>274</v>
      </c>
      <c r="M1003">
        <v>2016</v>
      </c>
      <c r="N1003">
        <v>2016</v>
      </c>
      <c r="P1003" s="1">
        <v>44700</v>
      </c>
      <c r="Q1003" t="s">
        <v>35</v>
      </c>
      <c r="R1003" t="s">
        <v>1884</v>
      </c>
      <c r="S1003" t="s">
        <v>35</v>
      </c>
      <c r="W1003">
        <v>0</v>
      </c>
      <c r="X1003">
        <v>0</v>
      </c>
    </row>
    <row r="1004" spans="1:24" x14ac:dyDescent="0.25">
      <c r="A1004">
        <v>5956547</v>
      </c>
      <c r="B1004" t="s">
        <v>1885</v>
      </c>
      <c r="C1004" t="s">
        <v>1886</v>
      </c>
      <c r="D1004" t="s">
        <v>1887</v>
      </c>
      <c r="F1004" t="str">
        <f>""</f>
        <v/>
      </c>
      <c r="G1004" t="str">
        <f>""</f>
        <v/>
      </c>
      <c r="H1004">
        <v>0</v>
      </c>
      <c r="I1004">
        <v>4.21</v>
      </c>
      <c r="J1004" t="s">
        <v>1888</v>
      </c>
      <c r="K1004" t="s">
        <v>28</v>
      </c>
      <c r="L1004">
        <v>160</v>
      </c>
      <c r="N1004">
        <v>2001</v>
      </c>
      <c r="P1004" s="1">
        <v>44699</v>
      </c>
      <c r="Q1004" t="s">
        <v>35</v>
      </c>
      <c r="R1004" t="s">
        <v>1889</v>
      </c>
      <c r="S1004" t="s">
        <v>35</v>
      </c>
      <c r="W1004">
        <v>0</v>
      </c>
      <c r="X1004">
        <v>0</v>
      </c>
    </row>
    <row r="1005" spans="1:24" x14ac:dyDescent="0.25">
      <c r="A1005">
        <v>1</v>
      </c>
      <c r="B1005" t="s">
        <v>1890</v>
      </c>
      <c r="C1005" t="s">
        <v>994</v>
      </c>
      <c r="D1005" t="s">
        <v>995</v>
      </c>
      <c r="F1005" t="str">
        <f>""</f>
        <v/>
      </c>
      <c r="G1005" t="str">
        <f>""</f>
        <v/>
      </c>
      <c r="H1005">
        <v>5</v>
      </c>
      <c r="I1005">
        <v>4.58</v>
      </c>
      <c r="J1005" t="s">
        <v>1891</v>
      </c>
      <c r="K1005" t="s">
        <v>28</v>
      </c>
      <c r="L1005">
        <v>652</v>
      </c>
      <c r="M1005">
        <v>2006</v>
      </c>
      <c r="N1005">
        <v>2005</v>
      </c>
      <c r="O1005" s="1">
        <v>44700</v>
      </c>
      <c r="P1005" s="1">
        <v>43688</v>
      </c>
      <c r="S1005" t="s">
        <v>29</v>
      </c>
      <c r="W1005">
        <v>2</v>
      </c>
      <c r="X1005">
        <v>0</v>
      </c>
    </row>
    <row r="1006" spans="1:24" x14ac:dyDescent="0.25">
      <c r="A1006">
        <v>22716175</v>
      </c>
      <c r="B1006" t="s">
        <v>1892</v>
      </c>
      <c r="C1006" t="s">
        <v>1864</v>
      </c>
      <c r="D1006" t="s">
        <v>1865</v>
      </c>
      <c r="E1006" t="s">
        <v>1893</v>
      </c>
      <c r="F1006" t="str">
        <f>"1421579154"</f>
        <v>1421579154</v>
      </c>
      <c r="G1006" t="str">
        <f>"9781421579153"</f>
        <v>9781421579153</v>
      </c>
      <c r="H1006">
        <v>3</v>
      </c>
      <c r="I1006">
        <v>3.87</v>
      </c>
      <c r="J1006" t="s">
        <v>27</v>
      </c>
      <c r="K1006" t="s">
        <v>34</v>
      </c>
      <c r="L1006">
        <v>400</v>
      </c>
      <c r="M1006">
        <v>2015</v>
      </c>
      <c r="N1006">
        <v>2002</v>
      </c>
      <c r="O1006" s="1">
        <v>44698</v>
      </c>
      <c r="P1006" s="1">
        <v>44698</v>
      </c>
      <c r="S1006" t="s">
        <v>29</v>
      </c>
      <c r="W1006">
        <v>1</v>
      </c>
      <c r="X1006">
        <v>0</v>
      </c>
    </row>
    <row r="1007" spans="1:24" x14ac:dyDescent="0.25">
      <c r="A1007">
        <v>58400451</v>
      </c>
      <c r="B1007" t="s">
        <v>1894</v>
      </c>
      <c r="C1007" t="s">
        <v>1430</v>
      </c>
      <c r="D1007" t="s">
        <v>1431</v>
      </c>
      <c r="E1007" t="s">
        <v>1432</v>
      </c>
      <c r="F1007" t="str">
        <f>"1506727549"</f>
        <v>1506727549</v>
      </c>
      <c r="G1007" t="str">
        <f>"9781506727547"</f>
        <v>9781506727547</v>
      </c>
      <c r="H1007">
        <v>5</v>
      </c>
      <c r="I1007">
        <v>4.92</v>
      </c>
      <c r="J1007" t="s">
        <v>633</v>
      </c>
      <c r="K1007" t="s">
        <v>34</v>
      </c>
      <c r="L1007">
        <v>648</v>
      </c>
      <c r="M1007">
        <v>2022</v>
      </c>
      <c r="N1007">
        <v>2022</v>
      </c>
      <c r="O1007" s="1">
        <v>44697</v>
      </c>
      <c r="P1007" s="1">
        <v>44696</v>
      </c>
      <c r="S1007" t="s">
        <v>29</v>
      </c>
      <c r="W1007">
        <v>1</v>
      </c>
      <c r="X1007">
        <v>0</v>
      </c>
    </row>
    <row r="1008" spans="1:24" x14ac:dyDescent="0.25">
      <c r="A1008">
        <v>2</v>
      </c>
      <c r="B1008" t="s">
        <v>1895</v>
      </c>
      <c r="C1008" t="s">
        <v>994</v>
      </c>
      <c r="D1008" t="s">
        <v>995</v>
      </c>
      <c r="E1008" t="s">
        <v>1896</v>
      </c>
      <c r="F1008" t="str">
        <f>""</f>
        <v/>
      </c>
      <c r="G1008" t="str">
        <f>""</f>
        <v/>
      </c>
      <c r="H1008">
        <v>5</v>
      </c>
      <c r="I1008">
        <v>4.5</v>
      </c>
      <c r="J1008" t="s">
        <v>1891</v>
      </c>
      <c r="K1008" t="s">
        <v>28</v>
      </c>
      <c r="L1008">
        <v>912</v>
      </c>
      <c r="M1008">
        <v>2004</v>
      </c>
      <c r="N1008">
        <v>2003</v>
      </c>
      <c r="O1008" s="1">
        <v>44697</v>
      </c>
      <c r="P1008" s="1">
        <v>43610</v>
      </c>
      <c r="S1008" t="s">
        <v>29</v>
      </c>
      <c r="W1008">
        <v>2</v>
      </c>
      <c r="X1008">
        <v>0</v>
      </c>
    </row>
    <row r="1009" spans="1:24" x14ac:dyDescent="0.25">
      <c r="A1009">
        <v>36169874</v>
      </c>
      <c r="B1009" t="s">
        <v>1897</v>
      </c>
      <c r="C1009" t="s">
        <v>1898</v>
      </c>
      <c r="D1009" t="s">
        <v>1899</v>
      </c>
      <c r="F1009" t="str">
        <f>""</f>
        <v/>
      </c>
      <c r="G1009" t="str">
        <f>"9789996618277"</f>
        <v>9789996618277</v>
      </c>
      <c r="H1009">
        <v>0</v>
      </c>
      <c r="I1009">
        <v>3.99</v>
      </c>
      <c r="J1009" t="s">
        <v>1900</v>
      </c>
      <c r="L1009">
        <v>356</v>
      </c>
      <c r="M1009">
        <v>2017</v>
      </c>
      <c r="N1009">
        <v>2017</v>
      </c>
      <c r="P1009" s="1">
        <v>44691</v>
      </c>
      <c r="Q1009" t="s">
        <v>35</v>
      </c>
      <c r="R1009" t="s">
        <v>1901</v>
      </c>
      <c r="S1009" t="s">
        <v>35</v>
      </c>
      <c r="W1009">
        <v>0</v>
      </c>
      <c r="X1009">
        <v>0</v>
      </c>
    </row>
    <row r="1010" spans="1:24" x14ac:dyDescent="0.25">
      <c r="A1010">
        <v>57344240</v>
      </c>
      <c r="B1010" t="s">
        <v>1902</v>
      </c>
      <c r="C1010" t="s">
        <v>1430</v>
      </c>
      <c r="D1010" t="s">
        <v>1431</v>
      </c>
      <c r="E1010" t="s">
        <v>1432</v>
      </c>
      <c r="F1010" t="str">
        <f>"1506717926"</f>
        <v>1506717926</v>
      </c>
      <c r="G1010" t="str">
        <f>"9781506717920"</f>
        <v>9781506717920</v>
      </c>
      <c r="H1010">
        <v>5</v>
      </c>
      <c r="I1010">
        <v>4.8899999999999997</v>
      </c>
      <c r="J1010" t="s">
        <v>1433</v>
      </c>
      <c r="K1010" t="s">
        <v>34</v>
      </c>
      <c r="L1010">
        <v>656</v>
      </c>
      <c r="M1010">
        <v>2021</v>
      </c>
      <c r="N1010">
        <v>2021</v>
      </c>
      <c r="O1010" s="1">
        <v>44693</v>
      </c>
      <c r="P1010" s="1">
        <v>44693</v>
      </c>
      <c r="S1010" t="s">
        <v>29</v>
      </c>
      <c r="W1010">
        <v>1</v>
      </c>
      <c r="X1010">
        <v>0</v>
      </c>
    </row>
    <row r="1011" spans="1:24" x14ac:dyDescent="0.25">
      <c r="A1011">
        <v>59493518</v>
      </c>
      <c r="B1011" t="s">
        <v>1903</v>
      </c>
      <c r="C1011" t="s">
        <v>1904</v>
      </c>
      <c r="D1011" t="s">
        <v>1905</v>
      </c>
      <c r="F1011" t="str">
        <f>""</f>
        <v/>
      </c>
      <c r="G1011" t="str">
        <f>"9789770937310"</f>
        <v>9789770937310</v>
      </c>
      <c r="H1011">
        <v>4</v>
      </c>
      <c r="I1011">
        <v>3.74</v>
      </c>
      <c r="J1011" t="s">
        <v>361</v>
      </c>
      <c r="K1011" t="s">
        <v>28</v>
      </c>
      <c r="L1011">
        <v>262</v>
      </c>
      <c r="M1011">
        <v>2021</v>
      </c>
      <c r="N1011">
        <v>2021</v>
      </c>
      <c r="O1011" s="1">
        <v>44693</v>
      </c>
      <c r="P1011" s="1">
        <v>44691</v>
      </c>
      <c r="S1011" t="s">
        <v>29</v>
      </c>
      <c r="W1011">
        <v>1</v>
      </c>
      <c r="X1011">
        <v>0</v>
      </c>
    </row>
    <row r="1012" spans="1:24" x14ac:dyDescent="0.25">
      <c r="A1012">
        <v>55695709</v>
      </c>
      <c r="B1012" t="s">
        <v>1906</v>
      </c>
      <c r="C1012" t="s">
        <v>1430</v>
      </c>
      <c r="D1012" t="s">
        <v>1431</v>
      </c>
      <c r="E1012" t="s">
        <v>1432</v>
      </c>
      <c r="F1012" t="str">
        <f>"1506717918"</f>
        <v>1506717918</v>
      </c>
      <c r="G1012" t="str">
        <f>"9781506717913"</f>
        <v>9781506717913</v>
      </c>
      <c r="H1012">
        <v>5</v>
      </c>
      <c r="I1012">
        <v>4.8600000000000003</v>
      </c>
      <c r="J1012" t="s">
        <v>1433</v>
      </c>
      <c r="K1012" t="s">
        <v>34</v>
      </c>
      <c r="L1012">
        <v>632</v>
      </c>
      <c r="M1012">
        <v>2021</v>
      </c>
      <c r="N1012">
        <v>2021</v>
      </c>
      <c r="O1012" s="1">
        <v>44693</v>
      </c>
      <c r="P1012" s="1">
        <v>44692</v>
      </c>
      <c r="S1012" t="s">
        <v>29</v>
      </c>
      <c r="W1012">
        <v>1</v>
      </c>
      <c r="X1012">
        <v>0</v>
      </c>
    </row>
    <row r="1013" spans="1:24" x14ac:dyDescent="0.25">
      <c r="A1013">
        <v>1499952</v>
      </c>
      <c r="B1013" t="s">
        <v>1907</v>
      </c>
      <c r="C1013" t="s">
        <v>1908</v>
      </c>
      <c r="D1013" t="s">
        <v>1909</v>
      </c>
      <c r="E1013" t="s">
        <v>1910</v>
      </c>
      <c r="F1013" t="str">
        <f>""</f>
        <v/>
      </c>
      <c r="G1013" t="str">
        <f>""</f>
        <v/>
      </c>
      <c r="H1013">
        <v>0</v>
      </c>
      <c r="I1013">
        <v>4.1500000000000004</v>
      </c>
      <c r="J1013" t="s">
        <v>1911</v>
      </c>
      <c r="K1013" t="s">
        <v>34</v>
      </c>
      <c r="L1013">
        <v>249</v>
      </c>
      <c r="M1013">
        <v>1912</v>
      </c>
      <c r="N1013">
        <v>1912</v>
      </c>
      <c r="P1013" s="1">
        <v>44691</v>
      </c>
      <c r="Q1013" t="s">
        <v>35</v>
      </c>
      <c r="R1013" t="s">
        <v>1912</v>
      </c>
      <c r="S1013" t="s">
        <v>35</v>
      </c>
      <c r="W1013">
        <v>0</v>
      </c>
      <c r="X1013">
        <v>0</v>
      </c>
    </row>
    <row r="1014" spans="1:24" x14ac:dyDescent="0.25">
      <c r="A1014">
        <v>58904181</v>
      </c>
      <c r="B1014" t="s">
        <v>1913</v>
      </c>
      <c r="C1014" t="s">
        <v>1914</v>
      </c>
      <c r="D1014" t="s">
        <v>1915</v>
      </c>
      <c r="F1014" t="str">
        <f>""</f>
        <v/>
      </c>
      <c r="G1014" t="str">
        <f>""</f>
        <v/>
      </c>
      <c r="H1014">
        <v>2</v>
      </c>
      <c r="I1014">
        <v>3.79</v>
      </c>
      <c r="J1014" t="s">
        <v>1916</v>
      </c>
      <c r="L1014">
        <v>140</v>
      </c>
      <c r="M1014">
        <v>2022</v>
      </c>
      <c r="O1014" s="1">
        <v>44691</v>
      </c>
      <c r="P1014" s="1">
        <v>44557</v>
      </c>
      <c r="S1014" t="s">
        <v>29</v>
      </c>
      <c r="W1014">
        <v>1</v>
      </c>
      <c r="X1014">
        <v>0</v>
      </c>
    </row>
    <row r="1015" spans="1:24" x14ac:dyDescent="0.25">
      <c r="A1015">
        <v>54222102</v>
      </c>
      <c r="B1015" t="s">
        <v>1917</v>
      </c>
      <c r="C1015" t="s">
        <v>1430</v>
      </c>
      <c r="D1015" t="s">
        <v>1431</v>
      </c>
      <c r="E1015" t="s">
        <v>1432</v>
      </c>
      <c r="F1015" t="str">
        <f>"150671790X"</f>
        <v>150671790X</v>
      </c>
      <c r="G1015" t="str">
        <f>"9781506717906"</f>
        <v>9781506717906</v>
      </c>
      <c r="H1015">
        <v>5</v>
      </c>
      <c r="I1015">
        <v>4.87</v>
      </c>
      <c r="J1015" t="s">
        <v>1433</v>
      </c>
      <c r="K1015" t="s">
        <v>34</v>
      </c>
      <c r="L1015">
        <v>704</v>
      </c>
      <c r="M1015">
        <v>2021</v>
      </c>
      <c r="N1015">
        <v>2021</v>
      </c>
      <c r="O1015" s="1">
        <v>44691</v>
      </c>
      <c r="P1015" s="1">
        <v>44691</v>
      </c>
      <c r="S1015" t="s">
        <v>29</v>
      </c>
      <c r="W1015">
        <v>1</v>
      </c>
      <c r="X1015">
        <v>0</v>
      </c>
    </row>
    <row r="1016" spans="1:24" x14ac:dyDescent="0.25">
      <c r="A1016">
        <v>52815357</v>
      </c>
      <c r="B1016" t="s">
        <v>1918</v>
      </c>
      <c r="C1016" t="s">
        <v>1430</v>
      </c>
      <c r="D1016" t="s">
        <v>1431</v>
      </c>
      <c r="E1016" t="s">
        <v>1432</v>
      </c>
      <c r="F1016" t="str">
        <f>"1506715230"</f>
        <v>1506715230</v>
      </c>
      <c r="G1016" t="str">
        <f>"9781506715230"</f>
        <v>9781506715230</v>
      </c>
      <c r="H1016">
        <v>5</v>
      </c>
      <c r="I1016">
        <v>4.83</v>
      </c>
      <c r="J1016" t="s">
        <v>1433</v>
      </c>
      <c r="K1016" t="s">
        <v>34</v>
      </c>
      <c r="L1016">
        <v>712</v>
      </c>
      <c r="M1016">
        <v>2020</v>
      </c>
      <c r="N1016">
        <v>2020</v>
      </c>
      <c r="O1016" s="1">
        <v>44689</v>
      </c>
      <c r="P1016" s="1">
        <v>44689</v>
      </c>
      <c r="S1016" t="s">
        <v>29</v>
      </c>
      <c r="W1016">
        <v>1</v>
      </c>
      <c r="X1016">
        <v>0</v>
      </c>
    </row>
    <row r="1017" spans="1:24" x14ac:dyDescent="0.25">
      <c r="A1017">
        <v>29579</v>
      </c>
      <c r="B1017" t="s">
        <v>1919</v>
      </c>
      <c r="C1017" t="s">
        <v>1920</v>
      </c>
      <c r="D1017" t="s">
        <v>1921</v>
      </c>
      <c r="F1017" t="str">
        <f>"0553803719"</f>
        <v>0553803719</v>
      </c>
      <c r="G1017" t="str">
        <f>"9780553803716"</f>
        <v>9780553803716</v>
      </c>
      <c r="H1017">
        <v>0</v>
      </c>
      <c r="I1017">
        <v>4.17</v>
      </c>
      <c r="J1017" t="s">
        <v>1922</v>
      </c>
      <c r="K1017" t="s">
        <v>34</v>
      </c>
      <c r="L1017">
        <v>244</v>
      </c>
      <c r="M1017">
        <v>2004</v>
      </c>
      <c r="N1017">
        <v>1951</v>
      </c>
      <c r="P1017" s="1">
        <v>44689</v>
      </c>
      <c r="Q1017" t="s">
        <v>35</v>
      </c>
      <c r="R1017" t="s">
        <v>1923</v>
      </c>
      <c r="S1017" t="s">
        <v>35</v>
      </c>
      <c r="W1017">
        <v>0</v>
      </c>
      <c r="X1017">
        <v>0</v>
      </c>
    </row>
    <row r="1018" spans="1:24" x14ac:dyDescent="0.25">
      <c r="A1018">
        <v>375802</v>
      </c>
      <c r="B1018" t="s">
        <v>1924</v>
      </c>
      <c r="C1018" t="s">
        <v>1925</v>
      </c>
      <c r="D1018" t="s">
        <v>1926</v>
      </c>
      <c r="F1018" t="str">
        <f>"0812550706"</f>
        <v>0812550706</v>
      </c>
      <c r="G1018" t="str">
        <f>"9780812550702"</f>
        <v>9780812550702</v>
      </c>
      <c r="H1018">
        <v>0</v>
      </c>
      <c r="I1018">
        <v>4.3099999999999996</v>
      </c>
      <c r="J1018" t="s">
        <v>1927</v>
      </c>
      <c r="K1018" t="s">
        <v>207</v>
      </c>
      <c r="L1018">
        <v>324</v>
      </c>
      <c r="M1018">
        <v>2004</v>
      </c>
      <c r="N1018">
        <v>1985</v>
      </c>
      <c r="P1018" s="1">
        <v>44689</v>
      </c>
      <c r="Q1018" t="s">
        <v>35</v>
      </c>
      <c r="R1018" t="s">
        <v>1928</v>
      </c>
      <c r="S1018" t="s">
        <v>35</v>
      </c>
      <c r="W1018">
        <v>0</v>
      </c>
      <c r="X1018">
        <v>0</v>
      </c>
    </row>
    <row r="1019" spans="1:24" x14ac:dyDescent="0.25">
      <c r="A1019">
        <v>33347428</v>
      </c>
      <c r="B1019" t="s">
        <v>1929</v>
      </c>
      <c r="C1019" t="s">
        <v>1930</v>
      </c>
      <c r="D1019" t="s">
        <v>1931</v>
      </c>
      <c r="E1019" t="s">
        <v>1932</v>
      </c>
      <c r="F1019" t="str">
        <f>"1501155563"</f>
        <v>1501155563</v>
      </c>
      <c r="G1019" t="str">
        <f>"9781501155567"</f>
        <v>9781501155567</v>
      </c>
      <c r="H1019">
        <v>4</v>
      </c>
      <c r="I1019">
        <v>4.0999999999999996</v>
      </c>
      <c r="J1019" t="s">
        <v>1933</v>
      </c>
      <c r="K1019" t="s">
        <v>34</v>
      </c>
      <c r="L1019">
        <v>378</v>
      </c>
      <c r="M1019">
        <v>2017</v>
      </c>
      <c r="N1019">
        <v>2017</v>
      </c>
      <c r="O1019" s="1">
        <v>44689</v>
      </c>
      <c r="P1019" s="1">
        <v>44687</v>
      </c>
      <c r="S1019" t="s">
        <v>29</v>
      </c>
      <c r="W1019">
        <v>1</v>
      </c>
      <c r="X1019">
        <v>0</v>
      </c>
    </row>
    <row r="1020" spans="1:24" x14ac:dyDescent="0.25">
      <c r="A1020">
        <v>42975172</v>
      </c>
      <c r="B1020" t="s">
        <v>1934</v>
      </c>
      <c r="C1020" t="s">
        <v>1935</v>
      </c>
      <c r="D1020" t="s">
        <v>1936</v>
      </c>
      <c r="F1020" t="str">
        <f>""</f>
        <v/>
      </c>
      <c r="G1020" t="str">
        <f>""</f>
        <v/>
      </c>
      <c r="H1020">
        <v>0</v>
      </c>
      <c r="I1020">
        <v>4.2</v>
      </c>
      <c r="J1020" t="s">
        <v>1937</v>
      </c>
      <c r="K1020" t="s">
        <v>34</v>
      </c>
      <c r="L1020">
        <v>422</v>
      </c>
      <c r="M1020">
        <v>2019</v>
      </c>
      <c r="N1020">
        <v>2019</v>
      </c>
      <c r="P1020" s="1">
        <v>44689</v>
      </c>
      <c r="Q1020" t="s">
        <v>35</v>
      </c>
      <c r="R1020" t="s">
        <v>1938</v>
      </c>
      <c r="S1020" t="s">
        <v>35</v>
      </c>
      <c r="W1020">
        <v>0</v>
      </c>
      <c r="X1020">
        <v>0</v>
      </c>
    </row>
    <row r="1021" spans="1:24" x14ac:dyDescent="0.25">
      <c r="A1021">
        <v>25889923</v>
      </c>
      <c r="B1021" t="s">
        <v>1939</v>
      </c>
      <c r="C1021" t="s">
        <v>1940</v>
      </c>
      <c r="D1021" t="s">
        <v>1941</v>
      </c>
      <c r="F1021" t="str">
        <f>"0349006571"</f>
        <v>0349006571</v>
      </c>
      <c r="G1021" t="str">
        <f>"9780349006574"</f>
        <v>9780349006574</v>
      </c>
      <c r="H1021">
        <v>0</v>
      </c>
      <c r="I1021">
        <v>4.24</v>
      </c>
      <c r="J1021" t="s">
        <v>1942</v>
      </c>
      <c r="K1021" t="s">
        <v>28</v>
      </c>
      <c r="L1021">
        <v>432</v>
      </c>
      <c r="M1021">
        <v>2016</v>
      </c>
      <c r="N1021">
        <v>1938</v>
      </c>
      <c r="P1021" s="1">
        <v>44688</v>
      </c>
      <c r="Q1021" t="s">
        <v>35</v>
      </c>
      <c r="R1021" t="s">
        <v>1943</v>
      </c>
      <c r="S1021" t="s">
        <v>35</v>
      </c>
      <c r="W1021">
        <v>0</v>
      </c>
      <c r="X1021">
        <v>0</v>
      </c>
    </row>
    <row r="1022" spans="1:24" x14ac:dyDescent="0.25">
      <c r="A1022">
        <v>33357628</v>
      </c>
      <c r="B1022" t="s">
        <v>1944</v>
      </c>
      <c r="C1022" t="s">
        <v>1935</v>
      </c>
      <c r="D1022" t="s">
        <v>1936</v>
      </c>
      <c r="F1022" t="str">
        <f>"052543500X"</f>
        <v>052543500X</v>
      </c>
      <c r="G1022" t="str">
        <f>"9780525435006"</f>
        <v>9780525435006</v>
      </c>
      <c r="H1022">
        <v>0</v>
      </c>
      <c r="I1022">
        <v>4.13</v>
      </c>
      <c r="J1022" t="s">
        <v>564</v>
      </c>
      <c r="K1022" t="s">
        <v>28</v>
      </c>
      <c r="L1022">
        <v>311</v>
      </c>
      <c r="M1022">
        <v>2017</v>
      </c>
      <c r="N1022">
        <v>1985</v>
      </c>
      <c r="P1022" s="1">
        <v>44688</v>
      </c>
      <c r="Q1022" t="s">
        <v>35</v>
      </c>
      <c r="R1022" t="s">
        <v>1945</v>
      </c>
      <c r="S1022" t="s">
        <v>35</v>
      </c>
      <c r="W1022">
        <v>0</v>
      </c>
      <c r="X1022">
        <v>0</v>
      </c>
    </row>
    <row r="1023" spans="1:24" x14ac:dyDescent="0.25">
      <c r="A1023">
        <v>54493401</v>
      </c>
      <c r="B1023" t="s">
        <v>1946</v>
      </c>
      <c r="C1023" t="s">
        <v>1701</v>
      </c>
      <c r="D1023" t="s">
        <v>1702</v>
      </c>
      <c r="F1023" t="str">
        <f>"0593135202"</f>
        <v>0593135202</v>
      </c>
      <c r="G1023" t="str">
        <f>"9780593135204"</f>
        <v>9780593135204</v>
      </c>
      <c r="H1023">
        <v>5</v>
      </c>
      <c r="I1023">
        <v>4.5199999999999996</v>
      </c>
      <c r="J1023" t="s">
        <v>720</v>
      </c>
      <c r="K1023" t="s">
        <v>34</v>
      </c>
      <c r="L1023">
        <v>476</v>
      </c>
      <c r="M1023">
        <v>2021</v>
      </c>
      <c r="N1023">
        <v>2021</v>
      </c>
      <c r="O1023" s="1">
        <v>44687</v>
      </c>
      <c r="P1023" s="1">
        <v>44575</v>
      </c>
      <c r="S1023" t="s">
        <v>29</v>
      </c>
      <c r="W1023">
        <v>1</v>
      </c>
      <c r="X1023">
        <v>0</v>
      </c>
    </row>
    <row r="1024" spans="1:24" x14ac:dyDescent="0.25">
      <c r="A1024">
        <v>5</v>
      </c>
      <c r="B1024" t="s">
        <v>1947</v>
      </c>
      <c r="C1024" t="s">
        <v>994</v>
      </c>
      <c r="D1024" t="s">
        <v>995</v>
      </c>
      <c r="E1024" t="s">
        <v>1896</v>
      </c>
      <c r="F1024" t="str">
        <f>"043965548X"</f>
        <v>043965548X</v>
      </c>
      <c r="G1024" t="str">
        <f>"9780439655484"</f>
        <v>9780439655484</v>
      </c>
      <c r="H1024">
        <v>5</v>
      </c>
      <c r="I1024">
        <v>4.58</v>
      </c>
      <c r="J1024" t="s">
        <v>1891</v>
      </c>
      <c r="K1024" t="s">
        <v>207</v>
      </c>
      <c r="L1024">
        <v>435</v>
      </c>
      <c r="M1024">
        <v>2004</v>
      </c>
      <c r="N1024">
        <v>1999</v>
      </c>
      <c r="O1024" s="1">
        <v>44685</v>
      </c>
      <c r="P1024" s="1">
        <v>43610</v>
      </c>
      <c r="S1024" t="s">
        <v>29</v>
      </c>
      <c r="W1024">
        <v>1</v>
      </c>
      <c r="X1024">
        <v>0</v>
      </c>
    </row>
    <row r="1025" spans="1:24" x14ac:dyDescent="0.25">
      <c r="A1025">
        <v>33124137</v>
      </c>
      <c r="B1025" t="s">
        <v>1948</v>
      </c>
      <c r="C1025" t="s">
        <v>516</v>
      </c>
      <c r="D1025" t="s">
        <v>517</v>
      </c>
      <c r="F1025" t="str">
        <f>""</f>
        <v/>
      </c>
      <c r="G1025" t="str">
        <f>""</f>
        <v/>
      </c>
      <c r="H1025">
        <v>5</v>
      </c>
      <c r="I1025">
        <v>4.04</v>
      </c>
      <c r="J1025" t="s">
        <v>228</v>
      </c>
      <c r="K1025" t="s">
        <v>133</v>
      </c>
      <c r="L1025">
        <v>580</v>
      </c>
      <c r="M1025">
        <v>2014</v>
      </c>
      <c r="N1025">
        <v>1983</v>
      </c>
      <c r="O1025" s="1">
        <v>44683</v>
      </c>
      <c r="P1025" s="1">
        <v>44680</v>
      </c>
      <c r="S1025" t="s">
        <v>29</v>
      </c>
      <c r="W1025">
        <v>1</v>
      </c>
      <c r="X1025">
        <v>0</v>
      </c>
    </row>
    <row r="1026" spans="1:24" x14ac:dyDescent="0.25">
      <c r="A1026">
        <v>48855</v>
      </c>
      <c r="B1026" t="s">
        <v>1949</v>
      </c>
      <c r="C1026" t="s">
        <v>1950</v>
      </c>
      <c r="D1026" t="s">
        <v>1951</v>
      </c>
      <c r="E1026" t="s">
        <v>1952</v>
      </c>
      <c r="F1026" t="str">
        <f>""</f>
        <v/>
      </c>
      <c r="G1026" t="str">
        <f>""</f>
        <v/>
      </c>
      <c r="H1026">
        <v>2</v>
      </c>
      <c r="I1026">
        <v>4.18</v>
      </c>
      <c r="J1026" t="s">
        <v>1922</v>
      </c>
      <c r="K1026" t="s">
        <v>207</v>
      </c>
      <c r="L1026">
        <v>283</v>
      </c>
      <c r="M1026">
        <v>1993</v>
      </c>
      <c r="N1026">
        <v>1947</v>
      </c>
      <c r="O1026" s="1">
        <v>44640</v>
      </c>
      <c r="P1026" s="1">
        <v>44560</v>
      </c>
      <c r="S1026" t="s">
        <v>29</v>
      </c>
      <c r="W1026">
        <v>1</v>
      </c>
      <c r="X1026">
        <v>0</v>
      </c>
    </row>
    <row r="1027" spans="1:24" x14ac:dyDescent="0.25">
      <c r="A1027">
        <v>59538937</v>
      </c>
      <c r="B1027" t="s">
        <v>1953</v>
      </c>
      <c r="C1027" t="s">
        <v>1954</v>
      </c>
      <c r="D1027" t="s">
        <v>1955</v>
      </c>
      <c r="E1027" t="s">
        <v>1956</v>
      </c>
      <c r="F1027" t="str">
        <f>"4088830768"</f>
        <v>4088830768</v>
      </c>
      <c r="G1027" t="str">
        <f>"9784088830766"</f>
        <v>9784088830766</v>
      </c>
      <c r="H1027">
        <v>4</v>
      </c>
      <c r="I1027">
        <v>4.53</v>
      </c>
      <c r="J1027" t="s">
        <v>1043</v>
      </c>
      <c r="K1027" t="s">
        <v>28</v>
      </c>
      <c r="L1027">
        <v>210</v>
      </c>
      <c r="M1027">
        <v>2022</v>
      </c>
      <c r="N1027">
        <v>2022</v>
      </c>
      <c r="O1027" s="1">
        <v>44681</v>
      </c>
      <c r="P1027" s="1">
        <v>44680</v>
      </c>
      <c r="S1027" t="s">
        <v>29</v>
      </c>
      <c r="W1027">
        <v>1</v>
      </c>
      <c r="X1027">
        <v>0</v>
      </c>
    </row>
    <row r="1028" spans="1:24" x14ac:dyDescent="0.25">
      <c r="A1028">
        <v>59019473</v>
      </c>
      <c r="B1028" t="s">
        <v>1957</v>
      </c>
      <c r="C1028" t="s">
        <v>1954</v>
      </c>
      <c r="D1028" t="s">
        <v>1955</v>
      </c>
      <c r="E1028" t="s">
        <v>1956</v>
      </c>
      <c r="F1028" t="str">
        <f>"4088828437"</f>
        <v>4088828437</v>
      </c>
      <c r="G1028" t="str">
        <f>"9784088828435"</f>
        <v>9784088828435</v>
      </c>
      <c r="H1028">
        <v>4</v>
      </c>
      <c r="I1028">
        <v>4.58</v>
      </c>
      <c r="J1028" t="s">
        <v>53</v>
      </c>
      <c r="K1028" t="s">
        <v>28</v>
      </c>
      <c r="L1028">
        <v>210</v>
      </c>
      <c r="M1028">
        <v>2021</v>
      </c>
      <c r="N1028">
        <v>2021</v>
      </c>
      <c r="O1028" s="1">
        <v>44680</v>
      </c>
      <c r="P1028" s="1">
        <v>44680</v>
      </c>
      <c r="S1028" t="s">
        <v>29</v>
      </c>
      <c r="W1028">
        <v>1</v>
      </c>
      <c r="X1028">
        <v>0</v>
      </c>
    </row>
    <row r="1029" spans="1:24" x14ac:dyDescent="0.25">
      <c r="A1029">
        <v>56436861</v>
      </c>
      <c r="B1029" t="s">
        <v>1958</v>
      </c>
      <c r="C1029" t="s">
        <v>1954</v>
      </c>
      <c r="D1029" t="s">
        <v>1955</v>
      </c>
      <c r="E1029" t="s">
        <v>1956</v>
      </c>
      <c r="F1029" t="str">
        <f>"4088826698"</f>
        <v>4088826698</v>
      </c>
      <c r="G1029" t="str">
        <f>"9784088826691"</f>
        <v>9784088826691</v>
      </c>
      <c r="H1029">
        <v>4</v>
      </c>
      <c r="I1029">
        <v>4.4400000000000004</v>
      </c>
      <c r="J1029" t="s">
        <v>53</v>
      </c>
      <c r="K1029" t="s">
        <v>28</v>
      </c>
      <c r="L1029">
        <v>194</v>
      </c>
      <c r="M1029">
        <v>2021</v>
      </c>
      <c r="N1029">
        <v>2021</v>
      </c>
      <c r="O1029" s="1">
        <v>44680</v>
      </c>
      <c r="P1029" s="1">
        <v>44680</v>
      </c>
      <c r="S1029" t="s">
        <v>29</v>
      </c>
      <c r="W1029">
        <v>1</v>
      </c>
      <c r="X1029">
        <v>0</v>
      </c>
    </row>
    <row r="1030" spans="1:24" x14ac:dyDescent="0.25">
      <c r="A1030">
        <v>54022826</v>
      </c>
      <c r="B1030" t="s">
        <v>1959</v>
      </c>
      <c r="C1030" t="s">
        <v>1954</v>
      </c>
      <c r="D1030" t="s">
        <v>1955</v>
      </c>
      <c r="E1030" t="s">
        <v>1956</v>
      </c>
      <c r="F1030" t="str">
        <f>"4088825454"</f>
        <v>4088825454</v>
      </c>
      <c r="G1030" t="str">
        <f>"9784088825458"</f>
        <v>9784088825458</v>
      </c>
      <c r="H1030">
        <v>4</v>
      </c>
      <c r="I1030">
        <v>4.4800000000000004</v>
      </c>
      <c r="J1030" t="s">
        <v>53</v>
      </c>
      <c r="K1030" t="s">
        <v>28</v>
      </c>
      <c r="L1030">
        <v>202</v>
      </c>
      <c r="M1030">
        <v>2020</v>
      </c>
      <c r="N1030">
        <v>2020</v>
      </c>
      <c r="O1030" s="1">
        <v>44680</v>
      </c>
      <c r="P1030" s="1">
        <v>44680</v>
      </c>
      <c r="S1030" t="s">
        <v>29</v>
      </c>
      <c r="W1030">
        <v>1</v>
      </c>
      <c r="X1030">
        <v>0</v>
      </c>
    </row>
    <row r="1031" spans="1:24" x14ac:dyDescent="0.25">
      <c r="A1031">
        <v>52641009</v>
      </c>
      <c r="B1031" t="s">
        <v>1960</v>
      </c>
      <c r="C1031" t="s">
        <v>1954</v>
      </c>
      <c r="D1031" t="s">
        <v>1955</v>
      </c>
      <c r="E1031" t="s">
        <v>1956</v>
      </c>
      <c r="F1031" t="str">
        <f>"4088824636"</f>
        <v>4088824636</v>
      </c>
      <c r="G1031" t="str">
        <f>"9784088824635"</f>
        <v>9784088824635</v>
      </c>
      <c r="H1031">
        <v>4</v>
      </c>
      <c r="I1031">
        <v>4.49</v>
      </c>
      <c r="J1031" t="s">
        <v>53</v>
      </c>
      <c r="K1031" t="s">
        <v>28</v>
      </c>
      <c r="L1031">
        <v>202</v>
      </c>
      <c r="M1031">
        <v>2020</v>
      </c>
      <c r="N1031">
        <v>2020</v>
      </c>
      <c r="O1031" s="1">
        <v>44680</v>
      </c>
      <c r="P1031" s="1">
        <v>44680</v>
      </c>
      <c r="S1031" t="s">
        <v>29</v>
      </c>
      <c r="W1031">
        <v>1</v>
      </c>
      <c r="X1031">
        <v>0</v>
      </c>
    </row>
    <row r="1032" spans="1:24" x14ac:dyDescent="0.25">
      <c r="A1032">
        <v>49252613</v>
      </c>
      <c r="B1032" t="s">
        <v>1961</v>
      </c>
      <c r="C1032" t="s">
        <v>1954</v>
      </c>
      <c r="D1032" t="s">
        <v>1955</v>
      </c>
      <c r="E1032" t="s">
        <v>1956</v>
      </c>
      <c r="F1032" t="str">
        <f>"4088822293"</f>
        <v>4088822293</v>
      </c>
      <c r="G1032" t="str">
        <f>"9784088822297"</f>
        <v>9784088822297</v>
      </c>
      <c r="H1032">
        <v>5</v>
      </c>
      <c r="I1032">
        <v>4.5999999999999996</v>
      </c>
      <c r="J1032" t="s">
        <v>53</v>
      </c>
      <c r="K1032" t="s">
        <v>28</v>
      </c>
      <c r="L1032">
        <v>186</v>
      </c>
      <c r="M1032">
        <v>2020</v>
      </c>
      <c r="N1032">
        <v>2020</v>
      </c>
      <c r="O1032" s="1">
        <v>44680</v>
      </c>
      <c r="P1032" s="1">
        <v>44680</v>
      </c>
      <c r="S1032" t="s">
        <v>29</v>
      </c>
      <c r="W1032">
        <v>1</v>
      </c>
      <c r="X1032">
        <v>0</v>
      </c>
    </row>
    <row r="1033" spans="1:24" x14ac:dyDescent="0.25">
      <c r="A1033">
        <v>48729531</v>
      </c>
      <c r="B1033" t="s">
        <v>1962</v>
      </c>
      <c r="C1033" t="s">
        <v>1954</v>
      </c>
      <c r="D1033" t="s">
        <v>1955</v>
      </c>
      <c r="E1033" t="s">
        <v>1956</v>
      </c>
      <c r="F1033" t="str">
        <f>"4088821831"</f>
        <v>4088821831</v>
      </c>
      <c r="G1033" t="str">
        <f>"9784088821832"</f>
        <v>9784088821832</v>
      </c>
      <c r="H1033">
        <v>5</v>
      </c>
      <c r="I1033">
        <v>4.5599999999999996</v>
      </c>
      <c r="J1033" t="s">
        <v>53</v>
      </c>
      <c r="K1033" t="s">
        <v>28</v>
      </c>
      <c r="L1033">
        <v>194</v>
      </c>
      <c r="M1033">
        <v>2020</v>
      </c>
      <c r="N1033">
        <v>2020</v>
      </c>
      <c r="O1033" s="1">
        <v>44680</v>
      </c>
      <c r="P1033" s="1">
        <v>44680</v>
      </c>
      <c r="S1033" t="s">
        <v>29</v>
      </c>
      <c r="W1033">
        <v>1</v>
      </c>
      <c r="X1033">
        <v>0</v>
      </c>
    </row>
    <row r="1034" spans="1:24" x14ac:dyDescent="0.25">
      <c r="A1034">
        <v>50891127</v>
      </c>
      <c r="B1034" t="s">
        <v>1963</v>
      </c>
      <c r="C1034" t="s">
        <v>1954</v>
      </c>
      <c r="D1034" t="s">
        <v>1955</v>
      </c>
      <c r="E1034" t="s">
        <v>1964</v>
      </c>
      <c r="F1034" t="str">
        <f>"1974717240"</f>
        <v>1974717240</v>
      </c>
      <c r="G1034" t="str">
        <f>"9781974717248"</f>
        <v>9781974717248</v>
      </c>
      <c r="H1034">
        <v>5</v>
      </c>
      <c r="I1034">
        <v>4.5999999999999996</v>
      </c>
      <c r="J1034" t="s">
        <v>27</v>
      </c>
      <c r="K1034" t="s">
        <v>28</v>
      </c>
      <c r="L1034">
        <v>200</v>
      </c>
      <c r="M1034">
        <v>2020</v>
      </c>
      <c r="N1034">
        <v>2019</v>
      </c>
      <c r="O1034" s="1">
        <v>44680</v>
      </c>
      <c r="P1034" s="1">
        <v>44680</v>
      </c>
      <c r="S1034" t="s">
        <v>29</v>
      </c>
      <c r="W1034">
        <v>1</v>
      </c>
      <c r="X1034">
        <v>0</v>
      </c>
    </row>
    <row r="1035" spans="1:24" x14ac:dyDescent="0.25">
      <c r="A1035">
        <v>52757974</v>
      </c>
      <c r="B1035" t="s">
        <v>1965</v>
      </c>
      <c r="C1035" t="s">
        <v>1954</v>
      </c>
      <c r="D1035" t="s">
        <v>1955</v>
      </c>
      <c r="E1035" t="s">
        <v>1964</v>
      </c>
      <c r="F1035" t="str">
        <f>"1974715469"</f>
        <v>1974715469</v>
      </c>
      <c r="G1035" t="str">
        <f>"9781974715466"</f>
        <v>9781974715466</v>
      </c>
      <c r="H1035">
        <v>5</v>
      </c>
      <c r="I1035">
        <v>4.5199999999999996</v>
      </c>
      <c r="J1035" t="s">
        <v>27</v>
      </c>
      <c r="K1035" t="s">
        <v>28</v>
      </c>
      <c r="L1035">
        <v>220</v>
      </c>
      <c r="M1035">
        <v>2020</v>
      </c>
      <c r="N1035">
        <v>2019</v>
      </c>
      <c r="O1035" s="1">
        <v>44680</v>
      </c>
      <c r="P1035" s="1">
        <v>44680</v>
      </c>
      <c r="S1035" t="s">
        <v>29</v>
      </c>
      <c r="W1035">
        <v>1</v>
      </c>
      <c r="X1035">
        <v>0</v>
      </c>
    </row>
    <row r="1036" spans="1:24" x14ac:dyDescent="0.25">
      <c r="A1036">
        <v>866222</v>
      </c>
      <c r="B1036" t="s">
        <v>1966</v>
      </c>
      <c r="C1036" t="s">
        <v>1967</v>
      </c>
      <c r="D1036" t="s">
        <v>1968</v>
      </c>
      <c r="E1036" t="s">
        <v>1969</v>
      </c>
      <c r="F1036" t="str">
        <f>"0060753943"</f>
        <v>0060753943</v>
      </c>
      <c r="G1036" t="str">
        <f>"9780060753948"</f>
        <v>9780060753948</v>
      </c>
      <c r="H1036">
        <v>0</v>
      </c>
      <c r="I1036">
        <v>3.85</v>
      </c>
      <c r="J1036" t="s">
        <v>1271</v>
      </c>
      <c r="K1036" t="s">
        <v>34</v>
      </c>
      <c r="L1036">
        <v>384</v>
      </c>
      <c r="M1036">
        <v>2005</v>
      </c>
      <c r="N1036">
        <v>2005</v>
      </c>
      <c r="P1036" s="1">
        <v>44680</v>
      </c>
      <c r="Q1036" t="s">
        <v>35</v>
      </c>
      <c r="R1036" t="s">
        <v>1970</v>
      </c>
      <c r="S1036" t="s">
        <v>35</v>
      </c>
      <c r="W1036">
        <v>0</v>
      </c>
      <c r="X1036">
        <v>0</v>
      </c>
    </row>
    <row r="1037" spans="1:24" x14ac:dyDescent="0.25">
      <c r="A1037">
        <v>12980251</v>
      </c>
      <c r="B1037" t="s">
        <v>1971</v>
      </c>
      <c r="C1037" t="s">
        <v>1972</v>
      </c>
      <c r="D1037" t="s">
        <v>1973</v>
      </c>
      <c r="E1037" t="s">
        <v>1974</v>
      </c>
      <c r="F1037" t="str">
        <f>""</f>
        <v/>
      </c>
      <c r="G1037" t="str">
        <f>"9789948014416"</f>
        <v>9789948014416</v>
      </c>
      <c r="H1037">
        <v>2</v>
      </c>
      <c r="I1037">
        <v>3.7</v>
      </c>
      <c r="J1037" t="s">
        <v>1975</v>
      </c>
      <c r="K1037" t="s">
        <v>34</v>
      </c>
      <c r="L1037">
        <v>144</v>
      </c>
      <c r="M1037">
        <v>2009</v>
      </c>
      <c r="N1037">
        <v>1940</v>
      </c>
      <c r="O1037" s="1">
        <v>44678</v>
      </c>
      <c r="P1037" s="1">
        <v>43610</v>
      </c>
      <c r="S1037" t="s">
        <v>29</v>
      </c>
      <c r="W1037">
        <v>1</v>
      </c>
      <c r="X1037">
        <v>0</v>
      </c>
    </row>
    <row r="1038" spans="1:24" x14ac:dyDescent="0.25">
      <c r="A1038">
        <v>15824358</v>
      </c>
      <c r="B1038" t="s">
        <v>1976</v>
      </c>
      <c r="C1038" t="s">
        <v>1977</v>
      </c>
      <c r="D1038" t="s">
        <v>1978</v>
      </c>
      <c r="F1038" t="str">
        <f>"1422188612"</f>
        <v>1422188612</v>
      </c>
      <c r="G1038" t="str">
        <f>"9781422188613"</f>
        <v>9781422188613</v>
      </c>
      <c r="H1038">
        <v>5</v>
      </c>
      <c r="I1038">
        <v>3.85</v>
      </c>
      <c r="J1038" t="s">
        <v>1979</v>
      </c>
      <c r="K1038" t="s">
        <v>34</v>
      </c>
      <c r="L1038">
        <v>304</v>
      </c>
      <c r="M1038">
        <v>2013</v>
      </c>
      <c r="N1038">
        <v>2003</v>
      </c>
      <c r="O1038" s="1">
        <v>44678</v>
      </c>
      <c r="P1038" s="1">
        <v>44638</v>
      </c>
      <c r="S1038" t="s">
        <v>29</v>
      </c>
      <c r="W1038">
        <v>1</v>
      </c>
      <c r="X1038">
        <v>0</v>
      </c>
    </row>
    <row r="1039" spans="1:24" x14ac:dyDescent="0.25">
      <c r="A1039">
        <v>43801262</v>
      </c>
      <c r="B1039" t="s">
        <v>1980</v>
      </c>
      <c r="C1039" t="s">
        <v>1981</v>
      </c>
      <c r="D1039" t="s">
        <v>1982</v>
      </c>
      <c r="E1039" t="s">
        <v>1983</v>
      </c>
      <c r="F1039" t="str">
        <f>"0062953826"</f>
        <v>0062953826</v>
      </c>
      <c r="G1039" t="str">
        <f>"9780062953827"</f>
        <v>9780062953827</v>
      </c>
      <c r="H1039">
        <v>5</v>
      </c>
      <c r="I1039">
        <v>4.3899999999999997</v>
      </c>
      <c r="J1039" t="s">
        <v>1984</v>
      </c>
      <c r="K1039" t="s">
        <v>609</v>
      </c>
      <c r="L1039">
        <v>304</v>
      </c>
      <c r="M1039">
        <v>2020</v>
      </c>
      <c r="O1039" s="1">
        <v>44677</v>
      </c>
      <c r="P1039" s="1">
        <v>44675</v>
      </c>
      <c r="S1039" t="s">
        <v>29</v>
      </c>
      <c r="W1039">
        <v>1</v>
      </c>
      <c r="X1039">
        <v>0</v>
      </c>
    </row>
    <row r="1040" spans="1:24" x14ac:dyDescent="0.25">
      <c r="A1040">
        <v>7235533</v>
      </c>
      <c r="B1040" t="s">
        <v>1985</v>
      </c>
      <c r="C1040" t="s">
        <v>160</v>
      </c>
      <c r="D1040" t="s">
        <v>161</v>
      </c>
      <c r="F1040" t="str">
        <f>"0765326353"</f>
        <v>0765326353</v>
      </c>
      <c r="G1040" t="str">
        <f>"9780765326355"</f>
        <v>9780765326355</v>
      </c>
      <c r="H1040">
        <v>5</v>
      </c>
      <c r="I1040">
        <v>4.6500000000000004</v>
      </c>
      <c r="J1040" t="s">
        <v>162</v>
      </c>
      <c r="K1040" t="s">
        <v>34</v>
      </c>
      <c r="L1040">
        <v>1007</v>
      </c>
      <c r="M1040">
        <v>2010</v>
      </c>
      <c r="N1040">
        <v>2010</v>
      </c>
      <c r="O1040" s="1">
        <v>44675</v>
      </c>
      <c r="P1040" s="1">
        <v>44464</v>
      </c>
      <c r="S1040" t="s">
        <v>29</v>
      </c>
      <c r="W1040">
        <v>1</v>
      </c>
      <c r="X1040">
        <v>0</v>
      </c>
    </row>
    <row r="1041" spans="1:24" x14ac:dyDescent="0.25">
      <c r="A1041">
        <v>18144590</v>
      </c>
      <c r="B1041" t="s">
        <v>1986</v>
      </c>
      <c r="C1041" t="s">
        <v>1987</v>
      </c>
      <c r="D1041" t="s">
        <v>1988</v>
      </c>
      <c r="E1041" t="s">
        <v>1989</v>
      </c>
      <c r="F1041" t="str">
        <f>"0062315005"</f>
        <v>0062315005</v>
      </c>
      <c r="G1041" t="str">
        <f>"9780062315007"</f>
        <v>9780062315007</v>
      </c>
      <c r="H1041">
        <v>5</v>
      </c>
      <c r="I1041">
        <v>3.9</v>
      </c>
      <c r="J1041" t="s">
        <v>1990</v>
      </c>
      <c r="K1041" t="s">
        <v>28</v>
      </c>
      <c r="L1041">
        <v>175</v>
      </c>
      <c r="M1041">
        <v>2014</v>
      </c>
      <c r="N1041">
        <v>1988</v>
      </c>
      <c r="P1041" s="1">
        <v>44545</v>
      </c>
      <c r="S1041" t="s">
        <v>29</v>
      </c>
      <c r="W1041">
        <v>1</v>
      </c>
      <c r="X1041">
        <v>0</v>
      </c>
    </row>
    <row r="1042" spans="1:24" x14ac:dyDescent="0.25">
      <c r="A1042">
        <v>2246958</v>
      </c>
      <c r="B1042" t="s">
        <v>1991</v>
      </c>
      <c r="C1042" t="s">
        <v>1528</v>
      </c>
      <c r="D1042" t="s">
        <v>1529</v>
      </c>
      <c r="E1042" t="s">
        <v>1530</v>
      </c>
      <c r="F1042" t="str">
        <f>"9953368783"</f>
        <v>9953368783</v>
      </c>
      <c r="G1042" t="str">
        <f>""</f>
        <v/>
      </c>
      <c r="H1042">
        <v>5</v>
      </c>
      <c r="I1042">
        <v>4.49</v>
      </c>
      <c r="J1042" t="s">
        <v>1992</v>
      </c>
      <c r="K1042" t="s">
        <v>28</v>
      </c>
      <c r="L1042">
        <v>358</v>
      </c>
      <c r="M1042">
        <v>2009</v>
      </c>
      <c r="N1042">
        <v>1985</v>
      </c>
      <c r="O1042" s="1">
        <v>44669</v>
      </c>
      <c r="P1042" s="1">
        <v>44443</v>
      </c>
      <c r="S1042" t="s">
        <v>29</v>
      </c>
      <c r="W1042">
        <v>1</v>
      </c>
      <c r="X1042">
        <v>0</v>
      </c>
    </row>
    <row r="1043" spans="1:24" x14ac:dyDescent="0.25">
      <c r="A1043">
        <v>8993964</v>
      </c>
      <c r="B1043" t="s">
        <v>1993</v>
      </c>
      <c r="C1043" t="s">
        <v>1528</v>
      </c>
      <c r="D1043" t="s">
        <v>1529</v>
      </c>
      <c r="E1043" t="s">
        <v>1530</v>
      </c>
      <c r="F1043" t="str">
        <f>""</f>
        <v/>
      </c>
      <c r="G1043" t="str">
        <f>"9789953361031"</f>
        <v>9789953361031</v>
      </c>
      <c r="H1043">
        <v>3</v>
      </c>
      <c r="I1043">
        <v>4.03</v>
      </c>
      <c r="J1043" t="s">
        <v>1994</v>
      </c>
      <c r="K1043" t="s">
        <v>28</v>
      </c>
      <c r="L1043">
        <v>211</v>
      </c>
      <c r="M1043">
        <v>2010</v>
      </c>
      <c r="N1043">
        <v>2010</v>
      </c>
      <c r="O1043" s="1">
        <v>44666</v>
      </c>
      <c r="P1043" s="1">
        <v>44664</v>
      </c>
      <c r="S1043" t="s">
        <v>29</v>
      </c>
      <c r="W1043">
        <v>1</v>
      </c>
      <c r="X1043">
        <v>0</v>
      </c>
    </row>
    <row r="1044" spans="1:24" x14ac:dyDescent="0.25">
      <c r="A1044">
        <v>44788001</v>
      </c>
      <c r="B1044" t="s">
        <v>1995</v>
      </c>
      <c r="C1044" t="s">
        <v>1996</v>
      </c>
      <c r="D1044" t="s">
        <v>1997</v>
      </c>
      <c r="F1044" t="str">
        <f>"1633697339"</f>
        <v>1633697339</v>
      </c>
      <c r="G1044" t="str">
        <f>"9781633697331"</f>
        <v>9781633697331</v>
      </c>
      <c r="H1044">
        <v>0</v>
      </c>
      <c r="I1044">
        <v>4.03</v>
      </c>
      <c r="J1044" t="s">
        <v>1979</v>
      </c>
      <c r="K1044" t="s">
        <v>34</v>
      </c>
      <c r="L1044">
        <v>128</v>
      </c>
      <c r="M1044">
        <v>2019</v>
      </c>
      <c r="P1044" s="1">
        <v>44663</v>
      </c>
      <c r="Q1044" t="s">
        <v>35</v>
      </c>
      <c r="R1044" t="s">
        <v>1998</v>
      </c>
      <c r="S1044" t="s">
        <v>35</v>
      </c>
      <c r="W1044">
        <v>0</v>
      </c>
      <c r="X1044">
        <v>0</v>
      </c>
    </row>
    <row r="1045" spans="1:24" x14ac:dyDescent="0.25">
      <c r="A1045">
        <v>53040091</v>
      </c>
      <c r="B1045" t="s">
        <v>1999</v>
      </c>
      <c r="C1045" t="s">
        <v>1430</v>
      </c>
      <c r="D1045" t="s">
        <v>1431</v>
      </c>
      <c r="E1045" t="s">
        <v>1432</v>
      </c>
      <c r="F1045" t="str">
        <f>"1506715222"</f>
        <v>1506715222</v>
      </c>
      <c r="G1045" t="str">
        <f>"9781506715223"</f>
        <v>9781506715223</v>
      </c>
      <c r="H1045">
        <v>5</v>
      </c>
      <c r="I1045">
        <v>4.8</v>
      </c>
      <c r="J1045" t="s">
        <v>1433</v>
      </c>
      <c r="K1045" t="s">
        <v>34</v>
      </c>
      <c r="L1045">
        <v>720</v>
      </c>
      <c r="M1045">
        <v>2020</v>
      </c>
      <c r="N1045">
        <v>2020</v>
      </c>
      <c r="O1045" s="1">
        <v>44660</v>
      </c>
      <c r="P1045" s="1">
        <v>44660</v>
      </c>
      <c r="S1045" t="s">
        <v>29</v>
      </c>
      <c r="W1045">
        <v>1</v>
      </c>
      <c r="X1045">
        <v>0</v>
      </c>
    </row>
    <row r="1046" spans="1:24" x14ac:dyDescent="0.25">
      <c r="A1046">
        <v>49491339</v>
      </c>
      <c r="B1046" t="s">
        <v>2000</v>
      </c>
      <c r="C1046" t="s">
        <v>1430</v>
      </c>
      <c r="D1046" t="s">
        <v>1431</v>
      </c>
      <c r="E1046" t="s">
        <v>1432</v>
      </c>
      <c r="F1046" t="str">
        <f>"1506715214"</f>
        <v>1506715214</v>
      </c>
      <c r="G1046" t="str">
        <f>"9781506715216"</f>
        <v>9781506715216</v>
      </c>
      <c r="H1046">
        <v>5</v>
      </c>
      <c r="I1046">
        <v>4.87</v>
      </c>
      <c r="J1046" t="s">
        <v>1433</v>
      </c>
      <c r="K1046" t="s">
        <v>34</v>
      </c>
      <c r="L1046">
        <v>704</v>
      </c>
      <c r="M1046">
        <v>2020</v>
      </c>
      <c r="N1046">
        <v>2020</v>
      </c>
      <c r="O1046" s="1">
        <v>44660</v>
      </c>
      <c r="P1046" s="1">
        <v>44659</v>
      </c>
      <c r="S1046" t="s">
        <v>29</v>
      </c>
      <c r="W1046">
        <v>1</v>
      </c>
      <c r="X1046">
        <v>0</v>
      </c>
    </row>
    <row r="1047" spans="1:24" x14ac:dyDescent="0.25">
      <c r="A1047">
        <v>44036458</v>
      </c>
      <c r="B1047" t="s">
        <v>2001</v>
      </c>
      <c r="C1047" t="s">
        <v>1430</v>
      </c>
      <c r="D1047" t="s">
        <v>1431</v>
      </c>
      <c r="E1047" t="s">
        <v>1432</v>
      </c>
      <c r="F1047" t="str">
        <f>"1506712002"</f>
        <v>1506712002</v>
      </c>
      <c r="G1047" t="str">
        <f>"9781506712000"</f>
        <v>9781506712000</v>
      </c>
      <c r="H1047">
        <v>5</v>
      </c>
      <c r="I1047">
        <v>4.84</v>
      </c>
      <c r="J1047" t="s">
        <v>1433</v>
      </c>
      <c r="K1047" t="s">
        <v>34</v>
      </c>
      <c r="L1047">
        <v>704</v>
      </c>
      <c r="M1047">
        <v>2019</v>
      </c>
      <c r="N1047">
        <v>2019</v>
      </c>
      <c r="O1047" s="1">
        <v>44659</v>
      </c>
      <c r="P1047" s="1">
        <v>44658</v>
      </c>
      <c r="S1047" t="s">
        <v>29</v>
      </c>
      <c r="W1047">
        <v>1</v>
      </c>
      <c r="X1047">
        <v>0</v>
      </c>
    </row>
    <row r="1048" spans="1:24" x14ac:dyDescent="0.25">
      <c r="A1048">
        <v>42454096</v>
      </c>
      <c r="B1048" t="s">
        <v>2002</v>
      </c>
      <c r="C1048" t="s">
        <v>1430</v>
      </c>
      <c r="D1048" t="s">
        <v>1431</v>
      </c>
      <c r="E1048" t="s">
        <v>2003</v>
      </c>
      <c r="F1048" t="str">
        <f>"1506711995"</f>
        <v>1506711995</v>
      </c>
      <c r="G1048" t="str">
        <f>"9781506711997"</f>
        <v>9781506711997</v>
      </c>
      <c r="H1048">
        <v>5</v>
      </c>
      <c r="I1048">
        <v>4.76</v>
      </c>
      <c r="J1048" t="s">
        <v>1433</v>
      </c>
      <c r="K1048" t="s">
        <v>34</v>
      </c>
      <c r="L1048">
        <v>704</v>
      </c>
      <c r="M1048">
        <v>2019</v>
      </c>
      <c r="N1048">
        <v>2019</v>
      </c>
      <c r="O1048" s="1">
        <v>44657</v>
      </c>
      <c r="P1048" s="1">
        <v>44656</v>
      </c>
      <c r="S1048" t="s">
        <v>29</v>
      </c>
      <c r="W1048">
        <v>1</v>
      </c>
      <c r="X1048">
        <v>0</v>
      </c>
    </row>
    <row r="1049" spans="1:24" x14ac:dyDescent="0.25">
      <c r="A1049">
        <v>42120580</v>
      </c>
      <c r="B1049" t="s">
        <v>2004</v>
      </c>
      <c r="C1049" t="s">
        <v>1430</v>
      </c>
      <c r="D1049" t="s">
        <v>1431</v>
      </c>
      <c r="E1049" t="s">
        <v>2005</v>
      </c>
      <c r="F1049" t="str">
        <f>"1506711987"</f>
        <v>1506711987</v>
      </c>
      <c r="G1049" t="str">
        <f>"9781506711980"</f>
        <v>9781506711980</v>
      </c>
      <c r="H1049">
        <v>5</v>
      </c>
      <c r="I1049">
        <v>4.62</v>
      </c>
      <c r="J1049" t="s">
        <v>1433</v>
      </c>
      <c r="K1049" t="s">
        <v>34</v>
      </c>
      <c r="L1049">
        <v>689</v>
      </c>
      <c r="M1049">
        <v>2019</v>
      </c>
      <c r="N1049">
        <v>2019</v>
      </c>
      <c r="O1049" s="1">
        <v>44656</v>
      </c>
      <c r="P1049" s="1">
        <v>44654</v>
      </c>
      <c r="S1049" t="s">
        <v>29</v>
      </c>
      <c r="W1049">
        <v>1</v>
      </c>
      <c r="X1049">
        <v>0</v>
      </c>
    </row>
    <row r="1050" spans="1:24" x14ac:dyDescent="0.25">
      <c r="A1050">
        <v>55811132</v>
      </c>
      <c r="B1050" t="s">
        <v>2006</v>
      </c>
      <c r="C1050" t="s">
        <v>1040</v>
      </c>
      <c r="D1050" t="s">
        <v>1041</v>
      </c>
      <c r="E1050" t="s">
        <v>1042</v>
      </c>
      <c r="F1050" t="str">
        <f>"4088825276"</f>
        <v>4088825276</v>
      </c>
      <c r="G1050" t="str">
        <f>"9784088825274"</f>
        <v>9784088825274</v>
      </c>
      <c r="H1050">
        <v>5</v>
      </c>
      <c r="I1050">
        <v>4.47</v>
      </c>
      <c r="J1050" t="s">
        <v>1043</v>
      </c>
      <c r="K1050" t="s">
        <v>28</v>
      </c>
      <c r="L1050">
        <v>192</v>
      </c>
      <c r="M1050">
        <v>2021</v>
      </c>
      <c r="N1050">
        <v>2021</v>
      </c>
      <c r="O1050" s="1">
        <v>44656</v>
      </c>
      <c r="P1050" s="1">
        <v>44656</v>
      </c>
      <c r="S1050" t="s">
        <v>29</v>
      </c>
      <c r="W1050">
        <v>1</v>
      </c>
      <c r="X1050">
        <v>0</v>
      </c>
    </row>
    <row r="1051" spans="1:24" x14ac:dyDescent="0.25">
      <c r="A1051">
        <v>56898021</v>
      </c>
      <c r="B1051" t="s">
        <v>2007</v>
      </c>
      <c r="C1051" t="s">
        <v>1040</v>
      </c>
      <c r="D1051" t="s">
        <v>1041</v>
      </c>
      <c r="F1051" t="str">
        <f>"1974722783"</f>
        <v>1974722783</v>
      </c>
      <c r="G1051" t="str">
        <f>"9781974722785"</f>
        <v>9781974722785</v>
      </c>
      <c r="H1051">
        <v>5</v>
      </c>
      <c r="I1051">
        <v>4.41</v>
      </c>
      <c r="J1051" t="s">
        <v>27</v>
      </c>
      <c r="K1051" t="s">
        <v>28</v>
      </c>
      <c r="L1051">
        <v>192</v>
      </c>
      <c r="M1051">
        <v>2021</v>
      </c>
      <c r="N1051">
        <v>2020</v>
      </c>
      <c r="O1051" s="1">
        <v>44647</v>
      </c>
      <c r="P1051" s="1">
        <v>44648</v>
      </c>
      <c r="S1051" t="s">
        <v>29</v>
      </c>
      <c r="W1051">
        <v>1</v>
      </c>
      <c r="X1051">
        <v>0</v>
      </c>
    </row>
    <row r="1052" spans="1:24" x14ac:dyDescent="0.25">
      <c r="A1052">
        <v>56898010</v>
      </c>
      <c r="B1052" t="s">
        <v>2008</v>
      </c>
      <c r="C1052" t="s">
        <v>1040</v>
      </c>
      <c r="D1052" t="s">
        <v>1041</v>
      </c>
      <c r="F1052" t="str">
        <f>"1974720969"</f>
        <v>1974720969</v>
      </c>
      <c r="G1052" t="str">
        <f>"9781974720965"</f>
        <v>9781974720965</v>
      </c>
      <c r="H1052">
        <v>5</v>
      </c>
      <c r="I1052">
        <v>4.3600000000000003</v>
      </c>
      <c r="J1052" t="s">
        <v>27</v>
      </c>
      <c r="K1052" t="s">
        <v>28</v>
      </c>
      <c r="L1052">
        <v>200</v>
      </c>
      <c r="M1052">
        <v>2021</v>
      </c>
      <c r="N1052">
        <v>2020</v>
      </c>
      <c r="O1052" s="1">
        <v>44648</v>
      </c>
      <c r="P1052" s="1">
        <v>44647</v>
      </c>
      <c r="S1052" t="s">
        <v>29</v>
      </c>
      <c r="W1052">
        <v>1</v>
      </c>
      <c r="X1052">
        <v>0</v>
      </c>
    </row>
    <row r="1053" spans="1:24" x14ac:dyDescent="0.25">
      <c r="A1053">
        <v>55711460</v>
      </c>
      <c r="B1053" t="s">
        <v>2009</v>
      </c>
      <c r="C1053" t="s">
        <v>1040</v>
      </c>
      <c r="D1053" t="s">
        <v>1041</v>
      </c>
      <c r="F1053" t="str">
        <f>"1974720713"</f>
        <v>1974720713</v>
      </c>
      <c r="G1053" t="str">
        <f>"9781974720712"</f>
        <v>9781974720712</v>
      </c>
      <c r="H1053">
        <v>5</v>
      </c>
      <c r="I1053">
        <v>4.43</v>
      </c>
      <c r="J1053" t="s">
        <v>27</v>
      </c>
      <c r="K1053" t="s">
        <v>28</v>
      </c>
      <c r="L1053">
        <v>192</v>
      </c>
      <c r="M1053">
        <v>2021</v>
      </c>
      <c r="N1053">
        <v>2020</v>
      </c>
      <c r="O1053" s="1">
        <v>44647</v>
      </c>
      <c r="P1053" s="1">
        <v>44647</v>
      </c>
      <c r="S1053" t="s">
        <v>29</v>
      </c>
      <c r="W1053">
        <v>1</v>
      </c>
      <c r="X1053">
        <v>0</v>
      </c>
    </row>
    <row r="1054" spans="1:24" x14ac:dyDescent="0.25">
      <c r="A1054">
        <v>55711441</v>
      </c>
      <c r="B1054" t="s">
        <v>2010</v>
      </c>
      <c r="C1054" t="s">
        <v>1040</v>
      </c>
      <c r="D1054" t="s">
        <v>1041</v>
      </c>
      <c r="F1054" t="str">
        <f>"1974719227"</f>
        <v>1974719227</v>
      </c>
      <c r="G1054" t="str">
        <f>"9781974719228"</f>
        <v>9781974719228</v>
      </c>
      <c r="H1054">
        <v>5</v>
      </c>
      <c r="I1054">
        <v>4.37</v>
      </c>
      <c r="J1054" t="s">
        <v>27</v>
      </c>
      <c r="K1054" t="s">
        <v>28</v>
      </c>
      <c r="L1054">
        <v>200</v>
      </c>
      <c r="M1054">
        <v>2021</v>
      </c>
      <c r="N1054">
        <v>2020</v>
      </c>
      <c r="O1054" s="1">
        <v>44647</v>
      </c>
      <c r="P1054" s="1">
        <v>44647</v>
      </c>
      <c r="S1054" t="s">
        <v>29</v>
      </c>
      <c r="W1054">
        <v>1</v>
      </c>
      <c r="X1054">
        <v>0</v>
      </c>
    </row>
    <row r="1055" spans="1:24" x14ac:dyDescent="0.25">
      <c r="A1055">
        <v>54303326</v>
      </c>
      <c r="B1055" t="s">
        <v>2011</v>
      </c>
      <c r="C1055" t="s">
        <v>1040</v>
      </c>
      <c r="D1055" t="s">
        <v>1041</v>
      </c>
      <c r="F1055" t="str">
        <f>"1974717275"</f>
        <v>1974717275</v>
      </c>
      <c r="G1055" t="str">
        <f>"9781974717279"</f>
        <v>9781974717279</v>
      </c>
      <c r="H1055">
        <v>5</v>
      </c>
      <c r="I1055">
        <v>4.38</v>
      </c>
      <c r="J1055" t="s">
        <v>27</v>
      </c>
      <c r="K1055" t="s">
        <v>28</v>
      </c>
      <c r="L1055">
        <v>192</v>
      </c>
      <c r="M1055">
        <v>2021</v>
      </c>
      <c r="N1055">
        <v>2019</v>
      </c>
      <c r="O1055" s="1">
        <v>44646</v>
      </c>
      <c r="P1055" s="1">
        <v>44646</v>
      </c>
      <c r="S1055" t="s">
        <v>29</v>
      </c>
      <c r="W1055">
        <v>1</v>
      </c>
      <c r="X1055">
        <v>0</v>
      </c>
    </row>
    <row r="1056" spans="1:24" x14ac:dyDescent="0.25">
      <c r="A1056">
        <v>54303329</v>
      </c>
      <c r="B1056" t="s">
        <v>2012</v>
      </c>
      <c r="C1056" t="s">
        <v>1040</v>
      </c>
      <c r="D1056" t="s">
        <v>1041</v>
      </c>
      <c r="F1056" t="str">
        <f>"1974709957"</f>
        <v>1974709957</v>
      </c>
      <c r="G1056" t="str">
        <f>"9781974709953"</f>
        <v>9781974709953</v>
      </c>
      <c r="H1056">
        <v>5</v>
      </c>
      <c r="I1056">
        <v>4.33</v>
      </c>
      <c r="J1056" t="s">
        <v>27</v>
      </c>
      <c r="K1056" t="s">
        <v>28</v>
      </c>
      <c r="L1056">
        <v>192</v>
      </c>
      <c r="M1056">
        <v>2021</v>
      </c>
      <c r="N1056">
        <v>2019</v>
      </c>
      <c r="O1056" s="1">
        <v>44646</v>
      </c>
      <c r="P1056" s="1">
        <v>44646</v>
      </c>
      <c r="S1056" t="s">
        <v>29</v>
      </c>
      <c r="W1056">
        <v>1</v>
      </c>
      <c r="X1056">
        <v>0</v>
      </c>
    </row>
    <row r="1057" spans="1:24" x14ac:dyDescent="0.25">
      <c r="A1057">
        <v>51323367</v>
      </c>
      <c r="B1057" t="s">
        <v>2013</v>
      </c>
      <c r="C1057" t="s">
        <v>1040</v>
      </c>
      <c r="D1057" t="s">
        <v>1041</v>
      </c>
      <c r="F1057" t="str">
        <f>"1974709949"</f>
        <v>1974709949</v>
      </c>
      <c r="G1057" t="str">
        <f>"9781974709946"</f>
        <v>9781974709946</v>
      </c>
      <c r="H1057">
        <v>5</v>
      </c>
      <c r="I1057">
        <v>4.28</v>
      </c>
      <c r="J1057" t="s">
        <v>27</v>
      </c>
      <c r="K1057" t="s">
        <v>28</v>
      </c>
      <c r="L1057">
        <v>192</v>
      </c>
      <c r="M1057">
        <v>2020</v>
      </c>
      <c r="N1057">
        <v>2019</v>
      </c>
      <c r="O1057" s="1">
        <v>44646</v>
      </c>
      <c r="P1057" s="1">
        <v>44646</v>
      </c>
      <c r="S1057" t="s">
        <v>29</v>
      </c>
      <c r="W1057">
        <v>1</v>
      </c>
      <c r="X1057">
        <v>0</v>
      </c>
    </row>
    <row r="1058" spans="1:24" x14ac:dyDescent="0.25">
      <c r="A1058">
        <v>343</v>
      </c>
      <c r="B1058" t="s">
        <v>2014</v>
      </c>
      <c r="C1058" t="s">
        <v>2015</v>
      </c>
      <c r="D1058" t="s">
        <v>2016</v>
      </c>
      <c r="E1058" t="s">
        <v>2017</v>
      </c>
      <c r="F1058" t="str">
        <f>"0140120831"</f>
        <v>0140120831</v>
      </c>
      <c r="G1058" t="str">
        <f>"9780140120837"</f>
        <v>9780140120837</v>
      </c>
      <c r="H1058">
        <v>4</v>
      </c>
      <c r="I1058">
        <v>4.03</v>
      </c>
      <c r="J1058" t="s">
        <v>617</v>
      </c>
      <c r="K1058" t="s">
        <v>28</v>
      </c>
      <c r="L1058">
        <v>263</v>
      </c>
      <c r="M1058">
        <v>1987</v>
      </c>
      <c r="N1058">
        <v>1985</v>
      </c>
      <c r="O1058" s="1">
        <v>44643</v>
      </c>
      <c r="P1058" s="1">
        <v>44572</v>
      </c>
      <c r="S1058" t="s">
        <v>29</v>
      </c>
      <c r="W1058">
        <v>1</v>
      </c>
      <c r="X1058">
        <v>0</v>
      </c>
    </row>
    <row r="1059" spans="1:24" x14ac:dyDescent="0.25">
      <c r="A1059">
        <v>40961427</v>
      </c>
      <c r="B1059">
        <v>1984</v>
      </c>
      <c r="C1059" t="s">
        <v>2018</v>
      </c>
      <c r="D1059" t="s">
        <v>2019</v>
      </c>
      <c r="F1059" t="str">
        <f>""</f>
        <v/>
      </c>
      <c r="G1059" t="str">
        <f>""</f>
        <v/>
      </c>
      <c r="H1059">
        <v>5</v>
      </c>
      <c r="I1059">
        <v>4.1900000000000004</v>
      </c>
      <c r="J1059" t="s">
        <v>1737</v>
      </c>
      <c r="K1059" t="s">
        <v>133</v>
      </c>
      <c r="L1059">
        <v>298</v>
      </c>
      <c r="M1059">
        <v>2013</v>
      </c>
      <c r="N1059">
        <v>1949</v>
      </c>
      <c r="O1059" s="1">
        <v>44638</v>
      </c>
      <c r="P1059" s="1">
        <v>43610</v>
      </c>
      <c r="S1059" t="s">
        <v>29</v>
      </c>
      <c r="W1059">
        <v>1</v>
      </c>
      <c r="X1059">
        <v>0</v>
      </c>
    </row>
    <row r="1060" spans="1:24" x14ac:dyDescent="0.25">
      <c r="A1060">
        <v>15881</v>
      </c>
      <c r="B1060" t="s">
        <v>2020</v>
      </c>
      <c r="C1060" t="s">
        <v>994</v>
      </c>
      <c r="D1060" t="s">
        <v>995</v>
      </c>
      <c r="E1060" t="s">
        <v>1896</v>
      </c>
      <c r="F1060" t="str">
        <f>""</f>
        <v/>
      </c>
      <c r="G1060" t="str">
        <f>""</f>
        <v/>
      </c>
      <c r="H1060">
        <v>5</v>
      </c>
      <c r="I1060">
        <v>4.43</v>
      </c>
      <c r="J1060" t="s">
        <v>1874</v>
      </c>
      <c r="K1060" t="s">
        <v>34</v>
      </c>
      <c r="L1060">
        <v>341</v>
      </c>
      <c r="M1060">
        <v>1999</v>
      </c>
      <c r="N1060">
        <v>1998</v>
      </c>
      <c r="O1060" s="1">
        <v>44636</v>
      </c>
      <c r="P1060" s="1">
        <v>43610</v>
      </c>
      <c r="S1060" t="s">
        <v>29</v>
      </c>
      <c r="W1060">
        <v>2</v>
      </c>
      <c r="X1060">
        <v>0</v>
      </c>
    </row>
    <row r="1061" spans="1:24" x14ac:dyDescent="0.25">
      <c r="A1061">
        <v>42833687</v>
      </c>
      <c r="B1061" t="s">
        <v>2021</v>
      </c>
      <c r="C1061" t="s">
        <v>1744</v>
      </c>
      <c r="D1061" t="s">
        <v>1745</v>
      </c>
      <c r="E1061" t="s">
        <v>2022</v>
      </c>
      <c r="F1061" t="str">
        <f>"1501196863"</f>
        <v>1501196863</v>
      </c>
      <c r="G1061" t="str">
        <f>"9781501196867"</f>
        <v>9781501196867</v>
      </c>
      <c r="H1061">
        <v>4</v>
      </c>
      <c r="I1061">
        <v>3.99</v>
      </c>
      <c r="J1061" t="s">
        <v>698</v>
      </c>
      <c r="K1061" t="s">
        <v>34</v>
      </c>
      <c r="L1061">
        <v>208</v>
      </c>
      <c r="M1061">
        <v>2019</v>
      </c>
      <c r="N1061">
        <v>2012</v>
      </c>
      <c r="O1061" s="1">
        <v>44635</v>
      </c>
      <c r="P1061" s="1">
        <v>44635</v>
      </c>
      <c r="S1061" t="s">
        <v>29</v>
      </c>
      <c r="W1061">
        <v>1</v>
      </c>
      <c r="X1061">
        <v>0</v>
      </c>
    </row>
    <row r="1062" spans="1:24" x14ac:dyDescent="0.25">
      <c r="A1062">
        <v>18774964</v>
      </c>
      <c r="B1062" t="s">
        <v>2023</v>
      </c>
      <c r="C1062" t="s">
        <v>1744</v>
      </c>
      <c r="D1062" t="s">
        <v>1745</v>
      </c>
      <c r="E1062" t="s">
        <v>2024</v>
      </c>
      <c r="F1062" t="str">
        <f>"1476738017"</f>
        <v>1476738017</v>
      </c>
      <c r="G1062" t="str">
        <f>"9781476738017"</f>
        <v>9781476738017</v>
      </c>
      <c r="H1062">
        <v>5</v>
      </c>
      <c r="I1062">
        <v>4.37</v>
      </c>
      <c r="J1062" t="s">
        <v>698</v>
      </c>
      <c r="K1062" t="s">
        <v>34</v>
      </c>
      <c r="L1062">
        <v>337</v>
      </c>
      <c r="M1062">
        <v>2014</v>
      </c>
      <c r="N1062">
        <v>2012</v>
      </c>
      <c r="O1062" s="1">
        <v>44633</v>
      </c>
      <c r="P1062" s="1">
        <v>44617</v>
      </c>
      <c r="S1062" t="s">
        <v>29</v>
      </c>
      <c r="W1062">
        <v>1</v>
      </c>
      <c r="X1062">
        <v>0</v>
      </c>
    </row>
    <row r="1063" spans="1:24" x14ac:dyDescent="0.25">
      <c r="A1063">
        <v>58906430</v>
      </c>
      <c r="B1063" t="s">
        <v>2025</v>
      </c>
      <c r="C1063" t="s">
        <v>1040</v>
      </c>
      <c r="D1063" t="s">
        <v>1041</v>
      </c>
      <c r="F1063" t="str">
        <f>"1974709930"</f>
        <v>1974709930</v>
      </c>
      <c r="G1063" t="str">
        <f>"9781974709939"</f>
        <v>9781974709939</v>
      </c>
      <c r="H1063">
        <v>5</v>
      </c>
      <c r="I1063">
        <v>4.37</v>
      </c>
      <c r="J1063" t="s">
        <v>27</v>
      </c>
      <c r="K1063" t="s">
        <v>28</v>
      </c>
      <c r="L1063">
        <v>192</v>
      </c>
      <c r="M1063">
        <v>2021</v>
      </c>
      <c r="N1063">
        <v>2019</v>
      </c>
      <c r="O1063" s="1">
        <v>44632</v>
      </c>
      <c r="P1063" s="1">
        <v>44632</v>
      </c>
      <c r="S1063" t="s">
        <v>29</v>
      </c>
      <c r="W1063">
        <v>1</v>
      </c>
      <c r="X1063">
        <v>0</v>
      </c>
    </row>
    <row r="1064" spans="1:24" x14ac:dyDescent="0.25">
      <c r="A1064">
        <v>54482758</v>
      </c>
      <c r="B1064" t="s">
        <v>2026</v>
      </c>
      <c r="C1064" t="s">
        <v>2027</v>
      </c>
      <c r="D1064" t="s">
        <v>2028</v>
      </c>
      <c r="F1064" t="str">
        <f>"1524864714"</f>
        <v>1524864714</v>
      </c>
      <c r="G1064" t="str">
        <f>"9781524864712"</f>
        <v>9781524864712</v>
      </c>
      <c r="H1064">
        <v>5</v>
      </c>
      <c r="I1064">
        <v>4.28</v>
      </c>
      <c r="J1064" t="s">
        <v>258</v>
      </c>
      <c r="K1064" t="s">
        <v>34</v>
      </c>
      <c r="L1064">
        <v>128</v>
      </c>
      <c r="M1064">
        <v>2021</v>
      </c>
      <c r="N1064">
        <v>2021</v>
      </c>
      <c r="O1064" s="1">
        <v>44632</v>
      </c>
      <c r="P1064" s="1">
        <v>44625</v>
      </c>
      <c r="S1064" t="s">
        <v>29</v>
      </c>
      <c r="W1064">
        <v>1</v>
      </c>
      <c r="X1064">
        <v>0</v>
      </c>
    </row>
    <row r="1065" spans="1:24" x14ac:dyDescent="0.25">
      <c r="A1065">
        <v>52427699</v>
      </c>
      <c r="B1065" t="s">
        <v>2029</v>
      </c>
      <c r="C1065" t="s">
        <v>2030</v>
      </c>
      <c r="D1065" t="s">
        <v>2031</v>
      </c>
      <c r="E1065" t="s">
        <v>2032</v>
      </c>
      <c r="F1065" t="str">
        <f>"0099494094"</f>
        <v>0099494094</v>
      </c>
      <c r="G1065" t="str">
        <f>"9780099494096"</f>
        <v>9780099494096</v>
      </c>
      <c r="H1065">
        <v>4</v>
      </c>
      <c r="I1065">
        <v>4.1399999999999997</v>
      </c>
      <c r="J1065" t="s">
        <v>198</v>
      </c>
      <c r="K1065" t="s">
        <v>207</v>
      </c>
      <c r="L1065">
        <v>615</v>
      </c>
      <c r="M1065">
        <v>2020</v>
      </c>
      <c r="N1065">
        <v>2002</v>
      </c>
      <c r="O1065" s="1">
        <v>44631</v>
      </c>
      <c r="P1065" s="1">
        <v>44582</v>
      </c>
      <c r="S1065" t="s">
        <v>29</v>
      </c>
      <c r="W1065">
        <v>1</v>
      </c>
      <c r="X1065">
        <v>0</v>
      </c>
    </row>
    <row r="1066" spans="1:24" x14ac:dyDescent="0.25">
      <c r="A1066">
        <v>3</v>
      </c>
      <c r="B1066" t="s">
        <v>2033</v>
      </c>
      <c r="C1066" t="s">
        <v>994</v>
      </c>
      <c r="D1066" t="s">
        <v>995</v>
      </c>
      <c r="F1066" t="str">
        <f>""</f>
        <v/>
      </c>
      <c r="G1066" t="str">
        <f>""</f>
        <v/>
      </c>
      <c r="H1066">
        <v>5</v>
      </c>
      <c r="I1066">
        <v>4.47</v>
      </c>
      <c r="J1066" t="s">
        <v>2034</v>
      </c>
      <c r="K1066" t="s">
        <v>34</v>
      </c>
      <c r="L1066">
        <v>309</v>
      </c>
      <c r="M1066">
        <v>2003</v>
      </c>
      <c r="N1066">
        <v>1997</v>
      </c>
      <c r="O1066" s="1">
        <v>44626</v>
      </c>
      <c r="P1066" s="1">
        <v>43610</v>
      </c>
      <c r="S1066" t="s">
        <v>29</v>
      </c>
      <c r="W1066">
        <v>1</v>
      </c>
      <c r="X1066">
        <v>0</v>
      </c>
    </row>
    <row r="1067" spans="1:24" x14ac:dyDescent="0.25">
      <c r="A1067">
        <v>170448</v>
      </c>
      <c r="B1067" t="s">
        <v>2035</v>
      </c>
      <c r="C1067" t="s">
        <v>2018</v>
      </c>
      <c r="D1067" t="s">
        <v>2019</v>
      </c>
      <c r="E1067" t="s">
        <v>2036</v>
      </c>
      <c r="F1067" t="str">
        <f>"0451526341"</f>
        <v>0451526341</v>
      </c>
      <c r="G1067" t="str">
        <f>"9780451526342"</f>
        <v>9780451526342</v>
      </c>
      <c r="H1067">
        <v>4</v>
      </c>
      <c r="I1067">
        <v>3.98</v>
      </c>
      <c r="J1067" t="s">
        <v>2037</v>
      </c>
      <c r="K1067" t="s">
        <v>207</v>
      </c>
      <c r="L1067">
        <v>141</v>
      </c>
      <c r="M1067">
        <v>1996</v>
      </c>
      <c r="N1067">
        <v>1945</v>
      </c>
      <c r="O1067" s="1">
        <v>44625</v>
      </c>
      <c r="P1067" s="1">
        <v>44595</v>
      </c>
      <c r="S1067" t="s">
        <v>29</v>
      </c>
      <c r="W1067">
        <v>1</v>
      </c>
      <c r="X1067">
        <v>0</v>
      </c>
    </row>
    <row r="1068" spans="1:24" x14ac:dyDescent="0.25">
      <c r="A1068">
        <v>36374390</v>
      </c>
      <c r="B1068" t="s">
        <v>2038</v>
      </c>
      <c r="C1068" t="s">
        <v>2027</v>
      </c>
      <c r="D1068" t="s">
        <v>2028</v>
      </c>
      <c r="F1068" t="str">
        <f>"1449492975"</f>
        <v>1449492975</v>
      </c>
      <c r="G1068" t="str">
        <f>"9781449492977"</f>
        <v>9781449492977</v>
      </c>
      <c r="H1068">
        <v>0</v>
      </c>
      <c r="I1068">
        <v>4.34</v>
      </c>
      <c r="J1068" t="s">
        <v>258</v>
      </c>
      <c r="K1068" t="s">
        <v>34</v>
      </c>
      <c r="L1068">
        <v>148</v>
      </c>
      <c r="M1068">
        <v>2018</v>
      </c>
      <c r="N1068">
        <v>2018</v>
      </c>
      <c r="P1068" s="1">
        <v>44625</v>
      </c>
      <c r="Q1068" t="s">
        <v>35</v>
      </c>
      <c r="R1068" t="s">
        <v>2039</v>
      </c>
      <c r="S1068" t="s">
        <v>35</v>
      </c>
      <c r="W1068">
        <v>0</v>
      </c>
      <c r="X1068">
        <v>0</v>
      </c>
    </row>
    <row r="1069" spans="1:24" x14ac:dyDescent="0.25">
      <c r="A1069">
        <v>52278999</v>
      </c>
      <c r="B1069" t="s">
        <v>2040</v>
      </c>
      <c r="C1069" t="s">
        <v>2027</v>
      </c>
      <c r="D1069" t="s">
        <v>2028</v>
      </c>
      <c r="F1069" t="str">
        <f>"1524854638"</f>
        <v>1524854638</v>
      </c>
      <c r="G1069" t="str">
        <f>"9781524854638"</f>
        <v>9781524854638</v>
      </c>
      <c r="H1069">
        <v>0</v>
      </c>
      <c r="I1069">
        <v>4.38</v>
      </c>
      <c r="J1069" t="s">
        <v>258</v>
      </c>
      <c r="K1069" t="s">
        <v>34</v>
      </c>
      <c r="L1069">
        <v>136</v>
      </c>
      <c r="M1069">
        <v>2020</v>
      </c>
      <c r="N1069">
        <v>2020</v>
      </c>
      <c r="P1069" s="1">
        <v>44625</v>
      </c>
      <c r="Q1069" t="s">
        <v>35</v>
      </c>
      <c r="R1069" t="s">
        <v>2041</v>
      </c>
      <c r="S1069" t="s">
        <v>35</v>
      </c>
      <c r="W1069">
        <v>0</v>
      </c>
      <c r="X1069">
        <v>0</v>
      </c>
    </row>
    <row r="1070" spans="1:24" x14ac:dyDescent="0.25">
      <c r="A1070">
        <v>29588376</v>
      </c>
      <c r="B1070" t="s">
        <v>2042</v>
      </c>
      <c r="C1070" t="s">
        <v>2043</v>
      </c>
      <c r="D1070" t="s">
        <v>2044</v>
      </c>
      <c r="F1070" t="str">
        <f>""</f>
        <v/>
      </c>
      <c r="G1070" t="str">
        <f>""</f>
        <v/>
      </c>
      <c r="H1070">
        <v>0</v>
      </c>
      <c r="I1070">
        <v>4.29</v>
      </c>
      <c r="J1070" t="s">
        <v>2045</v>
      </c>
      <c r="K1070" t="s">
        <v>133</v>
      </c>
      <c r="L1070">
        <v>752</v>
      </c>
      <c r="M1070">
        <v>2006</v>
      </c>
      <c r="N1070">
        <v>2006</v>
      </c>
      <c r="P1070" s="1">
        <v>44253</v>
      </c>
      <c r="Q1070" t="s">
        <v>35</v>
      </c>
      <c r="R1070" t="s">
        <v>2046</v>
      </c>
      <c r="S1070" t="s">
        <v>35</v>
      </c>
      <c r="W1070">
        <v>0</v>
      </c>
      <c r="X1070">
        <v>0</v>
      </c>
    </row>
    <row r="1071" spans="1:24" x14ac:dyDescent="0.25">
      <c r="A1071">
        <v>39662</v>
      </c>
      <c r="B1071" t="s">
        <v>2047</v>
      </c>
      <c r="C1071" t="s">
        <v>516</v>
      </c>
      <c r="D1071" t="s">
        <v>517</v>
      </c>
      <c r="F1071" t="str">
        <f>"0751514624"</f>
        <v>0751514624</v>
      </c>
      <c r="G1071" t="str">
        <f>"9780751514629"</f>
        <v>9780751514629</v>
      </c>
      <c r="H1071">
        <v>5</v>
      </c>
      <c r="I1071">
        <v>4.3499999999999996</v>
      </c>
      <c r="J1071" t="s">
        <v>2048</v>
      </c>
      <c r="K1071" t="s">
        <v>207</v>
      </c>
      <c r="L1071">
        <v>560</v>
      </c>
      <c r="M1071">
        <v>1995</v>
      </c>
      <c r="N1071">
        <v>1982</v>
      </c>
      <c r="O1071" s="1">
        <v>44622</v>
      </c>
      <c r="P1071" s="1">
        <v>44617</v>
      </c>
      <c r="S1071" t="s">
        <v>29</v>
      </c>
      <c r="W1071">
        <v>1</v>
      </c>
      <c r="X1071">
        <v>0</v>
      </c>
    </row>
    <row r="1072" spans="1:24" x14ac:dyDescent="0.25">
      <c r="A1072">
        <v>2657</v>
      </c>
      <c r="B1072" t="s">
        <v>2049</v>
      </c>
      <c r="C1072" t="s">
        <v>2050</v>
      </c>
      <c r="D1072" t="s">
        <v>2051</v>
      </c>
      <c r="F1072" t="str">
        <f>""</f>
        <v/>
      </c>
      <c r="G1072" t="str">
        <f>""</f>
        <v/>
      </c>
      <c r="H1072">
        <v>0</v>
      </c>
      <c r="I1072">
        <v>4.2699999999999996</v>
      </c>
      <c r="J1072" t="s">
        <v>2052</v>
      </c>
      <c r="K1072" t="s">
        <v>28</v>
      </c>
      <c r="L1072">
        <v>336</v>
      </c>
      <c r="M1072">
        <v>2006</v>
      </c>
      <c r="N1072">
        <v>1960</v>
      </c>
      <c r="P1072" s="1">
        <v>44540</v>
      </c>
      <c r="Q1072" t="s">
        <v>35</v>
      </c>
      <c r="R1072" t="s">
        <v>2053</v>
      </c>
      <c r="S1072" t="s">
        <v>35</v>
      </c>
      <c r="W1072">
        <v>0</v>
      </c>
      <c r="X1072">
        <v>0</v>
      </c>
    </row>
    <row r="1073" spans="1:24" x14ac:dyDescent="0.25">
      <c r="A1073">
        <v>10614</v>
      </c>
      <c r="B1073" t="s">
        <v>2054</v>
      </c>
      <c r="C1073" t="s">
        <v>516</v>
      </c>
      <c r="D1073" t="s">
        <v>517</v>
      </c>
      <c r="F1073" t="str">
        <f>"0450417395"</f>
        <v>0450417395</v>
      </c>
      <c r="G1073" t="str">
        <f>"9780450417399"</f>
        <v>9780450417399</v>
      </c>
      <c r="H1073">
        <v>5</v>
      </c>
      <c r="I1073">
        <v>4.2</v>
      </c>
      <c r="J1073" t="s">
        <v>878</v>
      </c>
      <c r="K1073" t="s">
        <v>28</v>
      </c>
      <c r="L1073">
        <v>370</v>
      </c>
      <c r="M1073">
        <v>1988</v>
      </c>
      <c r="N1073">
        <v>1987</v>
      </c>
      <c r="O1073" s="1">
        <v>44621</v>
      </c>
      <c r="P1073" s="1">
        <v>44619</v>
      </c>
      <c r="S1073" t="s">
        <v>29</v>
      </c>
      <c r="W1073">
        <v>1</v>
      </c>
      <c r="X1073">
        <v>0</v>
      </c>
    </row>
    <row r="1074" spans="1:24" x14ac:dyDescent="0.25">
      <c r="A1074">
        <v>13079982</v>
      </c>
      <c r="B1074" t="s">
        <v>2055</v>
      </c>
      <c r="C1074" t="s">
        <v>2056</v>
      </c>
      <c r="D1074" t="s">
        <v>2057</v>
      </c>
      <c r="F1074" t="str">
        <f>""</f>
        <v/>
      </c>
      <c r="G1074" t="str">
        <f>""</f>
        <v/>
      </c>
      <c r="H1074">
        <v>0</v>
      </c>
      <c r="I1074">
        <v>3.98</v>
      </c>
      <c r="J1074" t="s">
        <v>1332</v>
      </c>
      <c r="K1074" t="s">
        <v>133</v>
      </c>
      <c r="L1074">
        <v>194</v>
      </c>
      <c r="M1074">
        <v>2011</v>
      </c>
      <c r="N1074">
        <v>1953</v>
      </c>
      <c r="P1074" s="1">
        <v>44540</v>
      </c>
      <c r="Q1074" t="s">
        <v>35</v>
      </c>
      <c r="R1074" t="s">
        <v>2058</v>
      </c>
      <c r="S1074" t="s">
        <v>35</v>
      </c>
      <c r="W1074">
        <v>0</v>
      </c>
      <c r="X1074">
        <v>0</v>
      </c>
    </row>
    <row r="1075" spans="1:24" x14ac:dyDescent="0.25">
      <c r="A1075">
        <v>56578056</v>
      </c>
      <c r="B1075" t="s">
        <v>2059</v>
      </c>
      <c r="C1075" t="s">
        <v>2060</v>
      </c>
      <c r="D1075" t="s">
        <v>2061</v>
      </c>
      <c r="F1075" t="str">
        <f>"1786892731"</f>
        <v>1786892731</v>
      </c>
      <c r="G1075" t="str">
        <f>"9781786892737"</f>
        <v>9781786892737</v>
      </c>
      <c r="H1075">
        <v>4</v>
      </c>
      <c r="I1075">
        <v>4.03</v>
      </c>
      <c r="J1075" t="s">
        <v>2062</v>
      </c>
      <c r="K1075" t="s">
        <v>28</v>
      </c>
      <c r="L1075">
        <v>288</v>
      </c>
      <c r="M1075">
        <v>2021</v>
      </c>
      <c r="N1075">
        <v>2020</v>
      </c>
      <c r="O1075" s="1">
        <v>44617</v>
      </c>
      <c r="P1075" s="1">
        <v>44572</v>
      </c>
      <c r="S1075" t="s">
        <v>29</v>
      </c>
      <c r="W1075">
        <v>1</v>
      </c>
      <c r="X1075">
        <v>0</v>
      </c>
    </row>
    <row r="1076" spans="1:24" x14ac:dyDescent="0.25">
      <c r="A1076">
        <v>35133922</v>
      </c>
      <c r="B1076" t="s">
        <v>2063</v>
      </c>
      <c r="C1076" t="s">
        <v>2064</v>
      </c>
      <c r="D1076" t="s">
        <v>2065</v>
      </c>
      <c r="F1076" t="str">
        <f>""</f>
        <v/>
      </c>
      <c r="G1076" t="str">
        <f>""</f>
        <v/>
      </c>
      <c r="H1076">
        <v>5</v>
      </c>
      <c r="I1076">
        <v>4.47</v>
      </c>
      <c r="J1076" t="s">
        <v>714</v>
      </c>
      <c r="K1076" t="s">
        <v>34</v>
      </c>
      <c r="L1076">
        <v>352</v>
      </c>
      <c r="M1076">
        <v>2018</v>
      </c>
      <c r="N1076">
        <v>2018</v>
      </c>
      <c r="O1076" s="1">
        <v>44616</v>
      </c>
      <c r="P1076" s="1">
        <v>43587</v>
      </c>
      <c r="S1076" t="s">
        <v>29</v>
      </c>
      <c r="W1076">
        <v>1</v>
      </c>
      <c r="X1076">
        <v>0</v>
      </c>
    </row>
    <row r="1077" spans="1:24" x14ac:dyDescent="0.25">
      <c r="A1077">
        <v>42953191</v>
      </c>
      <c r="B1077" t="s">
        <v>2066</v>
      </c>
      <c r="C1077" t="s">
        <v>2067</v>
      </c>
      <c r="D1077" t="s">
        <v>2068</v>
      </c>
      <c r="F1077" t="str">
        <f>"1926444205"</f>
        <v>1926444205</v>
      </c>
      <c r="G1077" t="str">
        <f>"9781926444208"</f>
        <v>9781926444208</v>
      </c>
      <c r="H1077">
        <v>5</v>
      </c>
      <c r="I1077">
        <v>3.99</v>
      </c>
      <c r="J1077" t="s">
        <v>2069</v>
      </c>
      <c r="K1077" t="s">
        <v>2070</v>
      </c>
      <c r="L1077">
        <v>134</v>
      </c>
      <c r="M1077">
        <v>2018</v>
      </c>
      <c r="N1077">
        <v>1900</v>
      </c>
      <c r="O1077" s="1">
        <v>44616</v>
      </c>
      <c r="P1077" s="1">
        <v>44608</v>
      </c>
      <c r="S1077" t="s">
        <v>29</v>
      </c>
      <c r="W1077">
        <v>1</v>
      </c>
      <c r="X1077">
        <v>0</v>
      </c>
    </row>
    <row r="1078" spans="1:24" x14ac:dyDescent="0.25">
      <c r="A1078">
        <v>6434062</v>
      </c>
      <c r="B1078" t="s">
        <v>2071</v>
      </c>
      <c r="C1078" t="s">
        <v>1003</v>
      </c>
      <c r="D1078" t="s">
        <v>1004</v>
      </c>
      <c r="F1078" t="str">
        <f>"1421522802"</f>
        <v>1421522802</v>
      </c>
      <c r="G1078" t="str">
        <f>"9781421522807"</f>
        <v>9781421522807</v>
      </c>
      <c r="H1078">
        <v>5</v>
      </c>
      <c r="I1078">
        <v>4.67</v>
      </c>
      <c r="J1078" t="s">
        <v>27</v>
      </c>
      <c r="K1078" t="s">
        <v>28</v>
      </c>
      <c r="L1078">
        <v>584</v>
      </c>
      <c r="M1078">
        <v>2010</v>
      </c>
      <c r="O1078" s="1">
        <v>44615</v>
      </c>
      <c r="P1078" s="1">
        <v>44615</v>
      </c>
      <c r="S1078" t="s">
        <v>29</v>
      </c>
      <c r="W1078">
        <v>1</v>
      </c>
      <c r="X1078">
        <v>0</v>
      </c>
    </row>
    <row r="1079" spans="1:24" x14ac:dyDescent="0.25">
      <c r="A1079">
        <v>22609490</v>
      </c>
      <c r="B1079" t="s">
        <v>2072</v>
      </c>
      <c r="C1079" t="s">
        <v>1003</v>
      </c>
      <c r="D1079" t="s">
        <v>1004</v>
      </c>
      <c r="F1079" t="str">
        <f>"1421573342"</f>
        <v>1421573342</v>
      </c>
      <c r="G1079" t="str">
        <f>"9781421573342"</f>
        <v>9781421573342</v>
      </c>
      <c r="H1079">
        <v>5</v>
      </c>
      <c r="I1079">
        <v>4.71</v>
      </c>
      <c r="J1079" t="s">
        <v>27</v>
      </c>
      <c r="K1079" t="s">
        <v>28</v>
      </c>
      <c r="L1079">
        <v>632</v>
      </c>
      <c r="M1079">
        <v>2015</v>
      </c>
      <c r="O1079" s="1">
        <v>44615</v>
      </c>
      <c r="P1079" s="1">
        <v>44615</v>
      </c>
      <c r="S1079" t="s">
        <v>29</v>
      </c>
      <c r="W1079">
        <v>1</v>
      </c>
      <c r="X1079">
        <v>0</v>
      </c>
    </row>
    <row r="1080" spans="1:24" x14ac:dyDescent="0.25">
      <c r="A1080">
        <v>15800501</v>
      </c>
      <c r="B1080" t="s">
        <v>2073</v>
      </c>
      <c r="C1080" t="s">
        <v>1003</v>
      </c>
      <c r="D1080" t="s">
        <v>1004</v>
      </c>
      <c r="F1080" t="str">
        <f>"1421549298"</f>
        <v>1421549298</v>
      </c>
      <c r="G1080" t="str">
        <f>"9781421549293"</f>
        <v>9781421549293</v>
      </c>
      <c r="H1080">
        <v>5</v>
      </c>
      <c r="I1080">
        <v>4.68</v>
      </c>
      <c r="J1080" t="s">
        <v>399</v>
      </c>
      <c r="K1080" t="s">
        <v>28</v>
      </c>
      <c r="L1080">
        <v>632</v>
      </c>
      <c r="M1080">
        <v>2012</v>
      </c>
      <c r="O1080" s="1">
        <v>44615</v>
      </c>
      <c r="P1080" s="1">
        <v>44615</v>
      </c>
      <c r="S1080" t="s">
        <v>29</v>
      </c>
      <c r="W1080">
        <v>1</v>
      </c>
      <c r="X1080">
        <v>0</v>
      </c>
    </row>
    <row r="1081" spans="1:24" x14ac:dyDescent="0.25">
      <c r="A1081">
        <v>8065810</v>
      </c>
      <c r="B1081" t="s">
        <v>2074</v>
      </c>
      <c r="C1081" t="s">
        <v>1003</v>
      </c>
      <c r="D1081" t="s">
        <v>1004</v>
      </c>
      <c r="F1081" t="str">
        <f>"1421529157"</f>
        <v>1421529157</v>
      </c>
      <c r="G1081" t="str">
        <f>"9781421529158"</f>
        <v>9781421529158</v>
      </c>
      <c r="H1081">
        <v>5</v>
      </c>
      <c r="I1081">
        <v>4.66</v>
      </c>
      <c r="J1081" t="s">
        <v>27</v>
      </c>
      <c r="K1081" t="s">
        <v>28</v>
      </c>
      <c r="L1081">
        <v>600</v>
      </c>
      <c r="M1081">
        <v>2011</v>
      </c>
      <c r="O1081" s="1">
        <v>44614</v>
      </c>
      <c r="P1081" s="1">
        <v>44614</v>
      </c>
      <c r="S1081" t="s">
        <v>29</v>
      </c>
      <c r="W1081">
        <v>1</v>
      </c>
      <c r="X1081">
        <v>0</v>
      </c>
    </row>
    <row r="1082" spans="1:24" x14ac:dyDescent="0.25">
      <c r="A1082">
        <v>8065805</v>
      </c>
      <c r="B1082" t="s">
        <v>2075</v>
      </c>
      <c r="C1082" t="s">
        <v>1003</v>
      </c>
      <c r="D1082" t="s">
        <v>1004</v>
      </c>
      <c r="F1082" t="str">
        <f>"1421523132"</f>
        <v>1421523132</v>
      </c>
      <c r="G1082" t="str">
        <f>"9781421523132"</f>
        <v>9781421523132</v>
      </c>
      <c r="H1082">
        <v>5</v>
      </c>
      <c r="I1082">
        <v>4.71</v>
      </c>
      <c r="J1082" t="s">
        <v>27</v>
      </c>
      <c r="K1082" t="s">
        <v>28</v>
      </c>
      <c r="L1082">
        <v>600</v>
      </c>
      <c r="M1082">
        <v>2010</v>
      </c>
      <c r="O1082" s="1">
        <v>44614</v>
      </c>
      <c r="P1082" s="1">
        <v>44614</v>
      </c>
      <c r="S1082" t="s">
        <v>29</v>
      </c>
      <c r="W1082">
        <v>1</v>
      </c>
      <c r="X1082">
        <v>0</v>
      </c>
    </row>
    <row r="1083" spans="1:24" x14ac:dyDescent="0.25">
      <c r="A1083">
        <v>7651478</v>
      </c>
      <c r="B1083" t="s">
        <v>2076</v>
      </c>
      <c r="C1083" t="s">
        <v>1003</v>
      </c>
      <c r="D1083" t="s">
        <v>1004</v>
      </c>
      <c r="F1083" t="str">
        <f>"1421522829"</f>
        <v>1421522829</v>
      </c>
      <c r="G1083" t="str">
        <f>"9781421522821"</f>
        <v>9781421522821</v>
      </c>
      <c r="H1083">
        <v>5</v>
      </c>
      <c r="I1083">
        <v>4.75</v>
      </c>
      <c r="J1083" t="s">
        <v>27</v>
      </c>
      <c r="K1083" t="s">
        <v>28</v>
      </c>
      <c r="L1083">
        <v>624</v>
      </c>
      <c r="M1083">
        <v>2010</v>
      </c>
      <c r="O1083" s="1">
        <v>44613</v>
      </c>
      <c r="P1083" s="1">
        <v>44613</v>
      </c>
      <c r="S1083" t="s">
        <v>29</v>
      </c>
      <c r="W1083">
        <v>1</v>
      </c>
      <c r="X1083">
        <v>0</v>
      </c>
    </row>
    <row r="1084" spans="1:24" x14ac:dyDescent="0.25">
      <c r="A1084">
        <v>6759357</v>
      </c>
      <c r="B1084" t="s">
        <v>2077</v>
      </c>
      <c r="C1084" t="s">
        <v>1003</v>
      </c>
      <c r="D1084" t="s">
        <v>1004</v>
      </c>
      <c r="F1084" t="str">
        <f>"1421522810"</f>
        <v>1421522810</v>
      </c>
      <c r="G1084" t="str">
        <f>"9781421522814"</f>
        <v>9781421522814</v>
      </c>
      <c r="H1084">
        <v>5</v>
      </c>
      <c r="I1084">
        <v>4.66</v>
      </c>
      <c r="J1084" t="s">
        <v>27</v>
      </c>
      <c r="K1084" t="s">
        <v>28</v>
      </c>
      <c r="L1084">
        <v>640</v>
      </c>
      <c r="M1084">
        <v>2010</v>
      </c>
      <c r="O1084" s="1">
        <v>44613</v>
      </c>
      <c r="P1084" s="1">
        <v>44613</v>
      </c>
      <c r="S1084" t="s">
        <v>29</v>
      </c>
      <c r="W1084">
        <v>1</v>
      </c>
      <c r="X1084">
        <v>0</v>
      </c>
    </row>
    <row r="1085" spans="1:24" x14ac:dyDescent="0.25">
      <c r="A1085">
        <v>53213660</v>
      </c>
      <c r="B1085" t="s">
        <v>2078</v>
      </c>
      <c r="C1085" t="s">
        <v>968</v>
      </c>
      <c r="D1085" t="s">
        <v>969</v>
      </c>
      <c r="E1085" t="s">
        <v>2079</v>
      </c>
      <c r="F1085" t="str">
        <f>"1646510771"</f>
        <v>1646510771</v>
      </c>
      <c r="G1085" t="str">
        <f>"9781646510771"</f>
        <v>9781646510771</v>
      </c>
      <c r="H1085">
        <v>5</v>
      </c>
      <c r="I1085">
        <v>4.41</v>
      </c>
      <c r="J1085" t="s">
        <v>847</v>
      </c>
      <c r="K1085" t="s">
        <v>34</v>
      </c>
      <c r="L1085">
        <v>358</v>
      </c>
      <c r="M1085">
        <v>2021</v>
      </c>
      <c r="N1085">
        <v>2021</v>
      </c>
      <c r="O1085" s="1">
        <v>44613</v>
      </c>
      <c r="P1085" s="1">
        <v>44613</v>
      </c>
      <c r="S1085" t="s">
        <v>29</v>
      </c>
      <c r="W1085">
        <v>1</v>
      </c>
      <c r="X1085">
        <v>0</v>
      </c>
    </row>
    <row r="1086" spans="1:24" x14ac:dyDescent="0.25">
      <c r="A1086">
        <v>44779737</v>
      </c>
      <c r="B1086" t="s">
        <v>2080</v>
      </c>
      <c r="C1086" t="s">
        <v>968</v>
      </c>
      <c r="D1086" t="s">
        <v>969</v>
      </c>
      <c r="F1086" t="str">
        <f>"163236803X"</f>
        <v>163236803X</v>
      </c>
      <c r="G1086" t="str">
        <f>"9781632368034"</f>
        <v>9781632368034</v>
      </c>
      <c r="H1086">
        <v>5</v>
      </c>
      <c r="I1086">
        <v>4.57</v>
      </c>
      <c r="J1086" t="s">
        <v>847</v>
      </c>
      <c r="K1086" t="s">
        <v>34</v>
      </c>
      <c r="L1086">
        <v>392</v>
      </c>
      <c r="M1086">
        <v>2019</v>
      </c>
      <c r="N1086">
        <v>2019</v>
      </c>
      <c r="O1086" s="1">
        <v>44612</v>
      </c>
      <c r="P1086" s="1">
        <v>44612</v>
      </c>
      <c r="S1086" t="s">
        <v>29</v>
      </c>
      <c r="W1086">
        <v>1</v>
      </c>
      <c r="X1086">
        <v>0</v>
      </c>
    </row>
    <row r="1087" spans="1:24" x14ac:dyDescent="0.25">
      <c r="A1087">
        <v>38608163</v>
      </c>
      <c r="B1087" t="s">
        <v>2081</v>
      </c>
      <c r="C1087" t="s">
        <v>968</v>
      </c>
      <c r="D1087" t="s">
        <v>969</v>
      </c>
      <c r="E1087" t="s">
        <v>2079</v>
      </c>
      <c r="F1087" t="str">
        <f>"1632366304"</f>
        <v>1632366304</v>
      </c>
      <c r="G1087" t="str">
        <f>"9781632366306"</f>
        <v>9781632366306</v>
      </c>
      <c r="H1087">
        <v>5</v>
      </c>
      <c r="I1087">
        <v>4.46</v>
      </c>
      <c r="J1087" t="s">
        <v>847</v>
      </c>
      <c r="K1087" t="s">
        <v>34</v>
      </c>
      <c r="L1087">
        <v>400</v>
      </c>
      <c r="M1087">
        <v>2018</v>
      </c>
      <c r="N1087">
        <v>2018</v>
      </c>
      <c r="O1087" s="1">
        <v>44611</v>
      </c>
      <c r="P1087" s="1">
        <v>44611</v>
      </c>
      <c r="S1087" t="s">
        <v>29</v>
      </c>
      <c r="W1087">
        <v>1</v>
      </c>
      <c r="X1087">
        <v>0</v>
      </c>
    </row>
    <row r="1088" spans="1:24" x14ac:dyDescent="0.25">
      <c r="A1088">
        <v>69571</v>
      </c>
      <c r="B1088" t="s">
        <v>2082</v>
      </c>
      <c r="C1088" t="s">
        <v>2083</v>
      </c>
      <c r="D1088" t="s">
        <v>2084</v>
      </c>
      <c r="E1088" t="s">
        <v>2085</v>
      </c>
      <c r="F1088" t="str">
        <f>"0751532711"</f>
        <v>0751532711</v>
      </c>
      <c r="G1088" t="str">
        <f>"9780751532715"</f>
        <v>9780751532715</v>
      </c>
      <c r="H1088">
        <v>5</v>
      </c>
      <c r="I1088">
        <v>4.12</v>
      </c>
      <c r="J1088" t="s">
        <v>2086</v>
      </c>
      <c r="K1088" t="s">
        <v>28</v>
      </c>
      <c r="L1088">
        <v>195</v>
      </c>
      <c r="M1088">
        <v>2007</v>
      </c>
      <c r="N1088">
        <v>1997</v>
      </c>
      <c r="O1088" s="1">
        <v>44608</v>
      </c>
      <c r="P1088" s="1">
        <v>43688</v>
      </c>
      <c r="S1088" t="s">
        <v>29</v>
      </c>
      <c r="W1088">
        <v>1</v>
      </c>
      <c r="X1088">
        <v>0</v>
      </c>
    </row>
    <row r="1089" spans="1:24" x14ac:dyDescent="0.25">
      <c r="A1089">
        <v>6434061</v>
      </c>
      <c r="B1089" t="s">
        <v>2087</v>
      </c>
      <c r="C1089" t="s">
        <v>1003</v>
      </c>
      <c r="D1089" t="s">
        <v>1004</v>
      </c>
      <c r="F1089" t="str">
        <f>"1421522470"</f>
        <v>1421522470</v>
      </c>
      <c r="G1089" t="str">
        <f>"9781421522470"</f>
        <v>9781421522470</v>
      </c>
      <c r="H1089">
        <v>5</v>
      </c>
      <c r="I1089">
        <v>4.7</v>
      </c>
      <c r="J1089" t="s">
        <v>27</v>
      </c>
      <c r="K1089" t="s">
        <v>28</v>
      </c>
      <c r="L1089">
        <v>624</v>
      </c>
      <c r="M1089">
        <v>2009</v>
      </c>
      <c r="O1089" s="1">
        <v>44608</v>
      </c>
      <c r="P1089" s="1">
        <v>44608</v>
      </c>
      <c r="S1089" t="s">
        <v>29</v>
      </c>
      <c r="W1089">
        <v>1</v>
      </c>
      <c r="X1089">
        <v>0</v>
      </c>
    </row>
    <row r="1090" spans="1:24" x14ac:dyDescent="0.25">
      <c r="A1090">
        <v>51791252</v>
      </c>
      <c r="B1090" t="s">
        <v>2088</v>
      </c>
      <c r="C1090" t="s">
        <v>2089</v>
      </c>
      <c r="D1090" t="s">
        <v>2090</v>
      </c>
      <c r="F1090" t="str">
        <f>""</f>
        <v/>
      </c>
      <c r="G1090" t="str">
        <f>""</f>
        <v/>
      </c>
      <c r="H1090">
        <v>0</v>
      </c>
      <c r="I1090">
        <v>4.18</v>
      </c>
      <c r="J1090" t="s">
        <v>1378</v>
      </c>
      <c r="K1090" t="s">
        <v>34</v>
      </c>
      <c r="L1090">
        <v>343</v>
      </c>
      <c r="M1090">
        <v>2020</v>
      </c>
      <c r="N1090">
        <v>2020</v>
      </c>
      <c r="P1090" s="1">
        <v>44608</v>
      </c>
      <c r="Q1090" t="s">
        <v>35</v>
      </c>
      <c r="R1090" t="s">
        <v>2091</v>
      </c>
      <c r="S1090" t="s">
        <v>35</v>
      </c>
      <c r="W1090">
        <v>0</v>
      </c>
      <c r="X1090">
        <v>0</v>
      </c>
    </row>
    <row r="1091" spans="1:24" x14ac:dyDescent="0.25">
      <c r="A1091">
        <v>45046527</v>
      </c>
      <c r="B1091" t="s">
        <v>2092</v>
      </c>
      <c r="C1091" t="s">
        <v>2093</v>
      </c>
      <c r="D1091" t="s">
        <v>2094</v>
      </c>
      <c r="F1091" t="str">
        <f>""</f>
        <v/>
      </c>
      <c r="G1091" t="str">
        <f>""</f>
        <v/>
      </c>
      <c r="H1091">
        <v>5</v>
      </c>
      <c r="I1091">
        <v>4.37</v>
      </c>
      <c r="J1091" t="s">
        <v>376</v>
      </c>
      <c r="K1091" t="s">
        <v>34</v>
      </c>
      <c r="L1091">
        <v>459</v>
      </c>
      <c r="M1091">
        <v>2020</v>
      </c>
      <c r="N1091">
        <v>2020</v>
      </c>
      <c r="O1091" s="1">
        <v>44608</v>
      </c>
      <c r="P1091" s="1">
        <v>44570</v>
      </c>
      <c r="S1091" t="s">
        <v>29</v>
      </c>
      <c r="W1091">
        <v>1</v>
      </c>
      <c r="X1091">
        <v>0</v>
      </c>
    </row>
    <row r="1092" spans="1:24" x14ac:dyDescent="0.25">
      <c r="A1092">
        <v>17837762</v>
      </c>
      <c r="B1092" t="s">
        <v>2095</v>
      </c>
      <c r="C1092" t="s">
        <v>1864</v>
      </c>
      <c r="D1092" t="s">
        <v>1865</v>
      </c>
      <c r="E1092" t="s">
        <v>1893</v>
      </c>
      <c r="F1092" t="str">
        <f>"1421561328"</f>
        <v>1421561328</v>
      </c>
      <c r="G1092" t="str">
        <f>"9781421561325"</f>
        <v>9781421561325</v>
      </c>
      <c r="H1092">
        <v>5</v>
      </c>
      <c r="I1092">
        <v>4.4400000000000004</v>
      </c>
      <c r="J1092" t="s">
        <v>27</v>
      </c>
      <c r="K1092" t="s">
        <v>34</v>
      </c>
      <c r="L1092">
        <v>653</v>
      </c>
      <c r="M1092">
        <v>2013</v>
      </c>
      <c r="N1092">
        <v>2000</v>
      </c>
      <c r="O1092" s="1">
        <v>44607</v>
      </c>
      <c r="P1092" s="1">
        <v>44606</v>
      </c>
      <c r="S1092" t="s">
        <v>29</v>
      </c>
      <c r="W1092">
        <v>1</v>
      </c>
      <c r="X1092">
        <v>0</v>
      </c>
    </row>
    <row r="1093" spans="1:24" x14ac:dyDescent="0.25">
      <c r="A1093">
        <v>4865</v>
      </c>
      <c r="B1093" t="s">
        <v>2096</v>
      </c>
      <c r="C1093" t="s">
        <v>1794</v>
      </c>
      <c r="D1093" t="s">
        <v>1795</v>
      </c>
      <c r="F1093" t="str">
        <f>""</f>
        <v/>
      </c>
      <c r="G1093" t="str">
        <f>""</f>
        <v/>
      </c>
      <c r="H1093">
        <v>5</v>
      </c>
      <c r="I1093">
        <v>4.21</v>
      </c>
      <c r="J1093" t="s">
        <v>559</v>
      </c>
      <c r="K1093" t="s">
        <v>28</v>
      </c>
      <c r="L1093">
        <v>288</v>
      </c>
      <c r="M1093">
        <v>1998</v>
      </c>
      <c r="N1093">
        <v>1936</v>
      </c>
      <c r="O1093" s="1">
        <v>44603</v>
      </c>
      <c r="P1093" s="1">
        <v>43281</v>
      </c>
      <c r="S1093" t="s">
        <v>29</v>
      </c>
      <c r="W1093">
        <v>1</v>
      </c>
      <c r="X1093">
        <v>0</v>
      </c>
    </row>
    <row r="1094" spans="1:24" x14ac:dyDescent="0.25">
      <c r="A1094">
        <v>32592597</v>
      </c>
      <c r="B1094" t="s">
        <v>2097</v>
      </c>
      <c r="C1094" t="s">
        <v>968</v>
      </c>
      <c r="D1094" t="s">
        <v>969</v>
      </c>
      <c r="E1094" t="s">
        <v>2079</v>
      </c>
      <c r="F1094" t="str">
        <f>"163236445X"</f>
        <v>163236445X</v>
      </c>
      <c r="G1094" t="str">
        <f>"9781632364456"</f>
        <v>9781632364456</v>
      </c>
      <c r="H1094">
        <v>5</v>
      </c>
      <c r="I1094">
        <v>4.54</v>
      </c>
      <c r="J1094" t="s">
        <v>847</v>
      </c>
      <c r="K1094" t="s">
        <v>34</v>
      </c>
      <c r="L1094">
        <v>392</v>
      </c>
      <c r="M1094">
        <v>2017</v>
      </c>
      <c r="N1094">
        <v>2017</v>
      </c>
      <c r="O1094" s="1">
        <v>44603</v>
      </c>
      <c r="P1094" s="1">
        <v>44603</v>
      </c>
      <c r="S1094" t="s">
        <v>29</v>
      </c>
      <c r="W1094">
        <v>1</v>
      </c>
      <c r="X1094">
        <v>0</v>
      </c>
    </row>
    <row r="1095" spans="1:24" x14ac:dyDescent="0.25">
      <c r="A1095">
        <v>30027206</v>
      </c>
      <c r="B1095" t="s">
        <v>2098</v>
      </c>
      <c r="C1095" t="s">
        <v>968</v>
      </c>
      <c r="D1095" t="s">
        <v>969</v>
      </c>
      <c r="E1095" t="s">
        <v>2079</v>
      </c>
      <c r="F1095" t="str">
        <f>"1632363720"</f>
        <v>1632363720</v>
      </c>
      <c r="G1095" t="str">
        <f>"9781632363725"</f>
        <v>9781632363725</v>
      </c>
      <c r="H1095">
        <v>5</v>
      </c>
      <c r="I1095">
        <v>4.5199999999999996</v>
      </c>
      <c r="J1095" t="s">
        <v>847</v>
      </c>
      <c r="K1095" t="s">
        <v>34</v>
      </c>
      <c r="L1095">
        <v>393</v>
      </c>
      <c r="M1095">
        <v>2016</v>
      </c>
      <c r="N1095">
        <v>2016</v>
      </c>
      <c r="O1095" s="1">
        <v>44603</v>
      </c>
      <c r="P1095" s="1">
        <v>44602</v>
      </c>
      <c r="S1095" t="s">
        <v>29</v>
      </c>
      <c r="W1095">
        <v>1</v>
      </c>
      <c r="X1095">
        <v>0</v>
      </c>
    </row>
    <row r="1096" spans="1:24" x14ac:dyDescent="0.25">
      <c r="A1096">
        <v>25649494</v>
      </c>
      <c r="B1096" t="s">
        <v>2099</v>
      </c>
      <c r="C1096" t="s">
        <v>968</v>
      </c>
      <c r="D1096" t="s">
        <v>969</v>
      </c>
      <c r="E1096" t="s">
        <v>2079</v>
      </c>
      <c r="F1096" t="str">
        <f>"1632360098"</f>
        <v>1632360098</v>
      </c>
      <c r="G1096" t="str">
        <f>"9781632360090"</f>
        <v>9781632360090</v>
      </c>
      <c r="H1096">
        <v>5</v>
      </c>
      <c r="I1096">
        <v>4.6100000000000003</v>
      </c>
      <c r="J1096" t="s">
        <v>847</v>
      </c>
      <c r="K1096" t="s">
        <v>34</v>
      </c>
      <c r="L1096">
        <v>400</v>
      </c>
      <c r="M1096">
        <v>2015</v>
      </c>
      <c r="N1096">
        <v>2015</v>
      </c>
      <c r="O1096" s="1">
        <v>44601</v>
      </c>
      <c r="P1096" s="1">
        <v>44601</v>
      </c>
      <c r="S1096" t="s">
        <v>29</v>
      </c>
      <c r="W1096">
        <v>1</v>
      </c>
      <c r="X1096">
        <v>0</v>
      </c>
    </row>
    <row r="1097" spans="1:24" x14ac:dyDescent="0.25">
      <c r="A1097">
        <v>58375739</v>
      </c>
      <c r="B1097" t="s">
        <v>2100</v>
      </c>
      <c r="C1097" t="s">
        <v>2101</v>
      </c>
      <c r="D1097" t="s">
        <v>2102</v>
      </c>
      <c r="E1097" t="s">
        <v>2103</v>
      </c>
      <c r="F1097" t="str">
        <f>"1984877925"</f>
        <v>1984877925</v>
      </c>
      <c r="G1097" t="str">
        <f>"9781984877925"</f>
        <v>9781984877925</v>
      </c>
      <c r="H1097">
        <v>5</v>
      </c>
      <c r="I1097">
        <v>4.29</v>
      </c>
      <c r="J1097" t="s">
        <v>2104</v>
      </c>
      <c r="K1097" t="s">
        <v>34</v>
      </c>
      <c r="L1097">
        <v>418</v>
      </c>
      <c r="M1097">
        <v>2021</v>
      </c>
      <c r="N1097">
        <v>2021</v>
      </c>
      <c r="O1097" s="1">
        <v>44598</v>
      </c>
      <c r="P1097" s="1">
        <v>44596</v>
      </c>
      <c r="S1097" t="s">
        <v>29</v>
      </c>
      <c r="W1097">
        <v>1</v>
      </c>
      <c r="X1097">
        <v>0</v>
      </c>
    </row>
    <row r="1098" spans="1:24" x14ac:dyDescent="0.25">
      <c r="A1098">
        <v>350</v>
      </c>
      <c r="B1098" t="s">
        <v>2105</v>
      </c>
      <c r="C1098" t="s">
        <v>2106</v>
      </c>
      <c r="D1098" t="s">
        <v>2107</v>
      </c>
      <c r="E1098" t="s">
        <v>2108</v>
      </c>
      <c r="F1098" t="str">
        <f>""</f>
        <v/>
      </c>
      <c r="G1098" t="str">
        <f>""</f>
        <v/>
      </c>
      <c r="H1098">
        <v>0</v>
      </c>
      <c r="I1098">
        <v>3.92</v>
      </c>
      <c r="J1098" t="s">
        <v>1800</v>
      </c>
      <c r="K1098" t="s">
        <v>28</v>
      </c>
      <c r="L1098">
        <v>525</v>
      </c>
      <c r="M1098">
        <v>1991</v>
      </c>
      <c r="N1098">
        <v>1961</v>
      </c>
      <c r="P1098" s="1">
        <v>44596</v>
      </c>
      <c r="Q1098" t="s">
        <v>35</v>
      </c>
      <c r="R1098" t="s">
        <v>2109</v>
      </c>
      <c r="S1098" t="s">
        <v>35</v>
      </c>
      <c r="W1098">
        <v>0</v>
      </c>
      <c r="X1098">
        <v>0</v>
      </c>
    </row>
    <row r="1099" spans="1:24" x14ac:dyDescent="0.25">
      <c r="A1099">
        <v>5129</v>
      </c>
      <c r="B1099" t="s">
        <v>2110</v>
      </c>
      <c r="C1099" t="s">
        <v>2111</v>
      </c>
      <c r="D1099" t="s">
        <v>2112</v>
      </c>
      <c r="F1099" t="str">
        <f>"0060929871"</f>
        <v>0060929871</v>
      </c>
      <c r="G1099" t="str">
        <f>"9780060929879"</f>
        <v>9780060929879</v>
      </c>
      <c r="H1099">
        <v>0</v>
      </c>
      <c r="I1099">
        <v>3.99</v>
      </c>
      <c r="J1099" t="s">
        <v>2113</v>
      </c>
      <c r="K1099" t="s">
        <v>28</v>
      </c>
      <c r="L1099">
        <v>268</v>
      </c>
      <c r="M1099">
        <v>1998</v>
      </c>
      <c r="N1099">
        <v>1932</v>
      </c>
      <c r="P1099" s="1">
        <v>44595</v>
      </c>
      <c r="Q1099" t="s">
        <v>35</v>
      </c>
      <c r="R1099" t="s">
        <v>2114</v>
      </c>
      <c r="S1099" t="s">
        <v>35</v>
      </c>
      <c r="W1099">
        <v>0</v>
      </c>
      <c r="X1099">
        <v>0</v>
      </c>
    </row>
    <row r="1100" spans="1:24" x14ac:dyDescent="0.25">
      <c r="A1100">
        <v>6324090</v>
      </c>
      <c r="B1100" t="s">
        <v>2115</v>
      </c>
      <c r="C1100" t="s">
        <v>2116</v>
      </c>
      <c r="D1100" t="s">
        <v>2117</v>
      </c>
      <c r="E1100" t="s">
        <v>2118</v>
      </c>
      <c r="F1100" t="str">
        <f>""</f>
        <v/>
      </c>
      <c r="G1100" t="str">
        <f>""</f>
        <v/>
      </c>
      <c r="H1100">
        <v>5</v>
      </c>
      <c r="I1100">
        <v>4</v>
      </c>
      <c r="J1100" t="s">
        <v>2119</v>
      </c>
      <c r="K1100" t="s">
        <v>133</v>
      </c>
      <c r="L1100">
        <v>96</v>
      </c>
      <c r="M1100">
        <v>1997</v>
      </c>
      <c r="N1100">
        <v>1865</v>
      </c>
      <c r="O1100" s="1">
        <v>44594</v>
      </c>
      <c r="P1100" s="1">
        <v>44595</v>
      </c>
      <c r="S1100" t="s">
        <v>29</v>
      </c>
      <c r="W1100">
        <v>1</v>
      </c>
      <c r="X1100">
        <v>0</v>
      </c>
    </row>
    <row r="1101" spans="1:24" x14ac:dyDescent="0.25">
      <c r="A1101">
        <v>53026643</v>
      </c>
      <c r="B1101" t="s">
        <v>2120</v>
      </c>
      <c r="C1101" t="s">
        <v>516</v>
      </c>
      <c r="D1101" t="s">
        <v>517</v>
      </c>
      <c r="F1101" t="str">
        <f>""</f>
        <v/>
      </c>
      <c r="G1101" t="str">
        <f>""</f>
        <v/>
      </c>
      <c r="H1101">
        <v>5</v>
      </c>
      <c r="I1101">
        <v>4.25</v>
      </c>
      <c r="J1101" t="s">
        <v>228</v>
      </c>
      <c r="K1101" t="s">
        <v>133</v>
      </c>
      <c r="L1101">
        <v>1181</v>
      </c>
      <c r="M1101">
        <v>2016</v>
      </c>
      <c r="N1101">
        <v>1984</v>
      </c>
      <c r="O1101" s="1">
        <v>44594</v>
      </c>
      <c r="P1101" s="1">
        <v>44569</v>
      </c>
      <c r="S1101" t="s">
        <v>29</v>
      </c>
      <c r="W1101">
        <v>1</v>
      </c>
      <c r="X1101">
        <v>0</v>
      </c>
    </row>
    <row r="1102" spans="1:24" x14ac:dyDescent="0.25">
      <c r="A1102">
        <v>6410661</v>
      </c>
      <c r="B1102" t="s">
        <v>2121</v>
      </c>
      <c r="C1102" t="s">
        <v>1003</v>
      </c>
      <c r="D1102" t="s">
        <v>1004</v>
      </c>
      <c r="F1102" t="str">
        <f>"1421522454"</f>
        <v>1421522454</v>
      </c>
      <c r="G1102" t="str">
        <f>"9781421522456"</f>
        <v>9781421522456</v>
      </c>
      <c r="H1102">
        <v>5</v>
      </c>
      <c r="I1102">
        <v>4.63</v>
      </c>
      <c r="J1102" t="s">
        <v>27</v>
      </c>
      <c r="K1102" t="s">
        <v>28</v>
      </c>
      <c r="L1102">
        <v>616</v>
      </c>
      <c r="M1102">
        <v>2009</v>
      </c>
      <c r="P1102" s="1">
        <v>44590</v>
      </c>
      <c r="S1102" t="s">
        <v>29</v>
      </c>
      <c r="W1102">
        <v>1</v>
      </c>
      <c r="X1102">
        <v>0</v>
      </c>
    </row>
    <row r="1103" spans="1:24" x14ac:dyDescent="0.25">
      <c r="A1103">
        <v>6297845</v>
      </c>
      <c r="B1103" t="s">
        <v>2122</v>
      </c>
      <c r="C1103" t="s">
        <v>1003</v>
      </c>
      <c r="D1103" t="s">
        <v>1004</v>
      </c>
      <c r="F1103" t="str">
        <f>"1421522462"</f>
        <v>1421522462</v>
      </c>
      <c r="G1103" t="str">
        <f>"9781421522463"</f>
        <v>9781421522463</v>
      </c>
      <c r="H1103">
        <v>5</v>
      </c>
      <c r="I1103">
        <v>4.68</v>
      </c>
      <c r="J1103" t="s">
        <v>27</v>
      </c>
      <c r="K1103" t="s">
        <v>28</v>
      </c>
      <c r="L1103">
        <v>664</v>
      </c>
      <c r="M1103">
        <v>2009</v>
      </c>
      <c r="P1103" s="1">
        <v>44590</v>
      </c>
      <c r="S1103" t="s">
        <v>29</v>
      </c>
      <c r="W1103">
        <v>1</v>
      </c>
      <c r="X1103">
        <v>0</v>
      </c>
    </row>
    <row r="1104" spans="1:24" x14ac:dyDescent="0.25">
      <c r="A1104">
        <v>93101</v>
      </c>
      <c r="B1104" t="s">
        <v>2123</v>
      </c>
      <c r="C1104" t="s">
        <v>2124</v>
      </c>
      <c r="D1104" t="s">
        <v>2125</v>
      </c>
      <c r="E1104" t="s">
        <v>2126</v>
      </c>
      <c r="F1104" t="str">
        <f>"0812972147"</f>
        <v>0812972147</v>
      </c>
      <c r="G1104" t="str">
        <f>"9780812972146"</f>
        <v>9780812972146</v>
      </c>
      <c r="H1104">
        <v>4</v>
      </c>
      <c r="I1104">
        <v>4.05</v>
      </c>
      <c r="J1104" t="s">
        <v>2127</v>
      </c>
      <c r="K1104" t="s">
        <v>28</v>
      </c>
      <c r="L1104">
        <v>1049</v>
      </c>
      <c r="M1104">
        <v>2004</v>
      </c>
      <c r="N1104">
        <v>800</v>
      </c>
      <c r="P1104" s="1">
        <v>44560</v>
      </c>
      <c r="S1104" t="s">
        <v>29</v>
      </c>
      <c r="W1104">
        <v>1</v>
      </c>
      <c r="X1104">
        <v>0</v>
      </c>
    </row>
    <row r="1105" spans="1:24" x14ac:dyDescent="0.25">
      <c r="A1105">
        <v>3175995</v>
      </c>
      <c r="B1105" t="s">
        <v>2128</v>
      </c>
      <c r="C1105" t="s">
        <v>1003</v>
      </c>
      <c r="D1105" t="s">
        <v>1004</v>
      </c>
      <c r="F1105" t="str">
        <f>"1421520540"</f>
        <v>1421520540</v>
      </c>
      <c r="G1105" t="str">
        <f>"9781421520544"</f>
        <v>9781421520544</v>
      </c>
      <c r="H1105">
        <v>5</v>
      </c>
      <c r="I1105">
        <v>4.53</v>
      </c>
      <c r="J1105" t="s">
        <v>1484</v>
      </c>
      <c r="K1105" t="s">
        <v>28</v>
      </c>
      <c r="L1105">
        <v>728</v>
      </c>
      <c r="M1105">
        <v>2008</v>
      </c>
      <c r="P1105" s="1">
        <v>44581</v>
      </c>
      <c r="S1105" t="s">
        <v>29</v>
      </c>
      <c r="W1105">
        <v>1</v>
      </c>
      <c r="X1105">
        <v>0</v>
      </c>
    </row>
    <row r="1106" spans="1:24" x14ac:dyDescent="0.25">
      <c r="A1106">
        <v>52585195</v>
      </c>
      <c r="B1106" t="s">
        <v>2129</v>
      </c>
      <c r="C1106" t="s">
        <v>1987</v>
      </c>
      <c r="D1106" t="s">
        <v>1988</v>
      </c>
      <c r="E1106" t="s">
        <v>2130</v>
      </c>
      <c r="F1106" t="str">
        <f>"0593318277"</f>
        <v>0593318277</v>
      </c>
      <c r="G1106" t="str">
        <f>"9780593318270"</f>
        <v>9780593318270</v>
      </c>
      <c r="H1106">
        <v>4</v>
      </c>
      <c r="I1106">
        <v>3.65</v>
      </c>
      <c r="J1106" t="s">
        <v>2131</v>
      </c>
      <c r="K1106" t="s">
        <v>34</v>
      </c>
      <c r="L1106">
        <v>160</v>
      </c>
      <c r="M1106">
        <v>2020</v>
      </c>
      <c r="N1106">
        <v>2020</v>
      </c>
      <c r="O1106" s="1">
        <v>44570</v>
      </c>
      <c r="P1106" s="1">
        <v>44571</v>
      </c>
      <c r="S1106" t="s">
        <v>29</v>
      </c>
      <c r="W1106">
        <v>1</v>
      </c>
      <c r="X1106">
        <v>0</v>
      </c>
    </row>
    <row r="1107" spans="1:24" x14ac:dyDescent="0.25">
      <c r="A1107">
        <v>11187090</v>
      </c>
      <c r="B1107" t="s">
        <v>2132</v>
      </c>
      <c r="C1107" t="s">
        <v>2133</v>
      </c>
      <c r="D1107" t="s">
        <v>2134</v>
      </c>
      <c r="E1107" t="s">
        <v>2135</v>
      </c>
      <c r="F1107" t="str">
        <f>"1607103133"</f>
        <v>1607103133</v>
      </c>
      <c r="G1107" t="str">
        <f>"9781607103134"</f>
        <v>9781607103134</v>
      </c>
      <c r="H1107">
        <v>0</v>
      </c>
      <c r="I1107">
        <v>4.28</v>
      </c>
      <c r="J1107" t="s">
        <v>419</v>
      </c>
      <c r="K1107" t="s">
        <v>420</v>
      </c>
      <c r="L1107">
        <v>676</v>
      </c>
      <c r="M1107">
        <v>2011</v>
      </c>
      <c r="N1107">
        <v>1812</v>
      </c>
      <c r="P1107" s="1">
        <v>44582</v>
      </c>
      <c r="Q1107" t="s">
        <v>35</v>
      </c>
      <c r="R1107" t="s">
        <v>2136</v>
      </c>
      <c r="S1107" t="s">
        <v>35</v>
      </c>
      <c r="W1107">
        <v>0</v>
      </c>
      <c r="X1107">
        <v>0</v>
      </c>
    </row>
    <row r="1108" spans="1:24" x14ac:dyDescent="0.25">
      <c r="A1108">
        <v>29408433</v>
      </c>
      <c r="B1108" t="s">
        <v>2137</v>
      </c>
      <c r="C1108" t="s">
        <v>2138</v>
      </c>
      <c r="D1108" t="s">
        <v>2139</v>
      </c>
      <c r="F1108" t="str">
        <f>"1447294831"</f>
        <v>1447294831</v>
      </c>
      <c r="G1108" t="str">
        <f>"9781447294832"</f>
        <v>9781447294832</v>
      </c>
      <c r="H1108">
        <v>0</v>
      </c>
      <c r="I1108">
        <v>4.33</v>
      </c>
      <c r="J1108" t="s">
        <v>590</v>
      </c>
      <c r="K1108" t="s">
        <v>28</v>
      </c>
      <c r="L1108">
        <v>720</v>
      </c>
      <c r="M1108">
        <v>2016</v>
      </c>
      <c r="N1108">
        <v>2015</v>
      </c>
      <c r="P1108" s="1">
        <v>44572</v>
      </c>
      <c r="Q1108" t="s">
        <v>35</v>
      </c>
      <c r="R1108" t="s">
        <v>2140</v>
      </c>
      <c r="S1108" t="s">
        <v>35</v>
      </c>
      <c r="W1108">
        <v>0</v>
      </c>
      <c r="X1108">
        <v>0</v>
      </c>
    </row>
    <row r="1109" spans="1:24" x14ac:dyDescent="0.25">
      <c r="A1109">
        <v>21971622</v>
      </c>
      <c r="B1109" t="s">
        <v>2141</v>
      </c>
      <c r="C1109" t="s">
        <v>968</v>
      </c>
      <c r="D1109" t="s">
        <v>969</v>
      </c>
      <c r="E1109" t="s">
        <v>2079</v>
      </c>
      <c r="F1109" t="str">
        <f>"1612628036"</f>
        <v>1612628036</v>
      </c>
      <c r="G1109" t="str">
        <f>"9781612628035"</f>
        <v>9781612628035</v>
      </c>
      <c r="H1109">
        <v>5</v>
      </c>
      <c r="I1109">
        <v>4.5199999999999996</v>
      </c>
      <c r="J1109" t="s">
        <v>847</v>
      </c>
      <c r="K1109" t="s">
        <v>34</v>
      </c>
      <c r="L1109">
        <v>398</v>
      </c>
      <c r="M1109">
        <v>2015</v>
      </c>
      <c r="N1109">
        <v>2015</v>
      </c>
      <c r="O1109" s="1">
        <v>44576</v>
      </c>
      <c r="P1109" s="1">
        <v>44577</v>
      </c>
      <c r="S1109" t="s">
        <v>29</v>
      </c>
      <c r="W1109">
        <v>1</v>
      </c>
      <c r="X1109">
        <v>0</v>
      </c>
    </row>
    <row r="1110" spans="1:24" x14ac:dyDescent="0.25">
      <c r="A1110">
        <v>20600391</v>
      </c>
      <c r="B1110" t="s">
        <v>2142</v>
      </c>
      <c r="C1110" t="s">
        <v>968</v>
      </c>
      <c r="D1110" t="s">
        <v>969</v>
      </c>
      <c r="E1110" t="s">
        <v>2079</v>
      </c>
      <c r="F1110" t="str">
        <f>"1612624243"</f>
        <v>1612624243</v>
      </c>
      <c r="G1110" t="str">
        <f>"9781612624242"</f>
        <v>9781612624242</v>
      </c>
      <c r="H1110">
        <v>5</v>
      </c>
      <c r="I1110">
        <v>4.51</v>
      </c>
      <c r="J1110" t="s">
        <v>847</v>
      </c>
      <c r="K1110" t="s">
        <v>34</v>
      </c>
      <c r="L1110">
        <v>448</v>
      </c>
      <c r="M1110">
        <v>2014</v>
      </c>
      <c r="N1110">
        <v>2014</v>
      </c>
      <c r="P1110" s="1">
        <v>44577</v>
      </c>
      <c r="S1110" t="s">
        <v>29</v>
      </c>
      <c r="W1110">
        <v>1</v>
      </c>
      <c r="X1110">
        <v>0</v>
      </c>
    </row>
    <row r="1111" spans="1:24" x14ac:dyDescent="0.25">
      <c r="A1111">
        <v>53733086</v>
      </c>
      <c r="B1111" t="s">
        <v>2143</v>
      </c>
      <c r="C1111" t="s">
        <v>2144</v>
      </c>
      <c r="D1111" t="s">
        <v>2145</v>
      </c>
      <c r="F1111" t="str">
        <f>"0593084594"</f>
        <v>0593084594</v>
      </c>
      <c r="G1111" t="str">
        <f>"9780593084595"</f>
        <v>9780593084595</v>
      </c>
      <c r="H1111">
        <v>3</v>
      </c>
      <c r="I1111">
        <v>4.1399999999999997</v>
      </c>
      <c r="J1111" t="s">
        <v>1378</v>
      </c>
      <c r="K1111" t="s">
        <v>34</v>
      </c>
      <c r="L1111">
        <v>336</v>
      </c>
      <c r="M1111">
        <v>2021</v>
      </c>
      <c r="N1111">
        <v>2020</v>
      </c>
      <c r="O1111" s="1">
        <v>44570</v>
      </c>
      <c r="P1111" s="1">
        <v>44571</v>
      </c>
      <c r="S1111" t="s">
        <v>29</v>
      </c>
      <c r="W1111">
        <v>1</v>
      </c>
      <c r="X1111">
        <v>0</v>
      </c>
    </row>
    <row r="1112" spans="1:24" x14ac:dyDescent="0.25">
      <c r="A1112">
        <v>55723020</v>
      </c>
      <c r="B1112" t="s">
        <v>2146</v>
      </c>
      <c r="C1112" t="s">
        <v>2147</v>
      </c>
      <c r="D1112" t="s">
        <v>2148</v>
      </c>
      <c r="F1112" t="str">
        <f>"1524746738"</f>
        <v>1524746738</v>
      </c>
      <c r="G1112" t="str">
        <f>"9781524746735"</f>
        <v>9781524746735</v>
      </c>
      <c r="H1112">
        <v>0</v>
      </c>
      <c r="I1112">
        <v>3.95</v>
      </c>
      <c r="J1112" t="s">
        <v>2149</v>
      </c>
      <c r="K1112" t="s">
        <v>2150</v>
      </c>
      <c r="L1112">
        <v>305</v>
      </c>
      <c r="M1112">
        <v>2021</v>
      </c>
      <c r="N1112">
        <v>2021</v>
      </c>
      <c r="P1112" s="1">
        <v>44576</v>
      </c>
      <c r="Q1112" t="s">
        <v>35</v>
      </c>
      <c r="R1112" t="s">
        <v>2151</v>
      </c>
      <c r="S1112" t="s">
        <v>35</v>
      </c>
      <c r="W1112">
        <v>0</v>
      </c>
      <c r="X1112">
        <v>0</v>
      </c>
    </row>
    <row r="1113" spans="1:24" x14ac:dyDescent="0.25">
      <c r="A1113">
        <v>16256798</v>
      </c>
      <c r="B1113" t="s">
        <v>2152</v>
      </c>
      <c r="C1113" t="s">
        <v>2153</v>
      </c>
      <c r="D1113" t="s">
        <v>2154</v>
      </c>
      <c r="E1113" t="s">
        <v>2155</v>
      </c>
      <c r="F1113" t="str">
        <f>"1885167776"</f>
        <v>1885167776</v>
      </c>
      <c r="G1113" t="str">
        <f>"9781885167774"</f>
        <v>9781885167774</v>
      </c>
      <c r="H1113">
        <v>0</v>
      </c>
      <c r="I1113">
        <v>4.13</v>
      </c>
      <c r="J1113" t="s">
        <v>2156</v>
      </c>
      <c r="K1113" t="s">
        <v>34</v>
      </c>
      <c r="L1113">
        <v>240</v>
      </c>
      <c r="M1113">
        <v>2013</v>
      </c>
      <c r="N1113">
        <v>2012</v>
      </c>
      <c r="P1113" s="1">
        <v>44576</v>
      </c>
      <c r="Q1113" t="s">
        <v>35</v>
      </c>
      <c r="R1113" t="s">
        <v>2157</v>
      </c>
      <c r="S1113" t="s">
        <v>35</v>
      </c>
      <c r="W1113">
        <v>0</v>
      </c>
      <c r="X1113">
        <v>0</v>
      </c>
    </row>
    <row r="1114" spans="1:24" x14ac:dyDescent="0.25">
      <c r="A1114">
        <v>7445</v>
      </c>
      <c r="B1114" t="s">
        <v>2158</v>
      </c>
      <c r="C1114" t="s">
        <v>2159</v>
      </c>
      <c r="D1114" t="s">
        <v>2160</v>
      </c>
      <c r="F1114" t="str">
        <f>"074324754X"</f>
        <v>074324754X</v>
      </c>
      <c r="G1114" t="str">
        <f>"9780743247542"</f>
        <v>9780743247542</v>
      </c>
      <c r="H1114">
        <v>0</v>
      </c>
      <c r="I1114">
        <v>4.3</v>
      </c>
      <c r="J1114" t="s">
        <v>228</v>
      </c>
      <c r="K1114" t="s">
        <v>28</v>
      </c>
      <c r="L1114">
        <v>288</v>
      </c>
      <c r="M1114">
        <v>2006</v>
      </c>
      <c r="N1114">
        <v>2005</v>
      </c>
      <c r="P1114" s="1">
        <v>44576</v>
      </c>
      <c r="Q1114" t="s">
        <v>35</v>
      </c>
      <c r="R1114" t="s">
        <v>2161</v>
      </c>
      <c r="S1114" t="s">
        <v>35</v>
      </c>
      <c r="W1114">
        <v>0</v>
      </c>
      <c r="X1114">
        <v>0</v>
      </c>
    </row>
    <row r="1115" spans="1:24" x14ac:dyDescent="0.25">
      <c r="A1115">
        <v>77566</v>
      </c>
      <c r="B1115" t="s">
        <v>2162</v>
      </c>
      <c r="C1115" t="s">
        <v>2163</v>
      </c>
      <c r="D1115" t="s">
        <v>2164</v>
      </c>
      <c r="E1115" t="s">
        <v>2165</v>
      </c>
      <c r="F1115" t="str">
        <f>"0553283685"</f>
        <v>0553283685</v>
      </c>
      <c r="G1115" t="str">
        <f>"9780553283686"</f>
        <v>9780553283686</v>
      </c>
      <c r="H1115">
        <v>0</v>
      </c>
      <c r="I1115">
        <v>4.25</v>
      </c>
      <c r="J1115" t="s">
        <v>2166</v>
      </c>
      <c r="K1115" t="s">
        <v>207</v>
      </c>
      <c r="L1115">
        <v>500</v>
      </c>
      <c r="M1115">
        <v>1990</v>
      </c>
      <c r="N1115">
        <v>1989</v>
      </c>
      <c r="P1115" s="1">
        <v>44575</v>
      </c>
      <c r="Q1115" t="s">
        <v>35</v>
      </c>
      <c r="R1115" t="s">
        <v>2167</v>
      </c>
      <c r="S1115" t="s">
        <v>35</v>
      </c>
      <c r="W1115">
        <v>0</v>
      </c>
      <c r="X1115">
        <v>0</v>
      </c>
    </row>
    <row r="1116" spans="1:24" x14ac:dyDescent="0.25">
      <c r="A1116">
        <v>57341045</v>
      </c>
      <c r="B1116" t="s">
        <v>2168</v>
      </c>
      <c r="C1116" t="s">
        <v>2169</v>
      </c>
      <c r="D1116" t="s">
        <v>2170</v>
      </c>
      <c r="F1116" t="str">
        <f>"0356514226"</f>
        <v>0356514226</v>
      </c>
      <c r="G1116" t="str">
        <f>"9780356514222"</f>
        <v>9780356514222</v>
      </c>
      <c r="H1116">
        <v>0</v>
      </c>
      <c r="I1116">
        <v>4.5599999999999996</v>
      </c>
      <c r="J1116" t="s">
        <v>674</v>
      </c>
      <c r="K1116" t="s">
        <v>34</v>
      </c>
      <c r="L1116">
        <v>656</v>
      </c>
      <c r="M1116">
        <v>2022</v>
      </c>
      <c r="N1116">
        <v>2022</v>
      </c>
      <c r="P1116" s="1">
        <v>44575</v>
      </c>
      <c r="Q1116" t="s">
        <v>35</v>
      </c>
      <c r="R1116" t="s">
        <v>2171</v>
      </c>
      <c r="S1116" t="s">
        <v>35</v>
      </c>
      <c r="W1116">
        <v>0</v>
      </c>
      <c r="X1116">
        <v>0</v>
      </c>
    </row>
    <row r="1117" spans="1:24" x14ac:dyDescent="0.25">
      <c r="A1117">
        <v>52694527</v>
      </c>
      <c r="B1117" t="s">
        <v>2172</v>
      </c>
      <c r="C1117" t="s">
        <v>2169</v>
      </c>
      <c r="D1117" t="s">
        <v>2170</v>
      </c>
      <c r="F1117" t="str">
        <f>"0356514188"</f>
        <v>0356514188</v>
      </c>
      <c r="G1117" t="str">
        <f>"9780356514185"</f>
        <v>9780356514185</v>
      </c>
      <c r="H1117">
        <v>0</v>
      </c>
      <c r="I1117">
        <v>4.29</v>
      </c>
      <c r="J1117" t="s">
        <v>674</v>
      </c>
      <c r="K1117" t="s">
        <v>34</v>
      </c>
      <c r="L1117">
        <v>480</v>
      </c>
      <c r="M1117">
        <v>2021</v>
      </c>
      <c r="N1117">
        <v>2021</v>
      </c>
      <c r="P1117" s="1">
        <v>44575</v>
      </c>
      <c r="Q1117" t="s">
        <v>35</v>
      </c>
      <c r="R1117" t="s">
        <v>2173</v>
      </c>
      <c r="S1117" t="s">
        <v>35</v>
      </c>
      <c r="W1117">
        <v>0</v>
      </c>
      <c r="X1117">
        <v>0</v>
      </c>
    </row>
    <row r="1118" spans="1:24" x14ac:dyDescent="0.25">
      <c r="A1118">
        <v>56269205</v>
      </c>
      <c r="B1118" t="s">
        <v>2174</v>
      </c>
      <c r="C1118" t="s">
        <v>2175</v>
      </c>
      <c r="D1118" t="s">
        <v>2176</v>
      </c>
      <c r="E1118" t="s">
        <v>2177</v>
      </c>
      <c r="F1118" t="str">
        <f>"1250245281"</f>
        <v>1250245281</v>
      </c>
      <c r="G1118" t="str">
        <f>"9781250245281"</f>
        <v>9781250245281</v>
      </c>
      <c r="H1118">
        <v>0</v>
      </c>
      <c r="I1118">
        <v>4.4000000000000004</v>
      </c>
      <c r="J1118" t="s">
        <v>545</v>
      </c>
      <c r="K1118" t="s">
        <v>34</v>
      </c>
      <c r="L1118">
        <v>739</v>
      </c>
      <c r="M1118">
        <v>2021</v>
      </c>
      <c r="N1118">
        <v>2021</v>
      </c>
      <c r="P1118" s="1">
        <v>44575</v>
      </c>
      <c r="Q1118" t="s">
        <v>35</v>
      </c>
      <c r="R1118" t="s">
        <v>2178</v>
      </c>
      <c r="S1118" t="s">
        <v>35</v>
      </c>
      <c r="W1118">
        <v>0</v>
      </c>
      <c r="X1118">
        <v>0</v>
      </c>
    </row>
    <row r="1119" spans="1:24" x14ac:dyDescent="0.25">
      <c r="A1119">
        <v>414999</v>
      </c>
      <c r="B1119" t="s">
        <v>2179</v>
      </c>
      <c r="C1119" t="s">
        <v>2180</v>
      </c>
      <c r="D1119" t="s">
        <v>2181</v>
      </c>
      <c r="F1119" t="str">
        <f>""</f>
        <v/>
      </c>
      <c r="G1119" t="str">
        <f>""</f>
        <v/>
      </c>
      <c r="H1119">
        <v>0</v>
      </c>
      <c r="I1119">
        <v>4.1100000000000003</v>
      </c>
      <c r="J1119" t="s">
        <v>2182</v>
      </c>
      <c r="K1119" t="s">
        <v>207</v>
      </c>
      <c r="L1119">
        <v>224</v>
      </c>
      <c r="M1119">
        <v>1987</v>
      </c>
      <c r="N1119">
        <v>1953</v>
      </c>
      <c r="P1119" s="1">
        <v>44575</v>
      </c>
      <c r="Q1119" t="s">
        <v>35</v>
      </c>
      <c r="R1119" t="s">
        <v>2183</v>
      </c>
      <c r="S1119" t="s">
        <v>35</v>
      </c>
      <c r="W1119">
        <v>0</v>
      </c>
      <c r="X1119">
        <v>0</v>
      </c>
    </row>
    <row r="1120" spans="1:24" x14ac:dyDescent="0.25">
      <c r="A1120">
        <v>28953503</v>
      </c>
      <c r="B1120" t="s">
        <v>2184</v>
      </c>
      <c r="C1120" t="s">
        <v>2133</v>
      </c>
      <c r="D1120" t="s">
        <v>2134</v>
      </c>
      <c r="E1120" t="s">
        <v>2185</v>
      </c>
      <c r="F1120" t="str">
        <f>""</f>
        <v/>
      </c>
      <c r="G1120" t="str">
        <f>"9782843090141"</f>
        <v>9782843090141</v>
      </c>
      <c r="H1120">
        <v>0</v>
      </c>
      <c r="I1120">
        <v>4.13</v>
      </c>
      <c r="J1120" t="s">
        <v>2186</v>
      </c>
      <c r="K1120" t="s">
        <v>28</v>
      </c>
      <c r="L1120">
        <v>864</v>
      </c>
      <c r="M1120">
        <v>2016</v>
      </c>
      <c r="N1120">
        <v>1812</v>
      </c>
      <c r="P1120" s="1">
        <v>44572</v>
      </c>
      <c r="Q1120" t="s">
        <v>35</v>
      </c>
      <c r="R1120" t="s">
        <v>2187</v>
      </c>
      <c r="S1120" t="s">
        <v>35</v>
      </c>
      <c r="W1120">
        <v>0</v>
      </c>
      <c r="X1120">
        <v>0</v>
      </c>
    </row>
    <row r="1121" spans="1:24" x14ac:dyDescent="0.25">
      <c r="A1121">
        <v>54304137</v>
      </c>
      <c r="B1121" t="s">
        <v>2188</v>
      </c>
      <c r="C1121" t="s">
        <v>516</v>
      </c>
      <c r="D1121" t="s">
        <v>517</v>
      </c>
      <c r="F1121" t="str">
        <f>"1982137983"</f>
        <v>1982137983</v>
      </c>
      <c r="G1121" t="str">
        <f>"9781982137984"</f>
        <v>9781982137984</v>
      </c>
      <c r="H1121">
        <v>0</v>
      </c>
      <c r="I1121">
        <v>4.01</v>
      </c>
      <c r="J1121" t="s">
        <v>228</v>
      </c>
      <c r="K1121" t="s">
        <v>28</v>
      </c>
      <c r="L1121">
        <v>434</v>
      </c>
      <c r="M1121">
        <v>2021</v>
      </c>
      <c r="N1121">
        <v>2020</v>
      </c>
      <c r="P1121" s="1">
        <v>44571</v>
      </c>
      <c r="Q1121" t="s">
        <v>35</v>
      </c>
      <c r="R1121" t="s">
        <v>2187</v>
      </c>
      <c r="S1121" t="s">
        <v>35</v>
      </c>
      <c r="W1121">
        <v>0</v>
      </c>
      <c r="X1121">
        <v>0</v>
      </c>
    </row>
    <row r="1122" spans="1:24" x14ac:dyDescent="0.25">
      <c r="A1122">
        <v>9346932</v>
      </c>
      <c r="B1122" t="s">
        <v>2189</v>
      </c>
      <c r="C1122" t="s">
        <v>2190</v>
      </c>
      <c r="D1122" t="s">
        <v>2191</v>
      </c>
      <c r="E1122" t="s">
        <v>2192</v>
      </c>
      <c r="F1122" t="str">
        <f>""</f>
        <v/>
      </c>
      <c r="G1122" t="str">
        <f>"9789774212691"</f>
        <v>9789774212691</v>
      </c>
      <c r="H1122">
        <v>0</v>
      </c>
      <c r="I1122">
        <v>4.47</v>
      </c>
      <c r="J1122" t="s">
        <v>2193</v>
      </c>
      <c r="K1122" t="s">
        <v>28</v>
      </c>
      <c r="L1122">
        <v>391</v>
      </c>
      <c r="M1122">
        <v>2009</v>
      </c>
      <c r="P1122" s="1">
        <v>44571</v>
      </c>
      <c r="Q1122" t="s">
        <v>35</v>
      </c>
      <c r="R1122" t="s">
        <v>2194</v>
      </c>
      <c r="S1122" t="s">
        <v>35</v>
      </c>
      <c r="W1122">
        <v>0</v>
      </c>
      <c r="X1122">
        <v>0</v>
      </c>
    </row>
    <row r="1123" spans="1:24" x14ac:dyDescent="0.25">
      <c r="A1123">
        <v>9346892</v>
      </c>
      <c r="B1123" t="s">
        <v>2195</v>
      </c>
      <c r="C1123" t="s">
        <v>2196</v>
      </c>
      <c r="D1123" t="s">
        <v>2197</v>
      </c>
      <c r="E1123" t="s">
        <v>2198</v>
      </c>
      <c r="F1123" t="str">
        <f>""</f>
        <v/>
      </c>
      <c r="G1123" t="str">
        <f>"9789774212684"</f>
        <v>9789774212684</v>
      </c>
      <c r="H1123">
        <v>0</v>
      </c>
      <c r="I1123">
        <v>4.37</v>
      </c>
      <c r="J1123" t="s">
        <v>2193</v>
      </c>
      <c r="K1123" t="s">
        <v>28</v>
      </c>
      <c r="L1123">
        <v>472</v>
      </c>
      <c r="M1123">
        <v>2009</v>
      </c>
      <c r="N1123">
        <v>1866</v>
      </c>
      <c r="P1123" s="1">
        <v>44571</v>
      </c>
      <c r="Q1123" t="s">
        <v>35</v>
      </c>
      <c r="R1123" t="s">
        <v>2199</v>
      </c>
      <c r="S1123" t="s">
        <v>35</v>
      </c>
      <c r="W1123">
        <v>0</v>
      </c>
      <c r="X1123">
        <v>0</v>
      </c>
    </row>
    <row r="1124" spans="1:24" x14ac:dyDescent="0.25">
      <c r="A1124">
        <v>22299763</v>
      </c>
      <c r="B1124" t="s">
        <v>2200</v>
      </c>
      <c r="C1124" t="s">
        <v>2201</v>
      </c>
      <c r="D1124" t="s">
        <v>2202</v>
      </c>
      <c r="F1124" t="str">
        <f>""</f>
        <v/>
      </c>
      <c r="G1124" t="str">
        <f>""</f>
        <v/>
      </c>
      <c r="H1124">
        <v>0</v>
      </c>
      <c r="I1124">
        <v>4.6100000000000003</v>
      </c>
      <c r="J1124" t="s">
        <v>1751</v>
      </c>
      <c r="K1124" t="s">
        <v>133</v>
      </c>
      <c r="L1124">
        <v>561</v>
      </c>
      <c r="M1124">
        <v>2016</v>
      </c>
      <c r="N1124">
        <v>2016</v>
      </c>
      <c r="P1124" s="1">
        <v>44571</v>
      </c>
      <c r="Q1124" t="s">
        <v>35</v>
      </c>
      <c r="R1124" t="s">
        <v>2203</v>
      </c>
      <c r="S1124" t="s">
        <v>35</v>
      </c>
      <c r="W1124">
        <v>0</v>
      </c>
      <c r="X1124">
        <v>0</v>
      </c>
    </row>
    <row r="1125" spans="1:24" x14ac:dyDescent="0.25">
      <c r="A1125">
        <v>23437156</v>
      </c>
      <c r="B1125" t="s">
        <v>2204</v>
      </c>
      <c r="C1125" t="s">
        <v>2201</v>
      </c>
      <c r="D1125" t="s">
        <v>2202</v>
      </c>
      <c r="F1125" t="str">
        <f>""</f>
        <v/>
      </c>
      <c r="G1125" t="str">
        <f>""</f>
        <v/>
      </c>
      <c r="H1125">
        <v>0</v>
      </c>
      <c r="I1125">
        <v>4.49</v>
      </c>
      <c r="J1125" t="s">
        <v>1328</v>
      </c>
      <c r="K1125" t="s">
        <v>34</v>
      </c>
      <c r="L1125">
        <v>465</v>
      </c>
      <c r="M1125">
        <v>2015</v>
      </c>
      <c r="N1125">
        <v>2015</v>
      </c>
      <c r="P1125" s="1">
        <v>44571</v>
      </c>
      <c r="Q1125" t="s">
        <v>35</v>
      </c>
      <c r="R1125" t="s">
        <v>2205</v>
      </c>
      <c r="S1125" t="s">
        <v>35</v>
      </c>
      <c r="W1125">
        <v>0</v>
      </c>
      <c r="X1125">
        <v>0</v>
      </c>
    </row>
    <row r="1126" spans="1:24" x14ac:dyDescent="0.25">
      <c r="A1126">
        <v>7126</v>
      </c>
      <c r="B1126" t="s">
        <v>2206</v>
      </c>
      <c r="C1126" t="s">
        <v>2207</v>
      </c>
      <c r="D1126" t="s">
        <v>2208</v>
      </c>
      <c r="E1126" t="s">
        <v>2209</v>
      </c>
      <c r="F1126" t="str">
        <f>"0140449264"</f>
        <v>0140449264</v>
      </c>
      <c r="G1126" t="str">
        <f>"9780140449266"</f>
        <v>9780140449266</v>
      </c>
      <c r="H1126">
        <v>0</v>
      </c>
      <c r="I1126">
        <v>4.28</v>
      </c>
      <c r="J1126" t="s">
        <v>2210</v>
      </c>
      <c r="K1126" t="s">
        <v>28</v>
      </c>
      <c r="L1126">
        <v>1276</v>
      </c>
      <c r="M1126">
        <v>2003</v>
      </c>
      <c r="N1126">
        <v>1844</v>
      </c>
      <c r="P1126" s="1">
        <v>44571</v>
      </c>
      <c r="Q1126" t="s">
        <v>35</v>
      </c>
      <c r="R1126" t="s">
        <v>2211</v>
      </c>
      <c r="S1126" t="s">
        <v>35</v>
      </c>
      <c r="W1126">
        <v>0</v>
      </c>
      <c r="X1126">
        <v>0</v>
      </c>
    </row>
    <row r="1127" spans="1:24" x14ac:dyDescent="0.25">
      <c r="A1127">
        <v>130440</v>
      </c>
      <c r="B1127" t="s">
        <v>2212</v>
      </c>
      <c r="C1127" t="s">
        <v>2213</v>
      </c>
      <c r="D1127" t="s">
        <v>2214</v>
      </c>
      <c r="E1127" t="s">
        <v>2215</v>
      </c>
      <c r="F1127" t="str">
        <f>"0679774386"</f>
        <v>0679774386</v>
      </c>
      <c r="G1127" t="str">
        <f>"9780679774389"</f>
        <v>9780679774389</v>
      </c>
      <c r="H1127">
        <v>0</v>
      </c>
      <c r="I1127">
        <v>4.01</v>
      </c>
      <c r="J1127" t="s">
        <v>2216</v>
      </c>
      <c r="K1127" t="s">
        <v>28</v>
      </c>
      <c r="L1127">
        <v>592</v>
      </c>
      <c r="M1127">
        <v>1997</v>
      </c>
      <c r="N1127">
        <v>1957</v>
      </c>
      <c r="P1127" s="1">
        <v>44570</v>
      </c>
      <c r="Q1127" t="s">
        <v>35</v>
      </c>
      <c r="R1127" t="s">
        <v>2217</v>
      </c>
      <c r="S1127" t="s">
        <v>35</v>
      </c>
      <c r="W1127">
        <v>0</v>
      </c>
      <c r="X1127">
        <v>0</v>
      </c>
    </row>
    <row r="1128" spans="1:24" x14ac:dyDescent="0.25">
      <c r="A1128">
        <v>56852407</v>
      </c>
      <c r="B1128" t="s">
        <v>2218</v>
      </c>
      <c r="C1128" t="s">
        <v>516</v>
      </c>
      <c r="D1128" t="s">
        <v>517</v>
      </c>
      <c r="F1128" t="str">
        <f>"1982173610"</f>
        <v>1982173610</v>
      </c>
      <c r="G1128" t="str">
        <f>"9781982173616"</f>
        <v>9781982173616</v>
      </c>
      <c r="H1128">
        <v>4</v>
      </c>
      <c r="I1128">
        <v>4.2300000000000004</v>
      </c>
      <c r="J1128" t="s">
        <v>228</v>
      </c>
      <c r="K1128" t="s">
        <v>34</v>
      </c>
      <c r="L1128">
        <v>515</v>
      </c>
      <c r="M1128">
        <v>2021</v>
      </c>
      <c r="N1128">
        <v>2021</v>
      </c>
      <c r="O1128" s="1">
        <v>44544</v>
      </c>
      <c r="P1128" s="1">
        <v>44545</v>
      </c>
      <c r="S1128" t="s">
        <v>29</v>
      </c>
      <c r="W1128">
        <v>1</v>
      </c>
      <c r="X1128">
        <v>0</v>
      </c>
    </row>
    <row r="1129" spans="1:24" x14ac:dyDescent="0.25">
      <c r="A1129">
        <v>11588</v>
      </c>
      <c r="B1129" t="s">
        <v>2219</v>
      </c>
      <c r="C1129" t="s">
        <v>516</v>
      </c>
      <c r="D1129" t="s">
        <v>517</v>
      </c>
      <c r="F1129" t="str">
        <f>"0450040186"</f>
        <v>0450040186</v>
      </c>
      <c r="G1129" t="str">
        <f>"9780450040184"</f>
        <v>9780450040184</v>
      </c>
      <c r="H1129">
        <v>0</v>
      </c>
      <c r="I1129">
        <v>4.26</v>
      </c>
      <c r="J1129" t="s">
        <v>2220</v>
      </c>
      <c r="K1129" t="s">
        <v>28</v>
      </c>
      <c r="L1129">
        <v>659</v>
      </c>
      <c r="M1129">
        <v>1980</v>
      </c>
      <c r="N1129">
        <v>1977</v>
      </c>
      <c r="P1129" s="1">
        <v>44569</v>
      </c>
      <c r="Q1129" t="s">
        <v>35</v>
      </c>
      <c r="R1129" t="s">
        <v>2221</v>
      </c>
      <c r="S1129" t="s">
        <v>35</v>
      </c>
      <c r="W1129">
        <v>0</v>
      </c>
      <c r="X1129">
        <v>0</v>
      </c>
    </row>
    <row r="1130" spans="1:24" x14ac:dyDescent="0.25">
      <c r="A1130">
        <v>4485966</v>
      </c>
      <c r="B1130" t="s">
        <v>2222</v>
      </c>
      <c r="C1130" t="s">
        <v>2223</v>
      </c>
      <c r="D1130" t="s">
        <v>2224</v>
      </c>
      <c r="F1130" t="str">
        <f>"1591842247"</f>
        <v>1591842247</v>
      </c>
      <c r="G1130" t="str">
        <f>"9781591842248"</f>
        <v>9781591842248</v>
      </c>
      <c r="H1130">
        <v>0</v>
      </c>
      <c r="I1130">
        <v>3.93</v>
      </c>
      <c r="J1130" t="s">
        <v>966</v>
      </c>
      <c r="K1130" t="s">
        <v>34</v>
      </c>
      <c r="L1130">
        <v>240</v>
      </c>
      <c r="M1130">
        <v>2008</v>
      </c>
      <c r="N1130">
        <v>2008</v>
      </c>
      <c r="P1130" s="1">
        <v>44566</v>
      </c>
      <c r="Q1130" t="s">
        <v>35</v>
      </c>
      <c r="R1130" t="s">
        <v>2225</v>
      </c>
      <c r="S1130" t="s">
        <v>35</v>
      </c>
      <c r="W1130">
        <v>0</v>
      </c>
      <c r="X1130">
        <v>0</v>
      </c>
    </row>
    <row r="1131" spans="1:24" x14ac:dyDescent="0.25">
      <c r="A1131">
        <v>186074</v>
      </c>
      <c r="B1131" t="s">
        <v>2226</v>
      </c>
      <c r="C1131" t="s">
        <v>2227</v>
      </c>
      <c r="D1131" t="s">
        <v>2228</v>
      </c>
      <c r="F1131" t="str">
        <f>"075640407X"</f>
        <v>075640407X</v>
      </c>
      <c r="G1131" t="str">
        <f>"9780756404079"</f>
        <v>9780756404079</v>
      </c>
      <c r="H1131">
        <v>0</v>
      </c>
      <c r="I1131">
        <v>4.5199999999999996</v>
      </c>
      <c r="J1131" t="s">
        <v>2229</v>
      </c>
      <c r="K1131" t="s">
        <v>34</v>
      </c>
      <c r="L1131">
        <v>662</v>
      </c>
      <c r="M1131">
        <v>2007</v>
      </c>
      <c r="N1131">
        <v>2007</v>
      </c>
      <c r="P1131" s="1">
        <v>44262</v>
      </c>
      <c r="Q1131" t="s">
        <v>35</v>
      </c>
      <c r="R1131" t="s">
        <v>2230</v>
      </c>
      <c r="S1131" t="s">
        <v>35</v>
      </c>
      <c r="W1131">
        <v>0</v>
      </c>
      <c r="X1131">
        <v>0</v>
      </c>
    </row>
    <row r="1132" spans="1:24" x14ac:dyDescent="0.25">
      <c r="A1132">
        <v>890</v>
      </c>
      <c r="B1132" t="s">
        <v>2231</v>
      </c>
      <c r="C1132" t="s">
        <v>2232</v>
      </c>
      <c r="D1132" t="s">
        <v>2233</v>
      </c>
      <c r="F1132" t="str">
        <f>"0142000671"</f>
        <v>0142000671</v>
      </c>
      <c r="G1132" t="str">
        <f>"9780142000670"</f>
        <v>9780142000670</v>
      </c>
      <c r="H1132">
        <v>0</v>
      </c>
      <c r="I1132">
        <v>3.88</v>
      </c>
      <c r="J1132" t="s">
        <v>617</v>
      </c>
      <c r="K1132" t="s">
        <v>28</v>
      </c>
      <c r="L1132">
        <v>112</v>
      </c>
      <c r="M1132">
        <v>2002</v>
      </c>
      <c r="N1132">
        <v>1937</v>
      </c>
      <c r="P1132" s="1">
        <v>44560</v>
      </c>
      <c r="Q1132" t="s">
        <v>35</v>
      </c>
      <c r="R1132" t="s">
        <v>2234</v>
      </c>
      <c r="S1132" t="s">
        <v>35</v>
      </c>
      <c r="W1132">
        <v>0</v>
      </c>
      <c r="X1132">
        <v>0</v>
      </c>
    </row>
    <row r="1133" spans="1:24" x14ac:dyDescent="0.25">
      <c r="A1133">
        <v>58879929</v>
      </c>
      <c r="B1133" t="s">
        <v>2235</v>
      </c>
      <c r="C1133" t="s">
        <v>2236</v>
      </c>
      <c r="D1133" t="s">
        <v>2237</v>
      </c>
      <c r="F1133" t="str">
        <f>""</f>
        <v/>
      </c>
      <c r="G1133" t="str">
        <f>"9789921737363"</f>
        <v>9789921737363</v>
      </c>
      <c r="H1133">
        <v>0</v>
      </c>
      <c r="I1133">
        <v>4.46</v>
      </c>
      <c r="J1133" t="s">
        <v>1916</v>
      </c>
      <c r="K1133" t="s">
        <v>28</v>
      </c>
      <c r="L1133">
        <v>636</v>
      </c>
      <c r="M1133">
        <v>2021</v>
      </c>
      <c r="N1133">
        <v>2021</v>
      </c>
      <c r="P1133" s="1">
        <v>44557</v>
      </c>
      <c r="Q1133" t="s">
        <v>35</v>
      </c>
      <c r="R1133" t="s">
        <v>2238</v>
      </c>
      <c r="S1133" t="s">
        <v>35</v>
      </c>
      <c r="W1133">
        <v>0</v>
      </c>
      <c r="X1133">
        <v>0</v>
      </c>
    </row>
    <row r="1134" spans="1:24" x14ac:dyDescent="0.25">
      <c r="A1134">
        <v>58717986</v>
      </c>
      <c r="B1134" t="s">
        <v>2239</v>
      </c>
      <c r="C1134" t="s">
        <v>2240</v>
      </c>
      <c r="D1134" t="s">
        <v>2241</v>
      </c>
      <c r="F1134" t="str">
        <f>""</f>
        <v/>
      </c>
      <c r="G1134" t="str">
        <f>""</f>
        <v/>
      </c>
      <c r="H1134">
        <v>0</v>
      </c>
      <c r="I1134">
        <v>3.33</v>
      </c>
      <c r="P1134" s="1">
        <v>44557</v>
      </c>
      <c r="Q1134" t="s">
        <v>35</v>
      </c>
      <c r="R1134" t="s">
        <v>2242</v>
      </c>
      <c r="S1134" t="s">
        <v>35</v>
      </c>
      <c r="W1134">
        <v>0</v>
      </c>
      <c r="X1134">
        <v>0</v>
      </c>
    </row>
    <row r="1135" spans="1:24" x14ac:dyDescent="0.25">
      <c r="A1135">
        <v>44318414</v>
      </c>
      <c r="B1135" t="s">
        <v>2243</v>
      </c>
      <c r="C1135" t="s">
        <v>2244</v>
      </c>
      <c r="D1135" t="s">
        <v>2245</v>
      </c>
      <c r="F1135" t="str">
        <f>"0062963678"</f>
        <v>0062963678</v>
      </c>
      <c r="G1135" t="str">
        <f>"9780062963673"</f>
        <v>9780062963673</v>
      </c>
      <c r="H1135">
        <v>0</v>
      </c>
      <c r="I1135">
        <v>4.1100000000000003</v>
      </c>
      <c r="J1135" t="s">
        <v>2246</v>
      </c>
      <c r="K1135" t="s">
        <v>34</v>
      </c>
      <c r="L1135">
        <v>337</v>
      </c>
      <c r="M1135">
        <v>2019</v>
      </c>
      <c r="N1135">
        <v>2019</v>
      </c>
      <c r="P1135" s="1">
        <v>44557</v>
      </c>
      <c r="Q1135" t="s">
        <v>35</v>
      </c>
      <c r="R1135" t="s">
        <v>2247</v>
      </c>
      <c r="S1135" t="s">
        <v>35</v>
      </c>
      <c r="W1135">
        <v>0</v>
      </c>
      <c r="X1135">
        <v>0</v>
      </c>
    </row>
    <row r="1136" spans="1:24" x14ac:dyDescent="0.25">
      <c r="A1136">
        <v>43537112</v>
      </c>
      <c r="B1136" t="s">
        <v>2248</v>
      </c>
      <c r="C1136" t="s">
        <v>2249</v>
      </c>
      <c r="D1136" t="s">
        <v>2250</v>
      </c>
      <c r="F1136" t="str">
        <f>""</f>
        <v/>
      </c>
      <c r="G1136" t="str">
        <f>"9789921701197"</f>
        <v>9789921701197</v>
      </c>
      <c r="H1136">
        <v>0</v>
      </c>
      <c r="I1136">
        <v>3.4</v>
      </c>
      <c r="J1136" t="s">
        <v>2251</v>
      </c>
      <c r="K1136" t="s">
        <v>28</v>
      </c>
      <c r="L1136">
        <v>148</v>
      </c>
      <c r="M1136">
        <v>2018</v>
      </c>
      <c r="P1136" s="1">
        <v>44557</v>
      </c>
      <c r="Q1136" t="s">
        <v>35</v>
      </c>
      <c r="R1136" t="s">
        <v>2252</v>
      </c>
      <c r="S1136" t="s">
        <v>35</v>
      </c>
      <c r="W1136">
        <v>0</v>
      </c>
      <c r="X1136">
        <v>0</v>
      </c>
    </row>
    <row r="1137" spans="1:24" x14ac:dyDescent="0.25">
      <c r="A1137">
        <v>55626031</v>
      </c>
      <c r="B1137">
        <v>2084</v>
      </c>
      <c r="C1137" t="s">
        <v>2253</v>
      </c>
      <c r="D1137" t="s">
        <v>2254</v>
      </c>
      <c r="F1137" t="str">
        <f>""</f>
        <v/>
      </c>
      <c r="G1137" t="str">
        <f>"2789921739244"</f>
        <v>2789921739244</v>
      </c>
      <c r="H1137">
        <v>0</v>
      </c>
      <c r="I1137">
        <v>4.1100000000000003</v>
      </c>
      <c r="J1137" t="s">
        <v>2255</v>
      </c>
      <c r="K1137" t="s">
        <v>28</v>
      </c>
      <c r="L1137">
        <v>368</v>
      </c>
      <c r="M1137">
        <v>2020</v>
      </c>
      <c r="P1137" s="1">
        <v>44557</v>
      </c>
      <c r="Q1137" t="s">
        <v>35</v>
      </c>
      <c r="R1137" t="s">
        <v>2256</v>
      </c>
      <c r="S1137" t="s">
        <v>35</v>
      </c>
      <c r="W1137">
        <v>0</v>
      </c>
      <c r="X1137">
        <v>0</v>
      </c>
    </row>
    <row r="1138" spans="1:24" x14ac:dyDescent="0.25">
      <c r="A1138">
        <v>18619684</v>
      </c>
      <c r="B1138" t="s">
        <v>2257</v>
      </c>
      <c r="C1138" t="s">
        <v>2258</v>
      </c>
      <c r="D1138" t="s">
        <v>2259</v>
      </c>
      <c r="F1138" t="str">
        <f>""</f>
        <v/>
      </c>
      <c r="G1138" t="str">
        <f>"9781939126016"</f>
        <v>9781939126016</v>
      </c>
      <c r="H1138">
        <v>0</v>
      </c>
      <c r="I1138">
        <v>3.99</v>
      </c>
      <c r="J1138" t="s">
        <v>2260</v>
      </c>
      <c r="K1138" t="s">
        <v>609</v>
      </c>
      <c r="L1138">
        <v>537</v>
      </c>
      <c r="M1138">
        <v>2013</v>
      </c>
      <c r="N1138">
        <v>2004</v>
      </c>
      <c r="P1138" s="1">
        <v>44545</v>
      </c>
      <c r="Q1138" t="s">
        <v>35</v>
      </c>
      <c r="R1138" t="s">
        <v>2261</v>
      </c>
      <c r="S1138" t="s">
        <v>35</v>
      </c>
      <c r="W1138">
        <v>0</v>
      </c>
      <c r="X1138">
        <v>0</v>
      </c>
    </row>
    <row r="1139" spans="1:24" x14ac:dyDescent="0.25">
      <c r="A1139">
        <v>4214</v>
      </c>
      <c r="B1139" t="s">
        <v>2262</v>
      </c>
      <c r="C1139" t="s">
        <v>2263</v>
      </c>
      <c r="D1139" t="s">
        <v>2264</v>
      </c>
      <c r="F1139" t="str">
        <f>"0770430074"</f>
        <v>0770430074</v>
      </c>
      <c r="G1139" t="str">
        <f>"9780770430078"</f>
        <v>9780770430078</v>
      </c>
      <c r="H1139">
        <v>0</v>
      </c>
      <c r="I1139">
        <v>3.93</v>
      </c>
      <c r="J1139" t="s">
        <v>2265</v>
      </c>
      <c r="K1139" t="s">
        <v>28</v>
      </c>
      <c r="L1139">
        <v>460</v>
      </c>
      <c r="M1139">
        <v>2006</v>
      </c>
      <c r="N1139">
        <v>2001</v>
      </c>
      <c r="P1139" s="1">
        <v>44545</v>
      </c>
      <c r="Q1139" t="s">
        <v>35</v>
      </c>
      <c r="R1139" t="s">
        <v>2266</v>
      </c>
      <c r="S1139" t="s">
        <v>35</v>
      </c>
      <c r="W1139">
        <v>0</v>
      </c>
      <c r="X1139">
        <v>0</v>
      </c>
    </row>
    <row r="1140" spans="1:24" x14ac:dyDescent="0.25">
      <c r="A1140">
        <v>18405</v>
      </c>
      <c r="B1140" t="s">
        <v>2267</v>
      </c>
      <c r="C1140" t="s">
        <v>2268</v>
      </c>
      <c r="D1140" t="s">
        <v>2269</v>
      </c>
      <c r="F1140" t="str">
        <f>""</f>
        <v/>
      </c>
      <c r="G1140" t="str">
        <f>""</f>
        <v/>
      </c>
      <c r="H1140">
        <v>0</v>
      </c>
      <c r="I1140">
        <v>4.3</v>
      </c>
      <c r="J1140" t="s">
        <v>2048</v>
      </c>
      <c r="K1140" t="s">
        <v>207</v>
      </c>
      <c r="L1140">
        <v>1037</v>
      </c>
      <c r="M1140">
        <v>1999</v>
      </c>
      <c r="N1140">
        <v>1936</v>
      </c>
      <c r="P1140" s="1">
        <v>44545</v>
      </c>
      <c r="Q1140" t="s">
        <v>35</v>
      </c>
      <c r="R1140" t="s">
        <v>2270</v>
      </c>
      <c r="S1140" t="s">
        <v>35</v>
      </c>
      <c r="W1140">
        <v>0</v>
      </c>
      <c r="X1140">
        <v>0</v>
      </c>
    </row>
    <row r="1141" spans="1:24" x14ac:dyDescent="0.25">
      <c r="A1141">
        <v>44767458</v>
      </c>
      <c r="B1141" t="s">
        <v>2271</v>
      </c>
      <c r="C1141" t="s">
        <v>2272</v>
      </c>
      <c r="D1141" t="s">
        <v>2273</v>
      </c>
      <c r="F1141" t="str">
        <f>"059309932X"</f>
        <v>059309932X</v>
      </c>
      <c r="G1141" t="str">
        <f>"9780593099322"</f>
        <v>9780593099322</v>
      </c>
      <c r="H1141">
        <v>0</v>
      </c>
      <c r="I1141">
        <v>4.25</v>
      </c>
      <c r="J1141" t="s">
        <v>2274</v>
      </c>
      <c r="K1141" t="s">
        <v>34</v>
      </c>
      <c r="L1141">
        <v>658</v>
      </c>
      <c r="M1141">
        <v>2019</v>
      </c>
      <c r="N1141">
        <v>1965</v>
      </c>
      <c r="P1141" s="1">
        <v>44545</v>
      </c>
      <c r="Q1141" t="s">
        <v>35</v>
      </c>
      <c r="R1141" t="s">
        <v>2275</v>
      </c>
      <c r="S1141" t="s">
        <v>35</v>
      </c>
      <c r="W1141">
        <v>0</v>
      </c>
      <c r="X1141">
        <v>0</v>
      </c>
    </row>
    <row r="1142" spans="1:24" x14ac:dyDescent="0.25">
      <c r="A1142">
        <v>17857681</v>
      </c>
      <c r="B1142" t="s">
        <v>2276</v>
      </c>
      <c r="C1142" t="s">
        <v>968</v>
      </c>
      <c r="D1142" t="s">
        <v>969</v>
      </c>
      <c r="E1142" t="s">
        <v>2079</v>
      </c>
      <c r="F1142" t="str">
        <f>"1612624219"</f>
        <v>1612624219</v>
      </c>
      <c r="G1142" t="str">
        <f>"9781612624211"</f>
        <v>9781612624211</v>
      </c>
      <c r="H1142">
        <v>5</v>
      </c>
      <c r="I1142">
        <v>4.4400000000000004</v>
      </c>
      <c r="J1142" t="s">
        <v>847</v>
      </c>
      <c r="K1142" t="s">
        <v>34</v>
      </c>
      <c r="L1142">
        <v>438</v>
      </c>
      <c r="M1142">
        <v>2014</v>
      </c>
      <c r="N1142">
        <v>2014</v>
      </c>
      <c r="P1142" s="1">
        <v>44540</v>
      </c>
      <c r="S1142" t="s">
        <v>29</v>
      </c>
      <c r="W1142">
        <v>1</v>
      </c>
      <c r="X1142">
        <v>0</v>
      </c>
    </row>
    <row r="1143" spans="1:24" x14ac:dyDescent="0.25">
      <c r="A1143">
        <v>19087989</v>
      </c>
      <c r="B1143" t="s">
        <v>2277</v>
      </c>
      <c r="C1143" t="s">
        <v>968</v>
      </c>
      <c r="D1143" t="s">
        <v>969</v>
      </c>
      <c r="F1143" t="str">
        <f>""</f>
        <v/>
      </c>
      <c r="G1143" t="str">
        <f>""</f>
        <v/>
      </c>
      <c r="H1143">
        <v>5</v>
      </c>
      <c r="I1143">
        <v>4.45</v>
      </c>
      <c r="J1143" t="s">
        <v>847</v>
      </c>
      <c r="K1143" t="s">
        <v>133</v>
      </c>
      <c r="L1143">
        <v>470</v>
      </c>
      <c r="M1143">
        <v>2013</v>
      </c>
      <c r="N1143">
        <v>2013</v>
      </c>
      <c r="P1143" s="1">
        <v>44540</v>
      </c>
      <c r="S1143" t="s">
        <v>29</v>
      </c>
      <c r="W1143">
        <v>1</v>
      </c>
      <c r="X1143">
        <v>0</v>
      </c>
    </row>
    <row r="1144" spans="1:24" x14ac:dyDescent="0.25">
      <c r="A1144">
        <v>10475421</v>
      </c>
      <c r="B1144" t="s">
        <v>2278</v>
      </c>
      <c r="C1144" t="s">
        <v>2279</v>
      </c>
      <c r="D1144" t="s">
        <v>2280</v>
      </c>
      <c r="E1144" t="s">
        <v>2281</v>
      </c>
      <c r="F1144" t="str">
        <f>"1846142733"</f>
        <v>1846142733</v>
      </c>
      <c r="G1144" t="str">
        <f>"9781846142734"</f>
        <v>9781846142734</v>
      </c>
      <c r="H1144">
        <v>0</v>
      </c>
      <c r="I1144">
        <v>3.85</v>
      </c>
      <c r="J1144" t="s">
        <v>1336</v>
      </c>
      <c r="K1144" t="s">
        <v>34</v>
      </c>
      <c r="L1144">
        <v>402</v>
      </c>
      <c r="M1144">
        <v>2011</v>
      </c>
      <c r="N1144">
        <v>2011</v>
      </c>
      <c r="P1144" s="1">
        <v>44537</v>
      </c>
      <c r="Q1144" t="s">
        <v>35</v>
      </c>
      <c r="R1144" t="s">
        <v>2282</v>
      </c>
      <c r="S1144" t="s">
        <v>35</v>
      </c>
      <c r="W1144">
        <v>0</v>
      </c>
      <c r="X1144">
        <v>0</v>
      </c>
    </row>
    <row r="1145" spans="1:24" x14ac:dyDescent="0.25">
      <c r="A1145">
        <v>3250347</v>
      </c>
      <c r="B1145" t="s">
        <v>2283</v>
      </c>
      <c r="C1145" t="s">
        <v>2284</v>
      </c>
      <c r="D1145" t="s">
        <v>2285</v>
      </c>
      <c r="E1145" t="s">
        <v>2286</v>
      </c>
      <c r="F1145" t="str">
        <f>"1590305841"</f>
        <v>1590305841</v>
      </c>
      <c r="G1145" t="str">
        <f>"9781590305843"</f>
        <v>9781590305843</v>
      </c>
      <c r="H1145">
        <v>0</v>
      </c>
      <c r="I1145">
        <v>4.0999999999999996</v>
      </c>
      <c r="J1145" t="s">
        <v>2287</v>
      </c>
      <c r="K1145" t="s">
        <v>28</v>
      </c>
      <c r="L1145">
        <v>240</v>
      </c>
      <c r="M1145">
        <v>2008</v>
      </c>
      <c r="N1145">
        <v>2007</v>
      </c>
      <c r="P1145" s="1">
        <v>44518</v>
      </c>
      <c r="Q1145" t="s">
        <v>35</v>
      </c>
      <c r="R1145" t="s">
        <v>2288</v>
      </c>
      <c r="S1145" t="s">
        <v>35</v>
      </c>
      <c r="W1145">
        <v>0</v>
      </c>
      <c r="X1145">
        <v>0</v>
      </c>
    </row>
    <row r="1146" spans="1:24" x14ac:dyDescent="0.25">
      <c r="A1146">
        <v>18693771</v>
      </c>
      <c r="B1146" t="s">
        <v>2289</v>
      </c>
      <c r="C1146" t="s">
        <v>2290</v>
      </c>
      <c r="D1146" t="s">
        <v>2291</v>
      </c>
      <c r="F1146" t="str">
        <f>"0670785938"</f>
        <v>0670785938</v>
      </c>
      <c r="G1146" t="str">
        <f>"9780670785933"</f>
        <v>9780670785933</v>
      </c>
      <c r="H1146">
        <v>0</v>
      </c>
      <c r="I1146">
        <v>4.47</v>
      </c>
      <c r="J1146" t="s">
        <v>387</v>
      </c>
      <c r="K1146" t="s">
        <v>34</v>
      </c>
      <c r="L1146">
        <v>464</v>
      </c>
      <c r="M1146">
        <v>2014</v>
      </c>
      <c r="N1146">
        <v>2014</v>
      </c>
      <c r="P1146" s="1">
        <v>44513</v>
      </c>
      <c r="Q1146" t="s">
        <v>35</v>
      </c>
      <c r="R1146" t="s">
        <v>2292</v>
      </c>
      <c r="S1146" t="s">
        <v>35</v>
      </c>
      <c r="W1146">
        <v>0</v>
      </c>
      <c r="X1146">
        <v>0</v>
      </c>
    </row>
    <row r="1147" spans="1:24" x14ac:dyDescent="0.25">
      <c r="A1147">
        <v>27833670</v>
      </c>
      <c r="B1147" t="s">
        <v>2293</v>
      </c>
      <c r="C1147" t="s">
        <v>2294</v>
      </c>
      <c r="D1147" t="s">
        <v>2295</v>
      </c>
      <c r="E1147" t="s">
        <v>2296</v>
      </c>
      <c r="F1147" t="str">
        <f>"1101904224"</f>
        <v>1101904224</v>
      </c>
      <c r="G1147" t="str">
        <f>"9781101904220"</f>
        <v>9781101904220</v>
      </c>
      <c r="H1147">
        <v>4</v>
      </c>
      <c r="I1147">
        <v>4.13</v>
      </c>
      <c r="J1147" t="s">
        <v>1703</v>
      </c>
      <c r="K1147" t="s">
        <v>34</v>
      </c>
      <c r="L1147">
        <v>352</v>
      </c>
      <c r="M1147">
        <v>2016</v>
      </c>
      <c r="N1147">
        <v>2016</v>
      </c>
      <c r="O1147" s="1">
        <v>44489</v>
      </c>
      <c r="P1147" s="1">
        <v>44253</v>
      </c>
      <c r="S1147" t="s">
        <v>29</v>
      </c>
      <c r="W1147">
        <v>1</v>
      </c>
      <c r="X1147">
        <v>0</v>
      </c>
    </row>
    <row r="1148" spans="1:24" x14ac:dyDescent="0.25">
      <c r="A1148">
        <v>42768657</v>
      </c>
      <c r="B1148" t="s">
        <v>2297</v>
      </c>
      <c r="C1148" t="s">
        <v>2298</v>
      </c>
      <c r="D1148" t="s">
        <v>2299</v>
      </c>
      <c r="F1148" t="str">
        <f>""</f>
        <v/>
      </c>
      <c r="G1148" t="str">
        <f>"9789996694592"</f>
        <v>9789996694592</v>
      </c>
      <c r="H1148">
        <v>0</v>
      </c>
      <c r="I1148">
        <v>4.1399999999999997</v>
      </c>
      <c r="J1148" t="s">
        <v>2300</v>
      </c>
      <c r="K1148" t="s">
        <v>28</v>
      </c>
      <c r="L1148">
        <v>181</v>
      </c>
      <c r="M1148">
        <v>2018</v>
      </c>
      <c r="N1148">
        <v>2015</v>
      </c>
      <c r="P1148" s="1">
        <v>44470</v>
      </c>
      <c r="Q1148" t="s">
        <v>35</v>
      </c>
      <c r="R1148" t="s">
        <v>2301</v>
      </c>
      <c r="S1148" t="s">
        <v>35</v>
      </c>
      <c r="W1148">
        <v>0</v>
      </c>
      <c r="X1148">
        <v>0</v>
      </c>
    </row>
    <row r="1149" spans="1:24" x14ac:dyDescent="0.25">
      <c r="A1149">
        <v>35165084</v>
      </c>
      <c r="B1149" t="s">
        <v>2302</v>
      </c>
      <c r="C1149" t="s">
        <v>2303</v>
      </c>
      <c r="D1149" t="s">
        <v>2304</v>
      </c>
      <c r="F1149" t="str">
        <f>""</f>
        <v/>
      </c>
      <c r="G1149" t="str">
        <f>""</f>
        <v/>
      </c>
      <c r="H1149">
        <v>0</v>
      </c>
      <c r="I1149">
        <v>4.33</v>
      </c>
      <c r="J1149" t="s">
        <v>2303</v>
      </c>
      <c r="K1149" t="s">
        <v>133</v>
      </c>
      <c r="L1149">
        <v>382</v>
      </c>
      <c r="M1149">
        <v>2017</v>
      </c>
      <c r="N1149">
        <v>2017</v>
      </c>
      <c r="P1149" s="1">
        <v>44464</v>
      </c>
      <c r="Q1149" t="s">
        <v>35</v>
      </c>
      <c r="R1149" t="s">
        <v>2305</v>
      </c>
      <c r="S1149" t="s">
        <v>35</v>
      </c>
      <c r="W1149">
        <v>0</v>
      </c>
      <c r="X1149">
        <v>0</v>
      </c>
    </row>
    <row r="1150" spans="1:24" x14ac:dyDescent="0.25">
      <c r="A1150">
        <v>33488201</v>
      </c>
      <c r="B1150" t="s">
        <v>2306</v>
      </c>
      <c r="C1150" t="s">
        <v>2303</v>
      </c>
      <c r="D1150" t="s">
        <v>2304</v>
      </c>
      <c r="F1150" t="str">
        <f>""</f>
        <v/>
      </c>
      <c r="G1150" t="str">
        <f>""</f>
        <v/>
      </c>
      <c r="H1150">
        <v>0</v>
      </c>
      <c r="I1150">
        <v>4.1399999999999997</v>
      </c>
      <c r="J1150" t="s">
        <v>2303</v>
      </c>
      <c r="K1150" t="s">
        <v>133</v>
      </c>
      <c r="L1150">
        <v>350</v>
      </c>
      <c r="M1150">
        <v>2016</v>
      </c>
      <c r="N1150">
        <v>2016</v>
      </c>
      <c r="P1150" s="1">
        <v>44464</v>
      </c>
      <c r="Q1150" t="s">
        <v>35</v>
      </c>
      <c r="R1150" t="s">
        <v>2307</v>
      </c>
      <c r="S1150" t="s">
        <v>35</v>
      </c>
      <c r="W1150">
        <v>0</v>
      </c>
      <c r="X1150">
        <v>0</v>
      </c>
    </row>
    <row r="1151" spans="1:24" x14ac:dyDescent="0.25">
      <c r="A1151">
        <v>30175685</v>
      </c>
      <c r="B1151" t="s">
        <v>2308</v>
      </c>
      <c r="C1151" t="s">
        <v>2303</v>
      </c>
      <c r="D1151" t="s">
        <v>2304</v>
      </c>
      <c r="F1151" t="str">
        <f>""</f>
        <v/>
      </c>
      <c r="G1151" t="str">
        <f>""</f>
        <v/>
      </c>
      <c r="H1151">
        <v>0</v>
      </c>
      <c r="I1151">
        <v>4.13</v>
      </c>
      <c r="J1151" t="s">
        <v>2303</v>
      </c>
      <c r="K1151" t="s">
        <v>133</v>
      </c>
      <c r="L1151">
        <v>281</v>
      </c>
      <c r="M1151">
        <v>2016</v>
      </c>
      <c r="N1151">
        <v>2016</v>
      </c>
      <c r="P1151" s="1">
        <v>44464</v>
      </c>
      <c r="Q1151" t="s">
        <v>35</v>
      </c>
      <c r="R1151" t="s">
        <v>2309</v>
      </c>
      <c r="S1151" t="s">
        <v>35</v>
      </c>
      <c r="W1151">
        <v>0</v>
      </c>
      <c r="X1151">
        <v>0</v>
      </c>
    </row>
    <row r="1152" spans="1:24" x14ac:dyDescent="0.25">
      <c r="A1152">
        <v>31793524</v>
      </c>
      <c r="B1152" t="s">
        <v>2310</v>
      </c>
      <c r="C1152" t="s">
        <v>2303</v>
      </c>
      <c r="D1152" t="s">
        <v>2304</v>
      </c>
      <c r="F1152" t="str">
        <f>""</f>
        <v/>
      </c>
      <c r="G1152" t="str">
        <f>""</f>
        <v/>
      </c>
      <c r="H1152">
        <v>0</v>
      </c>
      <c r="I1152">
        <v>3.99</v>
      </c>
      <c r="J1152" t="s">
        <v>2303</v>
      </c>
      <c r="K1152" t="s">
        <v>133</v>
      </c>
      <c r="L1152">
        <v>417</v>
      </c>
      <c r="M1152">
        <v>2016</v>
      </c>
      <c r="N1152">
        <v>2016</v>
      </c>
      <c r="P1152" s="1">
        <v>44464</v>
      </c>
      <c r="Q1152" t="s">
        <v>35</v>
      </c>
      <c r="R1152" t="s">
        <v>2311</v>
      </c>
      <c r="S1152" t="s">
        <v>35</v>
      </c>
      <c r="W1152">
        <v>0</v>
      </c>
      <c r="X1152">
        <v>0</v>
      </c>
    </row>
    <row r="1153" spans="1:24" x14ac:dyDescent="0.25">
      <c r="A1153">
        <v>29749132</v>
      </c>
      <c r="B1153" t="s">
        <v>2312</v>
      </c>
      <c r="C1153" t="s">
        <v>2303</v>
      </c>
      <c r="D1153" t="s">
        <v>2304</v>
      </c>
      <c r="F1153" t="str">
        <f>""</f>
        <v/>
      </c>
      <c r="G1153" t="str">
        <f>""</f>
        <v/>
      </c>
      <c r="H1153">
        <v>0</v>
      </c>
      <c r="I1153">
        <v>3.99</v>
      </c>
      <c r="J1153" t="s">
        <v>2303</v>
      </c>
      <c r="K1153" t="s">
        <v>133</v>
      </c>
      <c r="L1153">
        <v>269</v>
      </c>
      <c r="M1153">
        <v>2016</v>
      </c>
      <c r="N1153">
        <v>2016</v>
      </c>
      <c r="P1153" s="1">
        <v>44464</v>
      </c>
      <c r="Q1153" t="s">
        <v>35</v>
      </c>
      <c r="R1153" t="s">
        <v>2313</v>
      </c>
      <c r="S1153" t="s">
        <v>35</v>
      </c>
      <c r="W1153">
        <v>0</v>
      </c>
      <c r="X1153">
        <v>0</v>
      </c>
    </row>
    <row r="1154" spans="1:24" x14ac:dyDescent="0.25">
      <c r="A1154">
        <v>15783514</v>
      </c>
      <c r="B1154" t="s">
        <v>2314</v>
      </c>
      <c r="C1154" t="s">
        <v>2315</v>
      </c>
      <c r="D1154" t="s">
        <v>2316</v>
      </c>
      <c r="F1154" t="str">
        <f>"0062255657"</f>
        <v>0062255657</v>
      </c>
      <c r="G1154" t="str">
        <f>"9780062255655"</f>
        <v>9780062255655</v>
      </c>
      <c r="H1154">
        <v>0</v>
      </c>
      <c r="I1154">
        <v>4.01</v>
      </c>
      <c r="J1154" t="s">
        <v>2317</v>
      </c>
      <c r="K1154" t="s">
        <v>34</v>
      </c>
      <c r="L1154">
        <v>181</v>
      </c>
      <c r="M1154">
        <v>2013</v>
      </c>
      <c r="N1154">
        <v>2013</v>
      </c>
      <c r="P1154" s="1">
        <v>44464</v>
      </c>
      <c r="Q1154" t="s">
        <v>35</v>
      </c>
      <c r="R1154" t="s">
        <v>2318</v>
      </c>
      <c r="S1154" t="s">
        <v>35</v>
      </c>
      <c r="W1154">
        <v>0</v>
      </c>
      <c r="X1154">
        <v>0</v>
      </c>
    </row>
    <row r="1155" spans="1:24" x14ac:dyDescent="0.25">
      <c r="A1155">
        <v>12067</v>
      </c>
      <c r="B1155" t="s">
        <v>2319</v>
      </c>
      <c r="C1155" t="s">
        <v>2320</v>
      </c>
      <c r="D1155" t="s">
        <v>2321</v>
      </c>
      <c r="E1155" t="s">
        <v>2315</v>
      </c>
      <c r="F1155" t="str">
        <f>""</f>
        <v/>
      </c>
      <c r="G1155" t="str">
        <f>""</f>
        <v/>
      </c>
      <c r="H1155">
        <v>0</v>
      </c>
      <c r="I1155">
        <v>4.25</v>
      </c>
      <c r="J1155" t="s">
        <v>1777</v>
      </c>
      <c r="K1155" t="s">
        <v>207</v>
      </c>
      <c r="L1155">
        <v>491</v>
      </c>
      <c r="M1155">
        <v>2006</v>
      </c>
      <c r="N1155">
        <v>1990</v>
      </c>
      <c r="P1155" s="1">
        <v>44464</v>
      </c>
      <c r="Q1155" t="s">
        <v>35</v>
      </c>
      <c r="R1155" t="s">
        <v>2322</v>
      </c>
      <c r="S1155" t="s">
        <v>35</v>
      </c>
      <c r="W1155">
        <v>0</v>
      </c>
      <c r="X1155">
        <v>0</v>
      </c>
    </row>
    <row r="1156" spans="1:24" x14ac:dyDescent="0.25">
      <c r="A1156">
        <v>10852065</v>
      </c>
      <c r="B1156" t="s">
        <v>2323</v>
      </c>
      <c r="C1156" t="s">
        <v>160</v>
      </c>
      <c r="D1156" t="s">
        <v>161</v>
      </c>
      <c r="F1156" t="str">
        <f>""</f>
        <v/>
      </c>
      <c r="G1156" t="str">
        <f>""</f>
        <v/>
      </c>
      <c r="H1156">
        <v>0</v>
      </c>
      <c r="I1156">
        <v>3.69</v>
      </c>
      <c r="J1156" t="s">
        <v>160</v>
      </c>
      <c r="L1156">
        <v>25</v>
      </c>
      <c r="M1156">
        <v>2006</v>
      </c>
      <c r="N1156">
        <v>2006</v>
      </c>
      <c r="P1156" s="1">
        <v>44464</v>
      </c>
      <c r="Q1156" t="s">
        <v>35</v>
      </c>
      <c r="R1156" t="s">
        <v>2324</v>
      </c>
      <c r="S1156" t="s">
        <v>35</v>
      </c>
      <c r="W1156">
        <v>0</v>
      </c>
      <c r="X1156">
        <v>0</v>
      </c>
    </row>
    <row r="1157" spans="1:24" x14ac:dyDescent="0.25">
      <c r="A1157">
        <v>68427</v>
      </c>
      <c r="B1157" t="s">
        <v>2325</v>
      </c>
      <c r="C1157" t="s">
        <v>160</v>
      </c>
      <c r="D1157" t="s">
        <v>161</v>
      </c>
      <c r="F1157" t="str">
        <f>"0765350378"</f>
        <v>0765350378</v>
      </c>
      <c r="G1157" t="str">
        <f>"9780765350374"</f>
        <v>9780765350374</v>
      </c>
      <c r="H1157">
        <v>0</v>
      </c>
      <c r="I1157">
        <v>4.1900000000000004</v>
      </c>
      <c r="J1157" t="s">
        <v>2326</v>
      </c>
      <c r="K1157" t="s">
        <v>207</v>
      </c>
      <c r="L1157">
        <v>622</v>
      </c>
      <c r="M1157">
        <v>2006</v>
      </c>
      <c r="N1157">
        <v>2005</v>
      </c>
      <c r="P1157" s="1">
        <v>44464</v>
      </c>
      <c r="Q1157" t="s">
        <v>35</v>
      </c>
      <c r="R1157" t="s">
        <v>2327</v>
      </c>
      <c r="S1157" t="s">
        <v>35</v>
      </c>
      <c r="W1157">
        <v>0</v>
      </c>
      <c r="X1157">
        <v>0</v>
      </c>
    </row>
    <row r="1158" spans="1:24" x14ac:dyDescent="0.25">
      <c r="A1158">
        <v>1268479</v>
      </c>
      <c r="B1158" t="s">
        <v>2328</v>
      </c>
      <c r="C1158" t="s">
        <v>160</v>
      </c>
      <c r="D1158" t="s">
        <v>161</v>
      </c>
      <c r="F1158" t="str">
        <f>""</f>
        <v/>
      </c>
      <c r="G1158" t="str">
        <f>""</f>
        <v/>
      </c>
      <c r="H1158">
        <v>0</v>
      </c>
      <c r="I1158">
        <v>4.3</v>
      </c>
      <c r="J1158" t="s">
        <v>2329</v>
      </c>
      <c r="K1158" t="s">
        <v>609</v>
      </c>
      <c r="L1158">
        <v>688</v>
      </c>
      <c r="M1158">
        <v>2009</v>
      </c>
      <c r="N1158">
        <v>2009</v>
      </c>
      <c r="P1158" s="1">
        <v>44464</v>
      </c>
      <c r="Q1158" t="s">
        <v>35</v>
      </c>
      <c r="R1158" t="s">
        <v>2330</v>
      </c>
      <c r="S1158" t="s">
        <v>35</v>
      </c>
      <c r="W1158">
        <v>0</v>
      </c>
      <c r="X1158">
        <v>0</v>
      </c>
    </row>
    <row r="1159" spans="1:24" x14ac:dyDescent="0.25">
      <c r="A1159">
        <v>28698036</v>
      </c>
      <c r="B1159" t="s">
        <v>2331</v>
      </c>
      <c r="C1159" t="s">
        <v>160</v>
      </c>
      <c r="D1159" t="s">
        <v>161</v>
      </c>
      <c r="F1159" t="str">
        <f>""</f>
        <v/>
      </c>
      <c r="G1159" t="str">
        <f>""</f>
        <v/>
      </c>
      <c r="H1159">
        <v>0</v>
      </c>
      <c r="I1159">
        <v>4.38</v>
      </c>
      <c r="J1159" t="s">
        <v>2332</v>
      </c>
      <c r="K1159" t="s">
        <v>133</v>
      </c>
      <c r="L1159">
        <v>160</v>
      </c>
      <c r="M1159">
        <v>2016</v>
      </c>
      <c r="N1159">
        <v>2016</v>
      </c>
      <c r="P1159" s="1">
        <v>44464</v>
      </c>
      <c r="Q1159" t="s">
        <v>35</v>
      </c>
      <c r="R1159" t="s">
        <v>2333</v>
      </c>
      <c r="S1159" t="s">
        <v>35</v>
      </c>
      <c r="W1159">
        <v>0</v>
      </c>
      <c r="X1159">
        <v>0</v>
      </c>
    </row>
    <row r="1160" spans="1:24" x14ac:dyDescent="0.25">
      <c r="A1160">
        <v>18739426</v>
      </c>
      <c r="B1160" t="s">
        <v>2334</v>
      </c>
      <c r="C1160" t="s">
        <v>160</v>
      </c>
      <c r="D1160" t="s">
        <v>161</v>
      </c>
      <c r="F1160" t="str">
        <f>""</f>
        <v/>
      </c>
      <c r="G1160" t="str">
        <f>""</f>
        <v/>
      </c>
      <c r="H1160">
        <v>0</v>
      </c>
      <c r="I1160">
        <v>4.42</v>
      </c>
      <c r="J1160" t="s">
        <v>1927</v>
      </c>
      <c r="K1160" t="s">
        <v>133</v>
      </c>
      <c r="L1160">
        <v>448</v>
      </c>
      <c r="M1160">
        <v>2016</v>
      </c>
      <c r="N1160">
        <v>2016</v>
      </c>
      <c r="P1160" s="1">
        <v>44464</v>
      </c>
      <c r="Q1160" t="s">
        <v>35</v>
      </c>
      <c r="R1160" t="s">
        <v>2335</v>
      </c>
      <c r="S1160" t="s">
        <v>35</v>
      </c>
      <c r="W1160">
        <v>0</v>
      </c>
      <c r="X1160">
        <v>0</v>
      </c>
    </row>
    <row r="1161" spans="1:24" x14ac:dyDescent="0.25">
      <c r="A1161">
        <v>16065004</v>
      </c>
      <c r="B1161" t="s">
        <v>2336</v>
      </c>
      <c r="C1161" t="s">
        <v>160</v>
      </c>
      <c r="D1161" t="s">
        <v>161</v>
      </c>
      <c r="F1161" t="str">
        <f>"0765378558"</f>
        <v>0765378558</v>
      </c>
      <c r="G1161" t="str">
        <f>"9780765378552"</f>
        <v>9780765378552</v>
      </c>
      <c r="H1161">
        <v>0</v>
      </c>
      <c r="I1161">
        <v>4.29</v>
      </c>
      <c r="J1161" t="s">
        <v>162</v>
      </c>
      <c r="K1161" t="s">
        <v>34</v>
      </c>
      <c r="L1161">
        <v>383</v>
      </c>
      <c r="M1161">
        <v>2015</v>
      </c>
      <c r="N1161">
        <v>2015</v>
      </c>
      <c r="P1161" s="1">
        <v>44464</v>
      </c>
      <c r="Q1161" t="s">
        <v>35</v>
      </c>
      <c r="R1161" t="s">
        <v>2337</v>
      </c>
      <c r="S1161" t="s">
        <v>35</v>
      </c>
      <c r="W1161">
        <v>0</v>
      </c>
      <c r="X1161">
        <v>0</v>
      </c>
    </row>
    <row r="1162" spans="1:24" x14ac:dyDescent="0.25">
      <c r="A1162">
        <v>10803121</v>
      </c>
      <c r="B1162" t="s">
        <v>2338</v>
      </c>
      <c r="C1162" t="s">
        <v>160</v>
      </c>
      <c r="D1162" t="s">
        <v>161</v>
      </c>
      <c r="F1162" t="str">
        <f>"0765330423"</f>
        <v>0765330423</v>
      </c>
      <c r="G1162" t="str">
        <f>"9780765330420"</f>
        <v>9780765330420</v>
      </c>
      <c r="H1162">
        <v>0</v>
      </c>
      <c r="I1162">
        <v>4.21</v>
      </c>
      <c r="J1162" t="s">
        <v>162</v>
      </c>
      <c r="K1162" t="s">
        <v>34</v>
      </c>
      <c r="L1162">
        <v>332</v>
      </c>
      <c r="M1162">
        <v>2011</v>
      </c>
      <c r="N1162">
        <v>2011</v>
      </c>
      <c r="P1162" s="1">
        <v>44464</v>
      </c>
      <c r="Q1162" t="s">
        <v>35</v>
      </c>
      <c r="R1162" t="s">
        <v>2339</v>
      </c>
      <c r="S1162" t="s">
        <v>35</v>
      </c>
      <c r="W1162">
        <v>0</v>
      </c>
      <c r="X1162">
        <v>0</v>
      </c>
    </row>
    <row r="1163" spans="1:24" x14ac:dyDescent="0.25">
      <c r="A1163">
        <v>2767793</v>
      </c>
      <c r="B1163" t="s">
        <v>2340</v>
      </c>
      <c r="C1163" t="s">
        <v>160</v>
      </c>
      <c r="D1163" t="s">
        <v>161</v>
      </c>
      <c r="F1163" t="str">
        <f>"0765316897"</f>
        <v>0765316897</v>
      </c>
      <c r="G1163" t="str">
        <f>"9780765316899"</f>
        <v>9780765316899</v>
      </c>
      <c r="H1163">
        <v>0</v>
      </c>
      <c r="I1163">
        <v>4.51</v>
      </c>
      <c r="J1163" t="s">
        <v>162</v>
      </c>
      <c r="K1163" t="s">
        <v>34</v>
      </c>
      <c r="L1163">
        <v>572</v>
      </c>
      <c r="M1163">
        <v>2008</v>
      </c>
      <c r="N1163">
        <v>2008</v>
      </c>
      <c r="P1163" s="1">
        <v>44464</v>
      </c>
      <c r="Q1163" t="s">
        <v>35</v>
      </c>
      <c r="R1163" t="s">
        <v>2341</v>
      </c>
      <c r="S1163" t="s">
        <v>35</v>
      </c>
      <c r="W1163">
        <v>0</v>
      </c>
      <c r="X1163">
        <v>0</v>
      </c>
    </row>
    <row r="1164" spans="1:24" x14ac:dyDescent="0.25">
      <c r="A1164">
        <v>68429</v>
      </c>
      <c r="B1164" t="s">
        <v>2342</v>
      </c>
      <c r="C1164" t="s">
        <v>160</v>
      </c>
      <c r="D1164" t="s">
        <v>161</v>
      </c>
      <c r="F1164" t="str">
        <f>"0765316889"</f>
        <v>0765316889</v>
      </c>
      <c r="G1164" t="str">
        <f>"9780765316882"</f>
        <v>9780765316882</v>
      </c>
      <c r="H1164">
        <v>0</v>
      </c>
      <c r="I1164">
        <v>4.38</v>
      </c>
      <c r="J1164" t="s">
        <v>162</v>
      </c>
      <c r="K1164" t="s">
        <v>34</v>
      </c>
      <c r="L1164">
        <v>590</v>
      </c>
      <c r="M1164">
        <v>2007</v>
      </c>
      <c r="N1164">
        <v>2007</v>
      </c>
      <c r="P1164" s="1">
        <v>44464</v>
      </c>
      <c r="Q1164" t="s">
        <v>35</v>
      </c>
      <c r="R1164" t="s">
        <v>2343</v>
      </c>
      <c r="S1164" t="s">
        <v>35</v>
      </c>
      <c r="W1164">
        <v>0</v>
      </c>
      <c r="X1164">
        <v>0</v>
      </c>
    </row>
    <row r="1165" spans="1:24" x14ac:dyDescent="0.25">
      <c r="A1165">
        <v>68428</v>
      </c>
      <c r="B1165" t="s">
        <v>2344</v>
      </c>
      <c r="C1165" t="s">
        <v>160</v>
      </c>
      <c r="D1165" t="s">
        <v>161</v>
      </c>
      <c r="F1165" t="str">
        <f>""</f>
        <v/>
      </c>
      <c r="G1165" t="str">
        <f>"9780765311788"</f>
        <v>9780765311788</v>
      </c>
      <c r="H1165">
        <v>0</v>
      </c>
      <c r="I1165">
        <v>4.47</v>
      </c>
      <c r="J1165" t="s">
        <v>162</v>
      </c>
      <c r="K1165" t="s">
        <v>34</v>
      </c>
      <c r="L1165">
        <v>541</v>
      </c>
      <c r="M1165">
        <v>2006</v>
      </c>
      <c r="N1165">
        <v>2006</v>
      </c>
      <c r="P1165" s="1">
        <v>44464</v>
      </c>
      <c r="Q1165" t="s">
        <v>35</v>
      </c>
      <c r="R1165" t="s">
        <v>2345</v>
      </c>
      <c r="S1165" t="s">
        <v>35</v>
      </c>
      <c r="W1165">
        <v>0</v>
      </c>
      <c r="X1165">
        <v>0</v>
      </c>
    </row>
    <row r="1166" spans="1:24" x14ac:dyDescent="0.25">
      <c r="A1166">
        <v>21343</v>
      </c>
      <c r="B1166" t="s">
        <v>2346</v>
      </c>
      <c r="C1166" t="s">
        <v>2347</v>
      </c>
      <c r="D1166" t="s">
        <v>2348</v>
      </c>
      <c r="F1166" t="str">
        <f>"0787960756"</f>
        <v>0787960756</v>
      </c>
      <c r="G1166" t="str">
        <f>"9780787960759"</f>
        <v>9780787960759</v>
      </c>
      <c r="H1166">
        <v>0</v>
      </c>
      <c r="I1166">
        <v>4.09</v>
      </c>
      <c r="J1166" t="s">
        <v>2349</v>
      </c>
      <c r="K1166" t="s">
        <v>34</v>
      </c>
      <c r="L1166">
        <v>227</v>
      </c>
      <c r="M1166">
        <v>2002</v>
      </c>
      <c r="N1166">
        <v>2002</v>
      </c>
      <c r="P1166" s="1">
        <v>44450</v>
      </c>
      <c r="Q1166" t="s">
        <v>35</v>
      </c>
      <c r="R1166" t="s">
        <v>2350</v>
      </c>
      <c r="S1166" t="s">
        <v>35</v>
      </c>
      <c r="W1166">
        <v>0</v>
      </c>
      <c r="X1166">
        <v>0</v>
      </c>
    </row>
    <row r="1167" spans="1:24" x14ac:dyDescent="0.25">
      <c r="A1167">
        <v>6348145</v>
      </c>
      <c r="B1167" t="s">
        <v>2351</v>
      </c>
      <c r="C1167" t="s">
        <v>2352</v>
      </c>
      <c r="D1167" t="s">
        <v>2353</v>
      </c>
      <c r="F1167" t="str">
        <f>"1591842476"</f>
        <v>1591842476</v>
      </c>
      <c r="G1167" t="str">
        <f>"9781591842477"</f>
        <v>9781591842477</v>
      </c>
      <c r="H1167">
        <v>0</v>
      </c>
      <c r="I1167">
        <v>3.89</v>
      </c>
      <c r="J1167" t="s">
        <v>966</v>
      </c>
      <c r="K1167" t="s">
        <v>34</v>
      </c>
      <c r="L1167">
        <v>256</v>
      </c>
      <c r="M1167">
        <v>2009</v>
      </c>
      <c r="N1167">
        <v>2005</v>
      </c>
      <c r="P1167" s="1">
        <v>44443</v>
      </c>
      <c r="Q1167" t="s">
        <v>35</v>
      </c>
      <c r="R1167" t="s">
        <v>2354</v>
      </c>
      <c r="S1167" t="s">
        <v>35</v>
      </c>
      <c r="W1167">
        <v>0</v>
      </c>
      <c r="X1167">
        <v>0</v>
      </c>
    </row>
    <row r="1168" spans="1:24" x14ac:dyDescent="0.25">
      <c r="A1168">
        <v>462539</v>
      </c>
      <c r="B1168" t="s">
        <v>2355</v>
      </c>
      <c r="C1168" t="s">
        <v>2356</v>
      </c>
      <c r="D1168" t="s">
        <v>2357</v>
      </c>
      <c r="F1168" t="str">
        <f>"0761136819"</f>
        <v>0761136819</v>
      </c>
      <c r="G1168" t="str">
        <f>"9780761136811"</f>
        <v>9780761136811</v>
      </c>
      <c r="H1168">
        <v>0</v>
      </c>
      <c r="I1168">
        <v>3.53</v>
      </c>
      <c r="J1168" t="s">
        <v>97</v>
      </c>
      <c r="K1168" t="s">
        <v>28</v>
      </c>
      <c r="L1168">
        <v>352</v>
      </c>
      <c r="M1168">
        <v>2005</v>
      </c>
      <c r="N1168">
        <v>1994</v>
      </c>
      <c r="P1168" s="1">
        <v>44443</v>
      </c>
      <c r="Q1168" t="s">
        <v>35</v>
      </c>
      <c r="R1168" t="s">
        <v>2358</v>
      </c>
      <c r="S1168" t="s">
        <v>35</v>
      </c>
      <c r="W1168">
        <v>0</v>
      </c>
      <c r="X1168">
        <v>0</v>
      </c>
    </row>
    <row r="1169" spans="1:24" x14ac:dyDescent="0.25">
      <c r="A1169">
        <v>684729</v>
      </c>
      <c r="B1169" t="s">
        <v>2359</v>
      </c>
      <c r="C1169" t="s">
        <v>2360</v>
      </c>
      <c r="D1169" t="s">
        <v>2361</v>
      </c>
      <c r="E1169" t="s">
        <v>2362</v>
      </c>
      <c r="F1169" t="str">
        <f>"1591396174"</f>
        <v>1591396174</v>
      </c>
      <c r="G1169" t="str">
        <f>"9781591396178"</f>
        <v>9781591396178</v>
      </c>
      <c r="H1169">
        <v>0</v>
      </c>
      <c r="I1169">
        <v>3.64</v>
      </c>
      <c r="J1169" t="s">
        <v>1979</v>
      </c>
      <c r="K1169" t="s">
        <v>34</v>
      </c>
      <c r="L1169">
        <v>208</v>
      </c>
      <c r="M1169">
        <v>2006</v>
      </c>
      <c r="N1169">
        <v>2006</v>
      </c>
      <c r="P1169" s="1">
        <v>44443</v>
      </c>
      <c r="Q1169" t="s">
        <v>35</v>
      </c>
      <c r="R1169" t="s">
        <v>2363</v>
      </c>
      <c r="S1169" t="s">
        <v>35</v>
      </c>
      <c r="W1169">
        <v>0</v>
      </c>
      <c r="X1169">
        <v>0</v>
      </c>
    </row>
    <row r="1170" spans="1:24" x14ac:dyDescent="0.25">
      <c r="A1170">
        <v>5559</v>
      </c>
      <c r="B1170" t="s">
        <v>2364</v>
      </c>
      <c r="C1170" t="s">
        <v>1967</v>
      </c>
      <c r="D1170" t="s">
        <v>1968</v>
      </c>
      <c r="E1170" t="s">
        <v>2365</v>
      </c>
      <c r="F1170" t="str">
        <f>"5559608475"</f>
        <v>5559608475</v>
      </c>
      <c r="G1170" t="str">
        <f>"9785559608471"</f>
        <v>9785559608471</v>
      </c>
      <c r="H1170">
        <v>0</v>
      </c>
      <c r="I1170">
        <v>3.81</v>
      </c>
      <c r="J1170" t="s">
        <v>2048</v>
      </c>
      <c r="K1170" t="s">
        <v>34</v>
      </c>
      <c r="L1170">
        <v>496</v>
      </c>
      <c r="M1170">
        <v>2005</v>
      </c>
      <c r="N1170">
        <v>2001</v>
      </c>
      <c r="P1170" s="1">
        <v>44443</v>
      </c>
      <c r="Q1170" t="s">
        <v>35</v>
      </c>
      <c r="R1170" t="s">
        <v>2366</v>
      </c>
      <c r="S1170" t="s">
        <v>35</v>
      </c>
      <c r="W1170">
        <v>0</v>
      </c>
      <c r="X1170">
        <v>0</v>
      </c>
    </row>
    <row r="1171" spans="1:24" x14ac:dyDescent="0.25">
      <c r="A1171">
        <v>16248085</v>
      </c>
      <c r="B1171" t="s">
        <v>2367</v>
      </c>
      <c r="C1171" t="s">
        <v>2368</v>
      </c>
      <c r="D1171" t="s">
        <v>2369</v>
      </c>
      <c r="F1171" t="str">
        <f>"0062082426"</f>
        <v>0062082426</v>
      </c>
      <c r="G1171" t="str">
        <f>"9780062082428"</f>
        <v>9780062082428</v>
      </c>
      <c r="H1171">
        <v>0</v>
      </c>
      <c r="I1171">
        <v>3.74</v>
      </c>
      <c r="J1171" t="s">
        <v>2246</v>
      </c>
      <c r="K1171" t="s">
        <v>34</v>
      </c>
      <c r="L1171">
        <v>384</v>
      </c>
      <c r="M1171">
        <v>2013</v>
      </c>
      <c r="N1171">
        <v>2013</v>
      </c>
      <c r="P1171" s="1">
        <v>44443</v>
      </c>
      <c r="Q1171" t="s">
        <v>35</v>
      </c>
      <c r="R1171" t="s">
        <v>2370</v>
      </c>
      <c r="S1171" t="s">
        <v>35</v>
      </c>
      <c r="W1171">
        <v>0</v>
      </c>
      <c r="X1171">
        <v>0</v>
      </c>
    </row>
    <row r="1172" spans="1:24" x14ac:dyDescent="0.25">
      <c r="A1172">
        <v>855029</v>
      </c>
      <c r="B1172" t="s">
        <v>2371</v>
      </c>
      <c r="C1172" t="s">
        <v>2372</v>
      </c>
      <c r="D1172" t="s">
        <v>2373</v>
      </c>
      <c r="F1172" t="str">
        <f>""</f>
        <v/>
      </c>
      <c r="G1172" t="str">
        <f>""</f>
        <v/>
      </c>
      <c r="H1172">
        <v>0</v>
      </c>
      <c r="I1172">
        <v>4.1500000000000004</v>
      </c>
      <c r="J1172" t="s">
        <v>1911</v>
      </c>
      <c r="K1172" t="s">
        <v>28</v>
      </c>
      <c r="L1172">
        <v>191</v>
      </c>
      <c r="M1172">
        <v>2001</v>
      </c>
      <c r="N1172">
        <v>1997</v>
      </c>
      <c r="P1172" s="1">
        <v>44358</v>
      </c>
      <c r="Q1172" t="s">
        <v>35</v>
      </c>
      <c r="R1172" t="s">
        <v>2374</v>
      </c>
      <c r="S1172" t="s">
        <v>35</v>
      </c>
      <c r="W1172">
        <v>0</v>
      </c>
      <c r="X1172">
        <v>0</v>
      </c>
    </row>
    <row r="1173" spans="1:24" x14ac:dyDescent="0.25">
      <c r="A1173">
        <v>44575719</v>
      </c>
      <c r="B1173" t="s">
        <v>2375</v>
      </c>
      <c r="C1173" t="s">
        <v>2376</v>
      </c>
      <c r="D1173" t="s">
        <v>2377</v>
      </c>
      <c r="F1173" t="str">
        <f>""</f>
        <v/>
      </c>
      <c r="G1173" t="str">
        <f>""</f>
        <v/>
      </c>
      <c r="H1173">
        <v>0</v>
      </c>
      <c r="I1173">
        <v>4.17</v>
      </c>
      <c r="K1173" t="s">
        <v>28</v>
      </c>
      <c r="L1173">
        <v>104</v>
      </c>
      <c r="M1173">
        <v>2019</v>
      </c>
      <c r="P1173" s="1">
        <v>44304</v>
      </c>
      <c r="Q1173" t="s">
        <v>35</v>
      </c>
      <c r="R1173" t="s">
        <v>2378</v>
      </c>
      <c r="S1173" t="s">
        <v>35</v>
      </c>
      <c r="W1173">
        <v>0</v>
      </c>
      <c r="X1173">
        <v>0</v>
      </c>
    </row>
    <row r="1174" spans="1:24" x14ac:dyDescent="0.25">
      <c r="A1174">
        <v>12111823</v>
      </c>
      <c r="B1174" t="s">
        <v>2379</v>
      </c>
      <c r="C1174" t="s">
        <v>2380</v>
      </c>
      <c r="D1174" t="s">
        <v>2381</v>
      </c>
      <c r="F1174" t="str">
        <f>"0002247410"</f>
        <v>0002247410</v>
      </c>
      <c r="G1174" t="str">
        <f>"9780002247412"</f>
        <v>9780002247412</v>
      </c>
      <c r="H1174">
        <v>0</v>
      </c>
      <c r="I1174">
        <v>4.4000000000000004</v>
      </c>
      <c r="J1174" t="s">
        <v>2382</v>
      </c>
      <c r="K1174" t="s">
        <v>34</v>
      </c>
      <c r="P1174" s="1">
        <v>44296</v>
      </c>
      <c r="Q1174" t="s">
        <v>35</v>
      </c>
      <c r="R1174" t="s">
        <v>2383</v>
      </c>
      <c r="S1174" t="s">
        <v>35</v>
      </c>
      <c r="W1174">
        <v>0</v>
      </c>
      <c r="X1174">
        <v>0</v>
      </c>
    </row>
    <row r="1175" spans="1:24" x14ac:dyDescent="0.25">
      <c r="A1175">
        <v>10664113</v>
      </c>
      <c r="B1175" t="s">
        <v>2384</v>
      </c>
      <c r="C1175" t="s">
        <v>2380</v>
      </c>
      <c r="D1175" t="s">
        <v>2381</v>
      </c>
      <c r="F1175" t="str">
        <f>""</f>
        <v/>
      </c>
      <c r="G1175" t="str">
        <f>""</f>
        <v/>
      </c>
      <c r="H1175">
        <v>0</v>
      </c>
      <c r="I1175">
        <v>4.33</v>
      </c>
      <c r="J1175" t="s">
        <v>1922</v>
      </c>
      <c r="K1175" t="s">
        <v>133</v>
      </c>
      <c r="L1175">
        <v>1125</v>
      </c>
      <c r="M1175">
        <v>2011</v>
      </c>
      <c r="N1175">
        <v>2011</v>
      </c>
      <c r="P1175" s="1">
        <v>44296</v>
      </c>
      <c r="Q1175" t="s">
        <v>35</v>
      </c>
      <c r="R1175" t="s">
        <v>2385</v>
      </c>
      <c r="S1175" t="s">
        <v>35</v>
      </c>
      <c r="W1175">
        <v>0</v>
      </c>
      <c r="X1175">
        <v>0</v>
      </c>
    </row>
    <row r="1176" spans="1:24" x14ac:dyDescent="0.25">
      <c r="A1176">
        <v>13497</v>
      </c>
      <c r="B1176" t="s">
        <v>2386</v>
      </c>
      <c r="C1176" t="s">
        <v>2380</v>
      </c>
      <c r="D1176" t="s">
        <v>2381</v>
      </c>
      <c r="F1176" t="str">
        <f>"055358202X"</f>
        <v>055358202X</v>
      </c>
      <c r="G1176" t="str">
        <f>"9780553582024"</f>
        <v>9780553582024</v>
      </c>
      <c r="H1176">
        <v>0</v>
      </c>
      <c r="I1176">
        <v>4.1500000000000004</v>
      </c>
      <c r="J1176" t="s">
        <v>2387</v>
      </c>
      <c r="K1176" t="s">
        <v>207</v>
      </c>
      <c r="L1176">
        <v>1061</v>
      </c>
      <c r="M1176">
        <v>2011</v>
      </c>
      <c r="N1176">
        <v>2005</v>
      </c>
      <c r="P1176" s="1">
        <v>44296</v>
      </c>
      <c r="Q1176" t="s">
        <v>35</v>
      </c>
      <c r="R1176" t="s">
        <v>2388</v>
      </c>
      <c r="S1176" t="s">
        <v>35</v>
      </c>
      <c r="W1176">
        <v>0</v>
      </c>
      <c r="X1176">
        <v>0</v>
      </c>
    </row>
    <row r="1177" spans="1:24" x14ac:dyDescent="0.25">
      <c r="A1177">
        <v>62291</v>
      </c>
      <c r="B1177" t="s">
        <v>2389</v>
      </c>
      <c r="C1177" t="s">
        <v>2380</v>
      </c>
      <c r="D1177" t="s">
        <v>2381</v>
      </c>
      <c r="F1177" t="str">
        <f>"055357342X"</f>
        <v>055357342X</v>
      </c>
      <c r="G1177" t="str">
        <f>"9780553573428"</f>
        <v>9780553573428</v>
      </c>
      <c r="H1177">
        <v>0</v>
      </c>
      <c r="I1177">
        <v>4.54</v>
      </c>
      <c r="J1177" t="s">
        <v>1922</v>
      </c>
      <c r="K1177" t="s">
        <v>207</v>
      </c>
      <c r="L1177">
        <v>1177</v>
      </c>
      <c r="M1177">
        <v>2003</v>
      </c>
      <c r="N1177">
        <v>2000</v>
      </c>
      <c r="P1177" s="1">
        <v>44296</v>
      </c>
      <c r="Q1177" t="s">
        <v>35</v>
      </c>
      <c r="R1177" t="s">
        <v>2390</v>
      </c>
      <c r="S1177" t="s">
        <v>35</v>
      </c>
      <c r="W1177">
        <v>0</v>
      </c>
      <c r="X1177">
        <v>0</v>
      </c>
    </row>
    <row r="1178" spans="1:24" x14ac:dyDescent="0.25">
      <c r="A1178">
        <v>10572</v>
      </c>
      <c r="B1178" t="s">
        <v>2391</v>
      </c>
      <c r="C1178" t="s">
        <v>2380</v>
      </c>
      <c r="D1178" t="s">
        <v>2381</v>
      </c>
      <c r="F1178" t="str">
        <f>"0553381695"</f>
        <v>0553381695</v>
      </c>
      <c r="G1178" t="str">
        <f>"9780553381696"</f>
        <v>9780553381696</v>
      </c>
      <c r="H1178">
        <v>0</v>
      </c>
      <c r="I1178">
        <v>4.41</v>
      </c>
      <c r="J1178" t="s">
        <v>1922</v>
      </c>
      <c r="K1178" t="s">
        <v>28</v>
      </c>
      <c r="L1178">
        <v>969</v>
      </c>
      <c r="M1178">
        <v>2002</v>
      </c>
      <c r="N1178">
        <v>1998</v>
      </c>
      <c r="P1178" s="1">
        <v>44296</v>
      </c>
      <c r="Q1178" t="s">
        <v>35</v>
      </c>
      <c r="R1178" t="s">
        <v>2392</v>
      </c>
      <c r="S1178" t="s">
        <v>35</v>
      </c>
      <c r="W1178">
        <v>0</v>
      </c>
      <c r="X1178">
        <v>0</v>
      </c>
    </row>
    <row r="1179" spans="1:24" x14ac:dyDescent="0.25">
      <c r="A1179">
        <v>13496</v>
      </c>
      <c r="B1179" t="s">
        <v>2393</v>
      </c>
      <c r="C1179" t="s">
        <v>2380</v>
      </c>
      <c r="D1179" t="s">
        <v>2381</v>
      </c>
      <c r="F1179" t="str">
        <f>"0553588486"</f>
        <v>0553588486</v>
      </c>
      <c r="G1179" t="str">
        <f>"9780553588484"</f>
        <v>9780553588484</v>
      </c>
      <c r="H1179">
        <v>0</v>
      </c>
      <c r="I1179">
        <v>4.4400000000000004</v>
      </c>
      <c r="J1179" t="s">
        <v>1922</v>
      </c>
      <c r="K1179" t="s">
        <v>207</v>
      </c>
      <c r="L1179">
        <v>835</v>
      </c>
      <c r="M1179">
        <v>2005</v>
      </c>
      <c r="N1179">
        <v>1996</v>
      </c>
      <c r="P1179" s="1">
        <v>44296</v>
      </c>
      <c r="Q1179" t="s">
        <v>35</v>
      </c>
      <c r="R1179" t="s">
        <v>2394</v>
      </c>
      <c r="S1179" t="s">
        <v>35</v>
      </c>
      <c r="W1179">
        <v>0</v>
      </c>
      <c r="X1179">
        <v>0</v>
      </c>
    </row>
    <row r="1180" spans="1:24" x14ac:dyDescent="0.25">
      <c r="A1180">
        <v>39943621</v>
      </c>
      <c r="B1180" t="s">
        <v>2395</v>
      </c>
      <c r="C1180" t="s">
        <v>2380</v>
      </c>
      <c r="D1180" t="s">
        <v>2381</v>
      </c>
      <c r="E1180" t="s">
        <v>2396</v>
      </c>
      <c r="F1180" t="str">
        <f>"152479628X"</f>
        <v>152479628X</v>
      </c>
      <c r="G1180" t="str">
        <f>"9781524796280"</f>
        <v>9781524796280</v>
      </c>
      <c r="H1180">
        <v>0</v>
      </c>
      <c r="I1180">
        <v>3.98</v>
      </c>
      <c r="J1180" t="s">
        <v>1922</v>
      </c>
      <c r="K1180" t="s">
        <v>34</v>
      </c>
      <c r="L1180">
        <v>719</v>
      </c>
      <c r="M1180">
        <v>2018</v>
      </c>
      <c r="N1180">
        <v>2018</v>
      </c>
      <c r="P1180" s="1">
        <v>44296</v>
      </c>
      <c r="Q1180" t="s">
        <v>35</v>
      </c>
      <c r="R1180" t="s">
        <v>2397</v>
      </c>
      <c r="S1180" t="s">
        <v>35</v>
      </c>
      <c r="W1180">
        <v>0</v>
      </c>
      <c r="X1180">
        <v>0</v>
      </c>
    </row>
    <row r="1181" spans="1:24" x14ac:dyDescent="0.25">
      <c r="A1181">
        <v>40695844</v>
      </c>
      <c r="B1181" t="s">
        <v>2398</v>
      </c>
      <c r="C1181" t="s">
        <v>2399</v>
      </c>
      <c r="D1181" t="s">
        <v>2400</v>
      </c>
      <c r="F1181" t="str">
        <f>""</f>
        <v/>
      </c>
      <c r="G1181" t="str">
        <f>""</f>
        <v/>
      </c>
      <c r="H1181">
        <v>0</v>
      </c>
      <c r="I1181">
        <v>4.1500000000000004</v>
      </c>
      <c r="J1181" t="s">
        <v>2401</v>
      </c>
      <c r="K1181" t="s">
        <v>133</v>
      </c>
      <c r="L1181">
        <v>393</v>
      </c>
      <c r="M1181">
        <v>2016</v>
      </c>
      <c r="N1181">
        <v>1988</v>
      </c>
      <c r="P1181" s="1">
        <v>43238</v>
      </c>
      <c r="Q1181" t="s">
        <v>35</v>
      </c>
      <c r="R1181" t="s">
        <v>2402</v>
      </c>
      <c r="S1181" t="s">
        <v>35</v>
      </c>
      <c r="W1181">
        <v>0</v>
      </c>
      <c r="X1181">
        <v>0</v>
      </c>
    </row>
    <row r="1182" spans="1:24" x14ac:dyDescent="0.25">
      <c r="A1182">
        <v>5091</v>
      </c>
      <c r="B1182" t="s">
        <v>2403</v>
      </c>
      <c r="C1182" t="s">
        <v>516</v>
      </c>
      <c r="D1182" t="s">
        <v>517</v>
      </c>
      <c r="E1182" t="s">
        <v>2404</v>
      </c>
      <c r="F1182" t="str">
        <f>""</f>
        <v/>
      </c>
      <c r="G1182" t="str">
        <f>""</f>
        <v/>
      </c>
      <c r="H1182">
        <v>4</v>
      </c>
      <c r="I1182">
        <v>4.2699999999999996</v>
      </c>
      <c r="J1182" t="s">
        <v>822</v>
      </c>
      <c r="K1182" t="s">
        <v>28</v>
      </c>
      <c r="L1182">
        <v>1050</v>
      </c>
      <c r="M1182">
        <v>2006</v>
      </c>
      <c r="N1182">
        <v>2004</v>
      </c>
      <c r="O1182" s="1">
        <v>44276</v>
      </c>
      <c r="P1182" s="1">
        <v>44257</v>
      </c>
      <c r="S1182" t="s">
        <v>29</v>
      </c>
      <c r="W1182">
        <v>1</v>
      </c>
      <c r="X1182">
        <v>0</v>
      </c>
    </row>
    <row r="1183" spans="1:24" x14ac:dyDescent="0.25">
      <c r="A1183">
        <v>40701777</v>
      </c>
      <c r="B1183" t="s">
        <v>2405</v>
      </c>
      <c r="C1183" t="s">
        <v>2406</v>
      </c>
      <c r="D1183" t="s">
        <v>2407</v>
      </c>
      <c r="F1183" t="str">
        <f>"0575095911"</f>
        <v>0575095911</v>
      </c>
      <c r="G1183" t="str">
        <f>"9780575095915"</f>
        <v>9780575095915</v>
      </c>
      <c r="H1183">
        <v>0</v>
      </c>
      <c r="I1183">
        <v>4.5999999999999996</v>
      </c>
      <c r="J1183" t="s">
        <v>482</v>
      </c>
      <c r="K1183" t="s">
        <v>34</v>
      </c>
      <c r="L1183">
        <v>506</v>
      </c>
      <c r="M1183">
        <v>2020</v>
      </c>
      <c r="N1183">
        <v>2020</v>
      </c>
      <c r="P1183" s="1">
        <v>44272</v>
      </c>
      <c r="Q1183" t="s">
        <v>35</v>
      </c>
      <c r="R1183" t="s">
        <v>2408</v>
      </c>
      <c r="S1183" t="s">
        <v>35</v>
      </c>
      <c r="W1183">
        <v>0</v>
      </c>
      <c r="X1183">
        <v>0</v>
      </c>
    </row>
    <row r="1184" spans="1:24" x14ac:dyDescent="0.25">
      <c r="A1184">
        <v>35606041</v>
      </c>
      <c r="B1184" t="s">
        <v>2409</v>
      </c>
      <c r="C1184" t="s">
        <v>2406</v>
      </c>
      <c r="D1184" t="s">
        <v>2407</v>
      </c>
      <c r="F1184" t="str">
        <f>"031618716X"</f>
        <v>031618716X</v>
      </c>
      <c r="G1184" t="str">
        <f>"9780316187169"</f>
        <v>9780316187169</v>
      </c>
      <c r="H1184">
        <v>0</v>
      </c>
      <c r="I1184">
        <v>4.45</v>
      </c>
      <c r="J1184" t="s">
        <v>674</v>
      </c>
      <c r="K1184" t="s">
        <v>34</v>
      </c>
      <c r="L1184">
        <v>480</v>
      </c>
      <c r="M1184">
        <v>2019</v>
      </c>
      <c r="N1184">
        <v>2019</v>
      </c>
      <c r="P1184" s="1">
        <v>44272</v>
      </c>
      <c r="Q1184" t="s">
        <v>35</v>
      </c>
      <c r="R1184" t="s">
        <v>2410</v>
      </c>
      <c r="S1184" t="s">
        <v>35</v>
      </c>
      <c r="W1184">
        <v>0</v>
      </c>
      <c r="X1184">
        <v>0</v>
      </c>
    </row>
    <row r="1185" spans="1:24" x14ac:dyDescent="0.25">
      <c r="A1185">
        <v>26030742</v>
      </c>
      <c r="B1185" t="s">
        <v>2411</v>
      </c>
      <c r="C1185" t="s">
        <v>2406</v>
      </c>
      <c r="D1185" t="s">
        <v>2407</v>
      </c>
      <c r="F1185" t="str">
        <f>"031639081X"</f>
        <v>031639081X</v>
      </c>
      <c r="G1185" t="str">
        <f>"9780316390811"</f>
        <v>9780316390811</v>
      </c>
      <c r="H1185">
        <v>0</v>
      </c>
      <c r="I1185">
        <v>4.1399999999999997</v>
      </c>
      <c r="J1185" t="s">
        <v>674</v>
      </c>
      <c r="K1185" t="s">
        <v>34</v>
      </c>
      <c r="L1185">
        <v>304</v>
      </c>
      <c r="M1185">
        <v>2016</v>
      </c>
      <c r="N1185">
        <v>2016</v>
      </c>
      <c r="P1185" s="1">
        <v>44272</v>
      </c>
      <c r="Q1185" t="s">
        <v>35</v>
      </c>
      <c r="R1185" t="s">
        <v>2412</v>
      </c>
      <c r="S1185" t="s">
        <v>35</v>
      </c>
      <c r="W1185">
        <v>0</v>
      </c>
      <c r="X1185">
        <v>0</v>
      </c>
    </row>
    <row r="1186" spans="1:24" x14ac:dyDescent="0.25">
      <c r="A1186">
        <v>13521459</v>
      </c>
      <c r="B1186" t="s">
        <v>2413</v>
      </c>
      <c r="C1186" t="s">
        <v>2406</v>
      </c>
      <c r="D1186" t="s">
        <v>2407</v>
      </c>
      <c r="F1186" t="str">
        <f>"0316214442"</f>
        <v>0316214442</v>
      </c>
      <c r="G1186" t="str">
        <f>"9780316214445"</f>
        <v>9780316214445</v>
      </c>
      <c r="H1186">
        <v>0</v>
      </c>
      <c r="I1186">
        <v>4.3099999999999996</v>
      </c>
      <c r="J1186" t="s">
        <v>674</v>
      </c>
      <c r="K1186" t="s">
        <v>609</v>
      </c>
      <c r="L1186">
        <v>469</v>
      </c>
      <c r="M1186">
        <v>2012</v>
      </c>
      <c r="N1186">
        <v>2012</v>
      </c>
      <c r="P1186" s="1">
        <v>44272</v>
      </c>
      <c r="Q1186" t="s">
        <v>35</v>
      </c>
      <c r="R1186" t="s">
        <v>2414</v>
      </c>
      <c r="S1186" t="s">
        <v>35</v>
      </c>
      <c r="W1186">
        <v>0</v>
      </c>
      <c r="X1186">
        <v>0</v>
      </c>
    </row>
    <row r="1187" spans="1:24" x14ac:dyDescent="0.25">
      <c r="A1187">
        <v>9300768</v>
      </c>
      <c r="B1187" t="s">
        <v>2415</v>
      </c>
      <c r="C1187" t="s">
        <v>2406</v>
      </c>
      <c r="D1187" t="s">
        <v>2407</v>
      </c>
      <c r="F1187" t="str">
        <f>"0316123358"</f>
        <v>0316123358</v>
      </c>
      <c r="G1187" t="str">
        <f>"9780316123358"</f>
        <v>9780316123358</v>
      </c>
      <c r="H1187">
        <v>0</v>
      </c>
      <c r="I1187">
        <v>4.32</v>
      </c>
      <c r="J1187" t="s">
        <v>674</v>
      </c>
      <c r="K1187" t="s">
        <v>609</v>
      </c>
      <c r="L1187">
        <v>581</v>
      </c>
      <c r="M1187">
        <v>2011</v>
      </c>
      <c r="N1187">
        <v>2011</v>
      </c>
      <c r="P1187" s="1">
        <v>44272</v>
      </c>
      <c r="Q1187" t="s">
        <v>35</v>
      </c>
      <c r="R1187" t="s">
        <v>2416</v>
      </c>
      <c r="S1187" t="s">
        <v>35</v>
      </c>
      <c r="W1187">
        <v>0</v>
      </c>
      <c r="X1187">
        <v>0</v>
      </c>
    </row>
    <row r="1188" spans="1:24" x14ac:dyDescent="0.25">
      <c r="A1188">
        <v>2315892</v>
      </c>
      <c r="B1188" t="s">
        <v>2417</v>
      </c>
      <c r="C1188" t="s">
        <v>2406</v>
      </c>
      <c r="D1188" t="s">
        <v>2407</v>
      </c>
      <c r="F1188" t="str">
        <f>"0575082453"</f>
        <v>0575082453</v>
      </c>
      <c r="G1188" t="str">
        <f>"9780575082458"</f>
        <v>9780575082458</v>
      </c>
      <c r="H1188">
        <v>0</v>
      </c>
      <c r="I1188">
        <v>4.21</v>
      </c>
      <c r="J1188" t="s">
        <v>482</v>
      </c>
      <c r="K1188" t="s">
        <v>34</v>
      </c>
      <c r="L1188">
        <v>534</v>
      </c>
      <c r="M1188">
        <v>2009</v>
      </c>
      <c r="N1188">
        <v>2009</v>
      </c>
      <c r="P1188" s="1">
        <v>44272</v>
      </c>
      <c r="Q1188" t="s">
        <v>35</v>
      </c>
      <c r="R1188" t="s">
        <v>2418</v>
      </c>
      <c r="S1188" t="s">
        <v>35</v>
      </c>
      <c r="W1188">
        <v>0</v>
      </c>
      <c r="X1188">
        <v>0</v>
      </c>
    </row>
    <row r="1189" spans="1:24" x14ac:dyDescent="0.25">
      <c r="A1189">
        <v>944076</v>
      </c>
      <c r="B1189" t="s">
        <v>2419</v>
      </c>
      <c r="C1189" t="s">
        <v>2406</v>
      </c>
      <c r="D1189" t="s">
        <v>2407</v>
      </c>
      <c r="F1189" t="str">
        <f>"0575077905"</f>
        <v>0575077905</v>
      </c>
      <c r="G1189" t="str">
        <f>"9780575077904"</f>
        <v>9780575077904</v>
      </c>
      <c r="H1189">
        <v>0</v>
      </c>
      <c r="I1189">
        <v>4.32</v>
      </c>
      <c r="J1189" t="s">
        <v>482</v>
      </c>
      <c r="K1189" t="s">
        <v>2420</v>
      </c>
      <c r="L1189">
        <v>536</v>
      </c>
      <c r="M1189">
        <v>2008</v>
      </c>
      <c r="N1189">
        <v>2008</v>
      </c>
      <c r="P1189" s="1">
        <v>44272</v>
      </c>
      <c r="Q1189" t="s">
        <v>35</v>
      </c>
      <c r="R1189" t="s">
        <v>2421</v>
      </c>
      <c r="S1189" t="s">
        <v>35</v>
      </c>
      <c r="W1189">
        <v>0</v>
      </c>
      <c r="X1189">
        <v>0</v>
      </c>
    </row>
    <row r="1190" spans="1:24" x14ac:dyDescent="0.25">
      <c r="A1190">
        <v>902715</v>
      </c>
      <c r="B1190" t="s">
        <v>2422</v>
      </c>
      <c r="C1190" t="s">
        <v>2406</v>
      </c>
      <c r="D1190" t="s">
        <v>2407</v>
      </c>
      <c r="F1190" t="str">
        <f>"0575077883"</f>
        <v>0575077883</v>
      </c>
      <c r="G1190" t="str">
        <f>"9780575077881"</f>
        <v>9780575077881</v>
      </c>
      <c r="H1190">
        <v>0</v>
      </c>
      <c r="I1190">
        <v>4.33</v>
      </c>
      <c r="J1190" t="s">
        <v>482</v>
      </c>
      <c r="K1190" t="s">
        <v>2420</v>
      </c>
      <c r="L1190">
        <v>441</v>
      </c>
      <c r="M1190">
        <v>2007</v>
      </c>
      <c r="N1190">
        <v>2007</v>
      </c>
      <c r="P1190" s="1">
        <v>44272</v>
      </c>
      <c r="Q1190" t="s">
        <v>35</v>
      </c>
      <c r="R1190" t="s">
        <v>2423</v>
      </c>
      <c r="S1190" t="s">
        <v>35</v>
      </c>
      <c r="W1190">
        <v>0</v>
      </c>
      <c r="X1190">
        <v>0</v>
      </c>
    </row>
    <row r="1191" spans="1:24" x14ac:dyDescent="0.25">
      <c r="A1191">
        <v>944073</v>
      </c>
      <c r="B1191" t="s">
        <v>2424</v>
      </c>
      <c r="C1191" t="s">
        <v>2406</v>
      </c>
      <c r="D1191" t="s">
        <v>2407</v>
      </c>
      <c r="F1191" t="str">
        <f>"0575079797"</f>
        <v>0575079797</v>
      </c>
      <c r="G1191" t="str">
        <f>"9780575079793"</f>
        <v>9780575079793</v>
      </c>
      <c r="H1191">
        <v>0</v>
      </c>
      <c r="I1191">
        <v>4.1900000000000004</v>
      </c>
      <c r="J1191" t="s">
        <v>482</v>
      </c>
      <c r="K1191" t="s">
        <v>28</v>
      </c>
      <c r="L1191">
        <v>515</v>
      </c>
      <c r="M1191">
        <v>2007</v>
      </c>
      <c r="N1191">
        <v>2006</v>
      </c>
      <c r="P1191" s="1">
        <v>44272</v>
      </c>
      <c r="Q1191" t="s">
        <v>35</v>
      </c>
      <c r="R1191" t="s">
        <v>2425</v>
      </c>
      <c r="S1191" t="s">
        <v>35</v>
      </c>
      <c r="W1191">
        <v>0</v>
      </c>
      <c r="X1191">
        <v>0</v>
      </c>
    </row>
    <row r="1192" spans="1:24" x14ac:dyDescent="0.25">
      <c r="A1192">
        <v>21032488</v>
      </c>
      <c r="B1192" t="s">
        <v>2426</v>
      </c>
      <c r="C1192" t="s">
        <v>2227</v>
      </c>
      <c r="D1192" t="s">
        <v>2228</v>
      </c>
      <c r="F1192" t="str">
        <f>"0575081449"</f>
        <v>0575081449</v>
      </c>
      <c r="G1192" t="str">
        <f>"9780575081444"</f>
        <v>9780575081444</v>
      </c>
      <c r="H1192">
        <v>0</v>
      </c>
      <c r="I1192">
        <v>3.59</v>
      </c>
      <c r="J1192" t="s">
        <v>482</v>
      </c>
      <c r="K1192" t="s">
        <v>34</v>
      </c>
      <c r="L1192">
        <v>896</v>
      </c>
      <c r="P1192" s="1">
        <v>44262</v>
      </c>
      <c r="Q1192" t="s">
        <v>35</v>
      </c>
      <c r="R1192" t="s">
        <v>2427</v>
      </c>
      <c r="S1192" t="s">
        <v>35</v>
      </c>
      <c r="W1192">
        <v>0</v>
      </c>
      <c r="X1192">
        <v>0</v>
      </c>
    </row>
    <row r="1193" spans="1:24" x14ac:dyDescent="0.25">
      <c r="A1193">
        <v>1215032</v>
      </c>
      <c r="B1193" t="s">
        <v>2428</v>
      </c>
      <c r="C1193" t="s">
        <v>2227</v>
      </c>
      <c r="D1193" t="s">
        <v>2228</v>
      </c>
      <c r="F1193" t="str">
        <f>"0756404738"</f>
        <v>0756404738</v>
      </c>
      <c r="G1193" t="str">
        <f>"9780756404734"</f>
        <v>9780756404734</v>
      </c>
      <c r="H1193">
        <v>0</v>
      </c>
      <c r="I1193">
        <v>4.55</v>
      </c>
      <c r="J1193" t="s">
        <v>2429</v>
      </c>
      <c r="K1193" t="s">
        <v>34</v>
      </c>
      <c r="L1193">
        <v>994</v>
      </c>
      <c r="M1193">
        <v>2011</v>
      </c>
      <c r="N1193">
        <v>2011</v>
      </c>
      <c r="P1193" s="1">
        <v>44262</v>
      </c>
      <c r="Q1193" t="s">
        <v>35</v>
      </c>
      <c r="R1193" t="s">
        <v>2430</v>
      </c>
      <c r="S1193" t="s">
        <v>35</v>
      </c>
      <c r="W1193">
        <v>0</v>
      </c>
      <c r="X1193">
        <v>0</v>
      </c>
    </row>
    <row r="1194" spans="1:24" x14ac:dyDescent="0.25">
      <c r="A1194">
        <v>2429135</v>
      </c>
      <c r="B1194" t="s">
        <v>2431</v>
      </c>
      <c r="C1194" t="s">
        <v>2432</v>
      </c>
      <c r="D1194" t="s">
        <v>2433</v>
      </c>
      <c r="E1194" t="s">
        <v>2434</v>
      </c>
      <c r="F1194" t="str">
        <f>""</f>
        <v/>
      </c>
      <c r="G1194" t="str">
        <f>""</f>
        <v/>
      </c>
      <c r="H1194">
        <v>0</v>
      </c>
      <c r="I1194">
        <v>4.16</v>
      </c>
      <c r="J1194" t="s">
        <v>2435</v>
      </c>
      <c r="K1194" t="s">
        <v>34</v>
      </c>
      <c r="L1194">
        <v>480</v>
      </c>
      <c r="M1194">
        <v>2008</v>
      </c>
      <c r="N1194">
        <v>2005</v>
      </c>
      <c r="P1194" s="1">
        <v>44262</v>
      </c>
      <c r="Q1194" t="s">
        <v>35</v>
      </c>
      <c r="R1194" t="s">
        <v>2436</v>
      </c>
      <c r="S1194" t="s">
        <v>35</v>
      </c>
      <c r="W1194">
        <v>0</v>
      </c>
      <c r="X1194">
        <v>0</v>
      </c>
    </row>
    <row r="1195" spans="1:24" x14ac:dyDescent="0.25">
      <c r="A1195">
        <v>5060378</v>
      </c>
      <c r="B1195" t="s">
        <v>2437</v>
      </c>
      <c r="C1195" t="s">
        <v>2432</v>
      </c>
      <c r="D1195" t="s">
        <v>2433</v>
      </c>
      <c r="E1195" t="s">
        <v>2434</v>
      </c>
      <c r="F1195" t="str">
        <f>"0307269981"</f>
        <v>0307269981</v>
      </c>
      <c r="G1195" t="str">
        <f>"9780307269980"</f>
        <v>9780307269980</v>
      </c>
      <c r="H1195">
        <v>0</v>
      </c>
      <c r="I1195">
        <v>4.25</v>
      </c>
      <c r="J1195" t="s">
        <v>2438</v>
      </c>
      <c r="K1195" t="s">
        <v>34</v>
      </c>
      <c r="L1195">
        <v>503</v>
      </c>
      <c r="M1195">
        <v>2009</v>
      </c>
      <c r="N1195">
        <v>2006</v>
      </c>
      <c r="P1195" s="1">
        <v>44262</v>
      </c>
      <c r="Q1195" t="s">
        <v>35</v>
      </c>
      <c r="R1195" t="s">
        <v>2439</v>
      </c>
      <c r="S1195" t="s">
        <v>35</v>
      </c>
      <c r="W1195">
        <v>0</v>
      </c>
      <c r="X1195">
        <v>0</v>
      </c>
    </row>
    <row r="1196" spans="1:24" x14ac:dyDescent="0.25">
      <c r="A1196">
        <v>6892870</v>
      </c>
      <c r="B1196" t="s">
        <v>2440</v>
      </c>
      <c r="C1196" t="s">
        <v>2432</v>
      </c>
      <c r="D1196" t="s">
        <v>2433</v>
      </c>
      <c r="E1196" t="s">
        <v>2434</v>
      </c>
      <c r="F1196" t="str">
        <f>"030726999X"</f>
        <v>030726999X</v>
      </c>
      <c r="G1196" t="str">
        <f>"9780307269997"</f>
        <v>9780307269997</v>
      </c>
      <c r="H1196">
        <v>0</v>
      </c>
      <c r="I1196">
        <v>4.2300000000000004</v>
      </c>
      <c r="J1196" t="s">
        <v>2435</v>
      </c>
      <c r="K1196" t="s">
        <v>34</v>
      </c>
      <c r="L1196">
        <v>566</v>
      </c>
      <c r="M1196">
        <v>2010</v>
      </c>
      <c r="N1196">
        <v>2007</v>
      </c>
      <c r="P1196" s="1">
        <v>44262</v>
      </c>
      <c r="Q1196" t="s">
        <v>35</v>
      </c>
      <c r="R1196" t="s">
        <v>2441</v>
      </c>
      <c r="S1196" t="s">
        <v>35</v>
      </c>
      <c r="W1196">
        <v>0</v>
      </c>
      <c r="X1196">
        <v>0</v>
      </c>
    </row>
    <row r="1197" spans="1:24" x14ac:dyDescent="0.25">
      <c r="A1197">
        <v>25074850</v>
      </c>
      <c r="B1197" t="s">
        <v>2442</v>
      </c>
      <c r="C1197" t="s">
        <v>2443</v>
      </c>
      <c r="D1197" t="s">
        <v>2444</v>
      </c>
      <c r="E1197" t="s">
        <v>2445</v>
      </c>
      <c r="F1197" t="str">
        <f>"0385354282"</f>
        <v>0385354282</v>
      </c>
      <c r="G1197" t="str">
        <f>"9780385354288"</f>
        <v>9780385354288</v>
      </c>
      <c r="H1197">
        <v>0</v>
      </c>
      <c r="I1197">
        <v>3.79</v>
      </c>
      <c r="J1197" t="s">
        <v>2435</v>
      </c>
      <c r="K1197" t="s">
        <v>34</v>
      </c>
      <c r="L1197">
        <v>400</v>
      </c>
      <c r="M1197">
        <v>2015</v>
      </c>
      <c r="N1197">
        <v>2015</v>
      </c>
      <c r="P1197" s="1">
        <v>44262</v>
      </c>
      <c r="Q1197" t="s">
        <v>35</v>
      </c>
      <c r="R1197" t="s">
        <v>2446</v>
      </c>
      <c r="S1197" t="s">
        <v>35</v>
      </c>
      <c r="W1197">
        <v>0</v>
      </c>
      <c r="X1197">
        <v>0</v>
      </c>
    </row>
    <row r="1198" spans="1:24" x14ac:dyDescent="0.25">
      <c r="A1198">
        <v>32599492</v>
      </c>
      <c r="B1198" t="s">
        <v>2447</v>
      </c>
      <c r="C1198" t="s">
        <v>2443</v>
      </c>
      <c r="D1198" t="s">
        <v>2444</v>
      </c>
      <c r="E1198" t="s">
        <v>2448</v>
      </c>
      <c r="F1198" t="str">
        <f>""</f>
        <v/>
      </c>
      <c r="G1198" t="str">
        <f>""</f>
        <v/>
      </c>
      <c r="H1198">
        <v>0</v>
      </c>
      <c r="I1198">
        <v>3.78</v>
      </c>
      <c r="J1198" t="s">
        <v>2449</v>
      </c>
      <c r="K1198" t="s">
        <v>133</v>
      </c>
      <c r="L1198">
        <v>347</v>
      </c>
      <c r="M1198">
        <v>2017</v>
      </c>
      <c r="N1198">
        <v>2017</v>
      </c>
      <c r="P1198" s="1">
        <v>44262</v>
      </c>
      <c r="Q1198" t="s">
        <v>35</v>
      </c>
      <c r="R1198" t="s">
        <v>2450</v>
      </c>
      <c r="S1198" t="s">
        <v>35</v>
      </c>
      <c r="W1198">
        <v>0</v>
      </c>
      <c r="X1198">
        <v>0</v>
      </c>
    </row>
    <row r="1199" spans="1:24" x14ac:dyDescent="0.25">
      <c r="A1199">
        <v>42846882</v>
      </c>
      <c r="B1199" t="s">
        <v>2451</v>
      </c>
      <c r="C1199" t="s">
        <v>2443</v>
      </c>
      <c r="D1199" t="s">
        <v>2444</v>
      </c>
      <c r="E1199" t="s">
        <v>2452</v>
      </c>
      <c r="F1199" t="str">
        <f>"0857056360"</f>
        <v>0857056360</v>
      </c>
      <c r="G1199" t="str">
        <f>"9780857056368"</f>
        <v>9780857056368</v>
      </c>
      <c r="H1199">
        <v>0</v>
      </c>
      <c r="I1199">
        <v>3.74</v>
      </c>
      <c r="J1199" t="s">
        <v>2453</v>
      </c>
      <c r="K1199" t="s">
        <v>34</v>
      </c>
      <c r="L1199">
        <v>368</v>
      </c>
      <c r="M1199">
        <v>2019</v>
      </c>
      <c r="N1199">
        <v>2019</v>
      </c>
      <c r="P1199" s="1">
        <v>44262</v>
      </c>
      <c r="Q1199" t="s">
        <v>35</v>
      </c>
      <c r="R1199" t="s">
        <v>2454</v>
      </c>
      <c r="S1199" t="s">
        <v>35</v>
      </c>
      <c r="W1199">
        <v>0</v>
      </c>
      <c r="X1199">
        <v>0</v>
      </c>
    </row>
    <row r="1200" spans="1:24" x14ac:dyDescent="0.25">
      <c r="A1200">
        <v>25089738</v>
      </c>
      <c r="B1200" t="s">
        <v>2455</v>
      </c>
      <c r="C1200" t="s">
        <v>2456</v>
      </c>
      <c r="D1200" t="s">
        <v>2457</v>
      </c>
      <c r="E1200" t="s">
        <v>2458</v>
      </c>
      <c r="F1200" t="str">
        <f>""</f>
        <v/>
      </c>
      <c r="G1200" t="str">
        <f>""</f>
        <v/>
      </c>
      <c r="H1200">
        <v>0</v>
      </c>
      <c r="I1200">
        <v>3.98</v>
      </c>
      <c r="J1200" t="s">
        <v>2459</v>
      </c>
      <c r="K1200" t="s">
        <v>133</v>
      </c>
      <c r="L1200">
        <v>200</v>
      </c>
      <c r="M1200">
        <v>2014</v>
      </c>
      <c r="N1200">
        <v>2013</v>
      </c>
      <c r="P1200" s="1">
        <v>43631</v>
      </c>
      <c r="Q1200" t="s">
        <v>35</v>
      </c>
      <c r="R1200" t="s">
        <v>2460</v>
      </c>
      <c r="S1200" t="s">
        <v>35</v>
      </c>
      <c r="W1200">
        <v>0</v>
      </c>
      <c r="X1200">
        <v>0</v>
      </c>
    </row>
    <row r="1201" spans="1:24" x14ac:dyDescent="0.25">
      <c r="A1201">
        <v>29942621</v>
      </c>
      <c r="B1201" t="s">
        <v>2461</v>
      </c>
      <c r="C1201" t="s">
        <v>2456</v>
      </c>
      <c r="D1201" t="s">
        <v>2457</v>
      </c>
      <c r="E1201" t="s">
        <v>2458</v>
      </c>
      <c r="F1201" t="str">
        <f>""</f>
        <v/>
      </c>
      <c r="G1201" t="str">
        <f>""</f>
        <v/>
      </c>
      <c r="H1201">
        <v>0</v>
      </c>
      <c r="I1201">
        <v>3.93</v>
      </c>
      <c r="J1201" t="s">
        <v>2459</v>
      </c>
      <c r="K1201" t="s">
        <v>133</v>
      </c>
      <c r="L1201">
        <v>192</v>
      </c>
      <c r="M1201">
        <v>2015</v>
      </c>
      <c r="N1201">
        <v>2015</v>
      </c>
      <c r="P1201" s="1">
        <v>44165</v>
      </c>
      <c r="Q1201" t="s">
        <v>35</v>
      </c>
      <c r="R1201" t="s">
        <v>2462</v>
      </c>
      <c r="S1201" t="s">
        <v>35</v>
      </c>
      <c r="W1201">
        <v>0</v>
      </c>
      <c r="X1201">
        <v>0</v>
      </c>
    </row>
    <row r="1202" spans="1:24" x14ac:dyDescent="0.25">
      <c r="A1202">
        <v>25799783</v>
      </c>
      <c r="B1202" t="s">
        <v>2463</v>
      </c>
      <c r="C1202" t="s">
        <v>2464</v>
      </c>
      <c r="D1202" t="s">
        <v>2465</v>
      </c>
      <c r="E1202" t="s">
        <v>2466</v>
      </c>
      <c r="F1202" t="str">
        <f>""</f>
        <v/>
      </c>
      <c r="G1202" t="str">
        <f>""</f>
        <v/>
      </c>
      <c r="H1202">
        <v>5</v>
      </c>
      <c r="I1202">
        <v>3.83</v>
      </c>
      <c r="J1202" t="s">
        <v>2467</v>
      </c>
      <c r="K1202" t="s">
        <v>133</v>
      </c>
      <c r="L1202">
        <v>352</v>
      </c>
      <c r="M1202">
        <v>2015</v>
      </c>
      <c r="N1202">
        <v>1995</v>
      </c>
      <c r="O1202" s="1">
        <v>44262</v>
      </c>
      <c r="P1202" s="1">
        <v>43813</v>
      </c>
      <c r="S1202" t="s">
        <v>29</v>
      </c>
      <c r="W1202">
        <v>1</v>
      </c>
      <c r="X1202">
        <v>0</v>
      </c>
    </row>
    <row r="1203" spans="1:24" x14ac:dyDescent="0.25">
      <c r="A1203">
        <v>38263809</v>
      </c>
      <c r="B1203" t="s">
        <v>2468</v>
      </c>
      <c r="C1203" t="s">
        <v>2469</v>
      </c>
      <c r="D1203" t="s">
        <v>2470</v>
      </c>
      <c r="F1203" t="str">
        <f>""</f>
        <v/>
      </c>
      <c r="G1203" t="str">
        <f>""</f>
        <v/>
      </c>
      <c r="H1203">
        <v>0</v>
      </c>
      <c r="I1203">
        <v>3.98</v>
      </c>
      <c r="J1203" t="s">
        <v>2471</v>
      </c>
      <c r="K1203" t="s">
        <v>133</v>
      </c>
      <c r="L1203">
        <v>176</v>
      </c>
      <c r="M1203">
        <v>2010</v>
      </c>
      <c r="N1203">
        <v>2010</v>
      </c>
      <c r="P1203" s="1">
        <v>43611</v>
      </c>
      <c r="Q1203" t="s">
        <v>35</v>
      </c>
      <c r="R1203" t="s">
        <v>2472</v>
      </c>
      <c r="S1203" t="s">
        <v>35</v>
      </c>
      <c r="W1203">
        <v>0</v>
      </c>
      <c r="X1203">
        <v>0</v>
      </c>
    </row>
    <row r="1204" spans="1:24" x14ac:dyDescent="0.25">
      <c r="A1204">
        <v>35281698</v>
      </c>
      <c r="B1204" t="s">
        <v>2473</v>
      </c>
      <c r="C1204" t="s">
        <v>2474</v>
      </c>
      <c r="D1204" t="s">
        <v>2475</v>
      </c>
      <c r="F1204" t="str">
        <f>""</f>
        <v/>
      </c>
      <c r="G1204" t="str">
        <f>""</f>
        <v/>
      </c>
      <c r="H1204">
        <v>0</v>
      </c>
      <c r="I1204">
        <v>3.84</v>
      </c>
      <c r="J1204" t="s">
        <v>2476</v>
      </c>
      <c r="K1204" t="s">
        <v>133</v>
      </c>
      <c r="L1204">
        <v>242</v>
      </c>
      <c r="M1204">
        <v>2017</v>
      </c>
      <c r="N1204">
        <v>1883</v>
      </c>
      <c r="P1204" s="1">
        <v>43596</v>
      </c>
      <c r="Q1204" t="s">
        <v>35</v>
      </c>
      <c r="R1204" t="s">
        <v>2477</v>
      </c>
      <c r="S1204" t="s">
        <v>35</v>
      </c>
      <c r="W1204">
        <v>0</v>
      </c>
      <c r="X1204">
        <v>0</v>
      </c>
    </row>
    <row r="1205" spans="1:24" x14ac:dyDescent="0.25">
      <c r="A1205">
        <v>26535513</v>
      </c>
      <c r="B1205" t="s">
        <v>2478</v>
      </c>
      <c r="C1205" t="s">
        <v>2479</v>
      </c>
      <c r="D1205" t="s">
        <v>2480</v>
      </c>
      <c r="F1205" t="str">
        <f>"1119002257"</f>
        <v>1119002257</v>
      </c>
      <c r="G1205" t="str">
        <f>"9781119002253"</f>
        <v>9781119002253</v>
      </c>
      <c r="H1205">
        <v>5</v>
      </c>
      <c r="I1205">
        <v>4.3899999999999997</v>
      </c>
      <c r="J1205" t="s">
        <v>78</v>
      </c>
      <c r="K1205" t="s">
        <v>28</v>
      </c>
      <c r="L1205">
        <v>288</v>
      </c>
      <c r="M1205">
        <v>2015</v>
      </c>
      <c r="N1205">
        <v>2015</v>
      </c>
      <c r="O1205" s="1">
        <v>43595</v>
      </c>
      <c r="P1205" s="1">
        <v>43229</v>
      </c>
      <c r="Q1205" t="s">
        <v>35</v>
      </c>
      <c r="R1205" t="s">
        <v>2481</v>
      </c>
      <c r="S1205" t="s">
        <v>35</v>
      </c>
      <c r="W1205">
        <v>1</v>
      </c>
      <c r="X1205">
        <v>0</v>
      </c>
    </row>
    <row r="1206" spans="1:24" x14ac:dyDescent="0.25">
      <c r="A1206">
        <v>8074907</v>
      </c>
      <c r="B1206" t="s">
        <v>2482</v>
      </c>
      <c r="C1206" t="s">
        <v>2043</v>
      </c>
      <c r="D1206" t="s">
        <v>2044</v>
      </c>
      <c r="F1206" t="str">
        <f>"0575079584"</f>
        <v>0575079584</v>
      </c>
      <c r="G1206" t="str">
        <f>"9780575079588"</f>
        <v>9780575079588</v>
      </c>
      <c r="H1206">
        <v>0</v>
      </c>
      <c r="I1206">
        <v>4.3</v>
      </c>
      <c r="J1206" t="s">
        <v>482</v>
      </c>
      <c r="K1206" t="s">
        <v>34</v>
      </c>
      <c r="L1206">
        <v>512</v>
      </c>
      <c r="P1206" s="1">
        <v>44253</v>
      </c>
      <c r="Q1206" t="s">
        <v>35</v>
      </c>
      <c r="R1206" t="s">
        <v>2483</v>
      </c>
      <c r="S1206" t="s">
        <v>35</v>
      </c>
      <c r="W1206">
        <v>0</v>
      </c>
      <c r="X1206">
        <v>0</v>
      </c>
    </row>
    <row r="1207" spans="1:24" x14ac:dyDescent="0.25">
      <c r="A1207">
        <v>2890090</v>
      </c>
      <c r="B1207" t="s">
        <v>2484</v>
      </c>
      <c r="C1207" t="s">
        <v>2043</v>
      </c>
      <c r="D1207" t="s">
        <v>2044</v>
      </c>
      <c r="F1207" t="str">
        <f>"0553804693"</f>
        <v>0553804693</v>
      </c>
      <c r="G1207" t="str">
        <f>"9780553804690"</f>
        <v>9780553804690</v>
      </c>
      <c r="H1207">
        <v>0</v>
      </c>
      <c r="I1207">
        <v>4.22</v>
      </c>
      <c r="J1207" t="s">
        <v>691</v>
      </c>
      <c r="K1207" t="s">
        <v>34</v>
      </c>
      <c r="L1207">
        <v>650</v>
      </c>
      <c r="M1207">
        <v>2013</v>
      </c>
      <c r="N1207">
        <v>2013</v>
      </c>
      <c r="P1207" s="1">
        <v>44253</v>
      </c>
      <c r="Q1207" t="s">
        <v>35</v>
      </c>
      <c r="R1207" t="s">
        <v>2485</v>
      </c>
      <c r="S1207" t="s">
        <v>35</v>
      </c>
      <c r="W1207">
        <v>0</v>
      </c>
      <c r="X1207">
        <v>0</v>
      </c>
    </row>
    <row r="1208" spans="1:24" x14ac:dyDescent="0.25">
      <c r="A1208">
        <v>40604556</v>
      </c>
      <c r="B1208" t="s">
        <v>2486</v>
      </c>
      <c r="C1208" t="s">
        <v>2043</v>
      </c>
      <c r="D1208" t="s">
        <v>2044</v>
      </c>
      <c r="F1208" t="str">
        <f>""</f>
        <v/>
      </c>
      <c r="G1208" t="str">
        <f>""</f>
        <v/>
      </c>
      <c r="H1208">
        <v>0</v>
      </c>
      <c r="I1208">
        <v>4.24</v>
      </c>
      <c r="J1208" t="s">
        <v>691</v>
      </c>
      <c r="K1208" t="s">
        <v>133</v>
      </c>
      <c r="L1208">
        <v>578</v>
      </c>
      <c r="M1208">
        <v>2018</v>
      </c>
      <c r="N1208">
        <v>2007</v>
      </c>
      <c r="P1208" s="1">
        <v>44253</v>
      </c>
      <c r="Q1208" t="s">
        <v>35</v>
      </c>
      <c r="R1208" t="s">
        <v>2487</v>
      </c>
      <c r="S1208" t="s">
        <v>35</v>
      </c>
      <c r="W1208">
        <v>0</v>
      </c>
      <c r="X1208">
        <v>0</v>
      </c>
    </row>
    <row r="1209" spans="1:24" x14ac:dyDescent="0.25">
      <c r="A1209">
        <v>50994814</v>
      </c>
      <c r="B1209" t="s">
        <v>2488</v>
      </c>
      <c r="C1209" t="s">
        <v>2489</v>
      </c>
      <c r="D1209" t="s">
        <v>2490</v>
      </c>
      <c r="F1209" t="str">
        <f>""</f>
        <v/>
      </c>
      <c r="G1209" t="str">
        <f>""</f>
        <v/>
      </c>
      <c r="H1209">
        <v>0</v>
      </c>
      <c r="I1209">
        <v>3.91</v>
      </c>
      <c r="J1209" t="s">
        <v>2491</v>
      </c>
      <c r="K1209" t="s">
        <v>133</v>
      </c>
      <c r="L1209">
        <v>195</v>
      </c>
      <c r="M1209">
        <v>2020</v>
      </c>
      <c r="N1209">
        <v>2020</v>
      </c>
      <c r="P1209" s="1">
        <v>44170</v>
      </c>
      <c r="Q1209" t="s">
        <v>35</v>
      </c>
      <c r="R1209" t="s">
        <v>2492</v>
      </c>
      <c r="S1209" t="s">
        <v>35</v>
      </c>
      <c r="W1209">
        <v>0</v>
      </c>
      <c r="X1209">
        <v>0</v>
      </c>
    </row>
    <row r="1210" spans="1:24" x14ac:dyDescent="0.25">
      <c r="A1210">
        <v>42078020</v>
      </c>
      <c r="B1210" t="s">
        <v>2493</v>
      </c>
      <c r="C1210" t="s">
        <v>2494</v>
      </c>
      <c r="D1210" t="s">
        <v>2495</v>
      </c>
      <c r="F1210" t="str">
        <f>""</f>
        <v/>
      </c>
      <c r="G1210" t="str">
        <f>""</f>
        <v/>
      </c>
      <c r="H1210">
        <v>0</v>
      </c>
      <c r="I1210">
        <v>3.64</v>
      </c>
      <c r="J1210" t="s">
        <v>604</v>
      </c>
      <c r="K1210" t="s">
        <v>133</v>
      </c>
      <c r="L1210">
        <v>368</v>
      </c>
      <c r="M1210">
        <v>2018</v>
      </c>
      <c r="N1210">
        <v>2009</v>
      </c>
      <c r="P1210" s="1">
        <v>43606</v>
      </c>
      <c r="Q1210" t="s">
        <v>35</v>
      </c>
      <c r="R1210" t="s">
        <v>2496</v>
      </c>
      <c r="S1210" t="s">
        <v>35</v>
      </c>
      <c r="W1210">
        <v>0</v>
      </c>
      <c r="X1210">
        <v>0</v>
      </c>
    </row>
    <row r="1211" spans="1:24" x14ac:dyDescent="0.25">
      <c r="A1211">
        <v>6721258</v>
      </c>
      <c r="B1211" t="s">
        <v>2497</v>
      </c>
      <c r="C1211" t="s">
        <v>2498</v>
      </c>
      <c r="D1211" t="s">
        <v>2499</v>
      </c>
      <c r="F1211" t="str">
        <f>""</f>
        <v/>
      </c>
      <c r="G1211" t="str">
        <f>""</f>
        <v/>
      </c>
      <c r="H1211">
        <v>0</v>
      </c>
      <c r="I1211">
        <v>4.32</v>
      </c>
      <c r="J1211" t="s">
        <v>2500</v>
      </c>
      <c r="K1211" t="s">
        <v>28</v>
      </c>
      <c r="L1211">
        <v>703</v>
      </c>
      <c r="M1211">
        <v>2004</v>
      </c>
      <c r="N1211">
        <v>2002</v>
      </c>
      <c r="P1211" s="1">
        <v>43914</v>
      </c>
      <c r="Q1211" t="s">
        <v>35</v>
      </c>
      <c r="R1211" t="s">
        <v>2501</v>
      </c>
      <c r="S1211" t="s">
        <v>35</v>
      </c>
      <c r="W1211">
        <v>0</v>
      </c>
      <c r="X1211">
        <v>0</v>
      </c>
    </row>
    <row r="1212" spans="1:24" x14ac:dyDescent="0.25">
      <c r="A1212">
        <v>50945754</v>
      </c>
      <c r="B1212" t="s">
        <v>2502</v>
      </c>
      <c r="C1212" t="s">
        <v>2503</v>
      </c>
      <c r="D1212" t="s">
        <v>2504</v>
      </c>
      <c r="F1212" t="str">
        <f>""</f>
        <v/>
      </c>
      <c r="G1212" t="str">
        <f>"9780525561804"</f>
        <v>9780525561804</v>
      </c>
      <c r="H1212">
        <v>0</v>
      </c>
      <c r="I1212">
        <v>4.38</v>
      </c>
      <c r="J1212" t="s">
        <v>387</v>
      </c>
      <c r="K1212" t="s">
        <v>28</v>
      </c>
      <c r="L1212">
        <v>609</v>
      </c>
      <c r="M1212">
        <v>2018</v>
      </c>
      <c r="N1212">
        <v>2018</v>
      </c>
      <c r="P1212" s="1">
        <v>43666</v>
      </c>
      <c r="Q1212" t="s">
        <v>35</v>
      </c>
      <c r="R1212" t="s">
        <v>2505</v>
      </c>
      <c r="S1212" t="s">
        <v>35</v>
      </c>
      <c r="W1212">
        <v>0</v>
      </c>
      <c r="X1212">
        <v>0</v>
      </c>
    </row>
    <row r="1213" spans="1:24" x14ac:dyDescent="0.25">
      <c r="A1213">
        <v>40919590</v>
      </c>
      <c r="B1213" t="s">
        <v>2506</v>
      </c>
      <c r="C1213" t="s">
        <v>2507</v>
      </c>
      <c r="D1213" t="s">
        <v>2508</v>
      </c>
      <c r="F1213" t="str">
        <f>"1119535867"</f>
        <v>1119535867</v>
      </c>
      <c r="G1213" t="str">
        <f>"9781119535867"</f>
        <v>9781119535867</v>
      </c>
      <c r="H1213">
        <v>0</v>
      </c>
      <c r="I1213">
        <v>3.81</v>
      </c>
      <c r="J1213" t="s">
        <v>78</v>
      </c>
      <c r="K1213" t="s">
        <v>34</v>
      </c>
      <c r="L1213">
        <v>304</v>
      </c>
      <c r="M1213">
        <v>2019</v>
      </c>
      <c r="N1213">
        <v>2019</v>
      </c>
      <c r="P1213" s="1">
        <v>43800</v>
      </c>
      <c r="Q1213" t="s">
        <v>35</v>
      </c>
      <c r="R1213" t="s">
        <v>2509</v>
      </c>
      <c r="S1213" t="s">
        <v>35</v>
      </c>
      <c r="W1213">
        <v>0</v>
      </c>
      <c r="X1213">
        <v>0</v>
      </c>
    </row>
    <row r="1214" spans="1:24" x14ac:dyDescent="0.25">
      <c r="A1214">
        <v>29441465</v>
      </c>
      <c r="B1214" t="s">
        <v>2510</v>
      </c>
      <c r="C1214" t="s">
        <v>2511</v>
      </c>
      <c r="D1214" t="s">
        <v>2512</v>
      </c>
      <c r="F1214" t="str">
        <f>"0857087029"</f>
        <v>0857087029</v>
      </c>
      <c r="G1214" t="str">
        <f>"9780857087027"</f>
        <v>9780857087027</v>
      </c>
      <c r="H1214">
        <v>0</v>
      </c>
      <c r="I1214">
        <v>3.83</v>
      </c>
      <c r="J1214" t="s">
        <v>2513</v>
      </c>
      <c r="K1214" t="s">
        <v>34</v>
      </c>
      <c r="L1214">
        <v>256</v>
      </c>
      <c r="M1214">
        <v>2017</v>
      </c>
      <c r="P1214" s="1">
        <v>43800</v>
      </c>
      <c r="Q1214" t="s">
        <v>35</v>
      </c>
      <c r="R1214" t="s">
        <v>2514</v>
      </c>
      <c r="S1214" t="s">
        <v>35</v>
      </c>
      <c r="W1214">
        <v>0</v>
      </c>
      <c r="X1214">
        <v>0</v>
      </c>
    </row>
    <row r="1215" spans="1:24" x14ac:dyDescent="0.25">
      <c r="A1215">
        <v>31138556</v>
      </c>
      <c r="B1215" t="s">
        <v>2515</v>
      </c>
      <c r="C1215" t="s">
        <v>2516</v>
      </c>
      <c r="D1215" t="s">
        <v>2517</v>
      </c>
      <c r="F1215" t="str">
        <f>""</f>
        <v/>
      </c>
      <c r="G1215" t="str">
        <f>""</f>
        <v/>
      </c>
      <c r="H1215">
        <v>0</v>
      </c>
      <c r="I1215">
        <v>4.22</v>
      </c>
      <c r="J1215" t="s">
        <v>2246</v>
      </c>
      <c r="K1215" t="s">
        <v>133</v>
      </c>
      <c r="L1215">
        <v>450</v>
      </c>
      <c r="M1215">
        <v>2017</v>
      </c>
      <c r="N1215">
        <v>2015</v>
      </c>
      <c r="P1215" s="1">
        <v>43694</v>
      </c>
      <c r="Q1215" t="s">
        <v>35</v>
      </c>
      <c r="R1215" t="s">
        <v>2518</v>
      </c>
      <c r="S1215" t="s">
        <v>35</v>
      </c>
      <c r="W1215">
        <v>0</v>
      </c>
      <c r="X1215">
        <v>0</v>
      </c>
    </row>
    <row r="1216" spans="1:24" x14ac:dyDescent="0.25">
      <c r="A1216">
        <v>23692271</v>
      </c>
      <c r="B1216" t="s">
        <v>2519</v>
      </c>
      <c r="C1216" t="s">
        <v>2516</v>
      </c>
      <c r="D1216" t="s">
        <v>2517</v>
      </c>
      <c r="F1216" t="str">
        <f>""</f>
        <v/>
      </c>
      <c r="G1216" t="str">
        <f>""</f>
        <v/>
      </c>
      <c r="H1216">
        <v>0</v>
      </c>
      <c r="I1216">
        <v>4.38</v>
      </c>
      <c r="J1216" t="s">
        <v>198</v>
      </c>
      <c r="K1216" t="s">
        <v>28</v>
      </c>
      <c r="L1216">
        <v>512</v>
      </c>
      <c r="M1216">
        <v>2015</v>
      </c>
      <c r="N1216">
        <v>2011</v>
      </c>
      <c r="P1216" s="1">
        <v>43694</v>
      </c>
      <c r="Q1216" t="s">
        <v>35</v>
      </c>
      <c r="R1216" t="s">
        <v>2520</v>
      </c>
      <c r="S1216" t="s">
        <v>35</v>
      </c>
      <c r="W1216">
        <v>0</v>
      </c>
      <c r="X1216">
        <v>0</v>
      </c>
    </row>
    <row r="1217" spans="1:24" x14ac:dyDescent="0.25">
      <c r="A1217">
        <v>113435</v>
      </c>
      <c r="B1217" t="s">
        <v>2521</v>
      </c>
      <c r="C1217" t="s">
        <v>2522</v>
      </c>
      <c r="D1217" t="s">
        <v>2523</v>
      </c>
      <c r="F1217" t="str">
        <f>"0312864590"</f>
        <v>0312864590</v>
      </c>
      <c r="G1217" t="str">
        <f>"9780312864590"</f>
        <v>9780312864590</v>
      </c>
      <c r="H1217">
        <v>0</v>
      </c>
      <c r="I1217">
        <v>3.8</v>
      </c>
      <c r="J1217" t="s">
        <v>162</v>
      </c>
      <c r="K1217" t="s">
        <v>34</v>
      </c>
      <c r="L1217">
        <v>704</v>
      </c>
      <c r="M1217">
        <v>2003</v>
      </c>
      <c r="N1217">
        <v>2003</v>
      </c>
      <c r="P1217" s="1">
        <v>43688</v>
      </c>
      <c r="Q1217" t="s">
        <v>35</v>
      </c>
      <c r="R1217" t="s">
        <v>2524</v>
      </c>
      <c r="S1217" t="s">
        <v>35</v>
      </c>
      <c r="W1217">
        <v>0</v>
      </c>
      <c r="X1217">
        <v>0</v>
      </c>
    </row>
    <row r="1218" spans="1:24" x14ac:dyDescent="0.25">
      <c r="A1218">
        <v>13891</v>
      </c>
      <c r="B1218" t="s">
        <v>2525</v>
      </c>
      <c r="C1218" t="s">
        <v>2522</v>
      </c>
      <c r="D1218" t="s">
        <v>2523</v>
      </c>
      <c r="F1218" t="str">
        <f>"081257558X"</f>
        <v>081257558X</v>
      </c>
      <c r="G1218" t="str">
        <f>"9780812575583"</f>
        <v>9780812575583</v>
      </c>
      <c r="H1218">
        <v>0</v>
      </c>
      <c r="I1218">
        <v>3.96</v>
      </c>
      <c r="J1218" t="s">
        <v>2326</v>
      </c>
      <c r="K1218" t="s">
        <v>207</v>
      </c>
      <c r="L1218">
        <v>780</v>
      </c>
      <c r="M1218">
        <v>2002</v>
      </c>
      <c r="N1218">
        <v>2000</v>
      </c>
      <c r="P1218" s="1">
        <v>43688</v>
      </c>
      <c r="Q1218" t="s">
        <v>35</v>
      </c>
      <c r="R1218" t="s">
        <v>2526</v>
      </c>
      <c r="S1218" t="s">
        <v>35</v>
      </c>
      <c r="W1218">
        <v>0</v>
      </c>
      <c r="X1218">
        <v>0</v>
      </c>
    </row>
    <row r="1219" spans="1:24" x14ac:dyDescent="0.25">
      <c r="A1219">
        <v>13888</v>
      </c>
      <c r="B1219" t="s">
        <v>2527</v>
      </c>
      <c r="C1219" t="s">
        <v>2522</v>
      </c>
      <c r="D1219" t="s">
        <v>2523</v>
      </c>
      <c r="F1219" t="str">
        <f>"0812577566"</f>
        <v>0812577566</v>
      </c>
      <c r="G1219" t="str">
        <f>"9780812577563"</f>
        <v>9780812577563</v>
      </c>
      <c r="H1219">
        <v>0</v>
      </c>
      <c r="I1219">
        <v>4.18</v>
      </c>
      <c r="J1219" t="s">
        <v>2528</v>
      </c>
      <c r="K1219" t="s">
        <v>207</v>
      </c>
      <c r="L1219">
        <v>860</v>
      </c>
      <c r="M1219">
        <v>2006</v>
      </c>
      <c r="N1219">
        <v>2005</v>
      </c>
      <c r="P1219" s="1">
        <v>43688</v>
      </c>
      <c r="Q1219" t="s">
        <v>35</v>
      </c>
      <c r="R1219" t="s">
        <v>2529</v>
      </c>
      <c r="S1219" t="s">
        <v>35</v>
      </c>
      <c r="W1219">
        <v>0</v>
      </c>
      <c r="X1219">
        <v>0</v>
      </c>
    </row>
    <row r="1220" spans="1:24" x14ac:dyDescent="0.25">
      <c r="A1220">
        <v>7743175</v>
      </c>
      <c r="B1220" t="s">
        <v>2530</v>
      </c>
      <c r="C1220" t="s">
        <v>2522</v>
      </c>
      <c r="D1220" t="s">
        <v>2523</v>
      </c>
      <c r="E1220" t="s">
        <v>160</v>
      </c>
      <c r="F1220" t="str">
        <f>"0765325950"</f>
        <v>0765325950</v>
      </c>
      <c r="G1220" t="str">
        <f>"9780765325952"</f>
        <v>9780765325952</v>
      </c>
      <c r="H1220">
        <v>0</v>
      </c>
      <c r="I1220">
        <v>4.55</v>
      </c>
      <c r="J1220" t="s">
        <v>162</v>
      </c>
      <c r="K1220" t="s">
        <v>34</v>
      </c>
      <c r="L1220">
        <v>912</v>
      </c>
      <c r="M1220">
        <v>2013</v>
      </c>
      <c r="N1220">
        <v>2013</v>
      </c>
      <c r="P1220" s="1">
        <v>43688</v>
      </c>
      <c r="Q1220" t="s">
        <v>35</v>
      </c>
      <c r="R1220" t="s">
        <v>2531</v>
      </c>
      <c r="S1220" t="s">
        <v>35</v>
      </c>
      <c r="W1220">
        <v>0</v>
      </c>
      <c r="X1220">
        <v>0</v>
      </c>
    </row>
    <row r="1221" spans="1:24" x14ac:dyDescent="0.25">
      <c r="A1221">
        <v>13890</v>
      </c>
      <c r="B1221" t="s">
        <v>2532</v>
      </c>
      <c r="C1221" t="s">
        <v>2522</v>
      </c>
      <c r="D1221" t="s">
        <v>2523</v>
      </c>
      <c r="F1221" t="str">
        <f>"0812550285"</f>
        <v>0812550285</v>
      </c>
      <c r="G1221" t="str">
        <f>"9780812550283"</f>
        <v>9780812550283</v>
      </c>
      <c r="H1221">
        <v>0</v>
      </c>
      <c r="I1221">
        <v>4.0599999999999996</v>
      </c>
      <c r="J1221" t="s">
        <v>162</v>
      </c>
      <c r="K1221" t="s">
        <v>207</v>
      </c>
      <c r="L1221">
        <v>880</v>
      </c>
      <c r="M1221">
        <v>1997</v>
      </c>
      <c r="N1221">
        <v>1996</v>
      </c>
      <c r="P1221" s="1">
        <v>43688</v>
      </c>
      <c r="Q1221" t="s">
        <v>35</v>
      </c>
      <c r="R1221" t="s">
        <v>2533</v>
      </c>
      <c r="S1221" t="s">
        <v>35</v>
      </c>
      <c r="W1221">
        <v>0</v>
      </c>
      <c r="X1221">
        <v>0</v>
      </c>
    </row>
    <row r="1222" spans="1:24" x14ac:dyDescent="0.25">
      <c r="A1222">
        <v>140974</v>
      </c>
      <c r="B1222" t="s">
        <v>2534</v>
      </c>
      <c r="C1222" t="s">
        <v>2522</v>
      </c>
      <c r="D1222" t="s">
        <v>2523</v>
      </c>
      <c r="F1222" t="str">
        <f>"0812550293"</f>
        <v>0812550293</v>
      </c>
      <c r="G1222" t="str">
        <f>"9780812550290"</f>
        <v>9780812550290</v>
      </c>
      <c r="H1222">
        <v>0</v>
      </c>
      <c r="I1222">
        <v>3.92</v>
      </c>
      <c r="J1222" t="s">
        <v>162</v>
      </c>
      <c r="K1222" t="s">
        <v>207</v>
      </c>
      <c r="L1222">
        <v>685</v>
      </c>
      <c r="M1222">
        <v>1999</v>
      </c>
      <c r="N1222">
        <v>1998</v>
      </c>
      <c r="P1222" s="1">
        <v>43688</v>
      </c>
      <c r="Q1222" t="s">
        <v>35</v>
      </c>
      <c r="R1222" t="s">
        <v>2535</v>
      </c>
      <c r="S1222" t="s">
        <v>35</v>
      </c>
      <c r="W1222">
        <v>0</v>
      </c>
      <c r="X1222">
        <v>0</v>
      </c>
    </row>
    <row r="1223" spans="1:24" x14ac:dyDescent="0.25">
      <c r="A1223">
        <v>8253920</v>
      </c>
      <c r="B1223" t="s">
        <v>2536</v>
      </c>
      <c r="C1223" t="s">
        <v>2522</v>
      </c>
      <c r="D1223" t="s">
        <v>2523</v>
      </c>
      <c r="E1223" t="s">
        <v>160</v>
      </c>
      <c r="F1223" t="str">
        <f>"0765325942"</f>
        <v>0765325942</v>
      </c>
      <c r="G1223" t="str">
        <f>"9780765325945"</f>
        <v>9780765325945</v>
      </c>
      <c r="H1223">
        <v>0</v>
      </c>
      <c r="I1223">
        <v>4.45</v>
      </c>
      <c r="J1223" t="s">
        <v>2537</v>
      </c>
      <c r="K1223" t="s">
        <v>34</v>
      </c>
      <c r="L1223">
        <v>863</v>
      </c>
      <c r="M1223">
        <v>2010</v>
      </c>
      <c r="N1223">
        <v>2010</v>
      </c>
      <c r="P1223" s="1">
        <v>43688</v>
      </c>
      <c r="Q1223" t="s">
        <v>35</v>
      </c>
      <c r="R1223" t="s">
        <v>2538</v>
      </c>
      <c r="S1223" t="s">
        <v>35</v>
      </c>
      <c r="W1223">
        <v>0</v>
      </c>
      <c r="X1223">
        <v>0</v>
      </c>
    </row>
    <row r="1224" spans="1:24" x14ac:dyDescent="0.25">
      <c r="A1224">
        <v>35231</v>
      </c>
      <c r="B1224" t="s">
        <v>2539</v>
      </c>
      <c r="C1224" t="s">
        <v>2522</v>
      </c>
      <c r="D1224" t="s">
        <v>2523</v>
      </c>
      <c r="F1224" t="str">
        <f>"0812513754"</f>
        <v>0812513754</v>
      </c>
      <c r="G1224" t="str">
        <f>"9780812513752"</f>
        <v>9780812513752</v>
      </c>
      <c r="H1224">
        <v>0</v>
      </c>
      <c r="I1224">
        <v>4.17</v>
      </c>
      <c r="J1224" t="s">
        <v>2528</v>
      </c>
      <c r="K1224" t="s">
        <v>207</v>
      </c>
      <c r="L1224">
        <v>1011</v>
      </c>
      <c r="M1224">
        <v>1995</v>
      </c>
      <c r="N1224">
        <v>1994</v>
      </c>
      <c r="P1224" s="1">
        <v>43688</v>
      </c>
      <c r="Q1224" t="s">
        <v>35</v>
      </c>
      <c r="R1224" t="s">
        <v>2540</v>
      </c>
      <c r="S1224" t="s">
        <v>35</v>
      </c>
      <c r="W1224">
        <v>0</v>
      </c>
      <c r="X1224">
        <v>0</v>
      </c>
    </row>
    <row r="1225" spans="1:24" x14ac:dyDescent="0.25">
      <c r="A1225">
        <v>1166599</v>
      </c>
      <c r="B1225" t="s">
        <v>2541</v>
      </c>
      <c r="C1225" t="s">
        <v>2522</v>
      </c>
      <c r="D1225" t="s">
        <v>2523</v>
      </c>
      <c r="E1225" t="s">
        <v>160</v>
      </c>
      <c r="F1225" t="str">
        <f>"0765302306"</f>
        <v>0765302306</v>
      </c>
      <c r="G1225" t="str">
        <f>"9780765302304"</f>
        <v>9780765302304</v>
      </c>
      <c r="H1225">
        <v>0</v>
      </c>
      <c r="I1225">
        <v>4.4000000000000004</v>
      </c>
      <c r="J1225" t="s">
        <v>162</v>
      </c>
      <c r="K1225" t="s">
        <v>34</v>
      </c>
      <c r="L1225">
        <v>783</v>
      </c>
      <c r="M1225">
        <v>2009</v>
      </c>
      <c r="N1225">
        <v>2009</v>
      </c>
      <c r="P1225" s="1">
        <v>43688</v>
      </c>
      <c r="Q1225" t="s">
        <v>35</v>
      </c>
      <c r="R1225" t="s">
        <v>2542</v>
      </c>
      <c r="S1225" t="s">
        <v>35</v>
      </c>
      <c r="W1225">
        <v>0</v>
      </c>
      <c r="X1225">
        <v>0</v>
      </c>
    </row>
    <row r="1226" spans="1:24" x14ac:dyDescent="0.25">
      <c r="A1226">
        <v>13895</v>
      </c>
      <c r="B1226" t="s">
        <v>2543</v>
      </c>
      <c r="C1226" t="s">
        <v>2522</v>
      </c>
      <c r="D1226" t="s">
        <v>2523</v>
      </c>
      <c r="F1226" t="str">
        <f>"1857232097"</f>
        <v>1857232097</v>
      </c>
      <c r="G1226" t="str">
        <f>"9781857232097"</f>
        <v>9781857232097</v>
      </c>
      <c r="H1226">
        <v>0</v>
      </c>
      <c r="I1226">
        <v>4.18</v>
      </c>
      <c r="J1226" t="s">
        <v>674</v>
      </c>
      <c r="K1226" t="s">
        <v>28</v>
      </c>
      <c r="L1226">
        <v>912</v>
      </c>
      <c r="M1226">
        <v>1994</v>
      </c>
      <c r="N1226">
        <v>1993</v>
      </c>
      <c r="P1226" s="1">
        <v>43688</v>
      </c>
      <c r="Q1226" t="s">
        <v>35</v>
      </c>
      <c r="R1226" t="s">
        <v>2544</v>
      </c>
      <c r="S1226" t="s">
        <v>35</v>
      </c>
      <c r="W1226">
        <v>0</v>
      </c>
      <c r="X1226">
        <v>0</v>
      </c>
    </row>
    <row r="1227" spans="1:24" x14ac:dyDescent="0.25">
      <c r="A1227">
        <v>9539</v>
      </c>
      <c r="B1227" t="s">
        <v>2545</v>
      </c>
      <c r="C1227" t="s">
        <v>2522</v>
      </c>
      <c r="D1227" t="s">
        <v>2523</v>
      </c>
      <c r="F1227" t="str">
        <f>"0812513738"</f>
        <v>0812513738</v>
      </c>
      <c r="G1227" t="str">
        <f>"9780812513738"</f>
        <v>9780812513738</v>
      </c>
      <c r="H1227">
        <v>0</v>
      </c>
      <c r="I1227">
        <v>4.26</v>
      </c>
      <c r="J1227" t="s">
        <v>2546</v>
      </c>
      <c r="K1227" t="s">
        <v>207</v>
      </c>
      <c r="L1227">
        <v>1007</v>
      </c>
      <c r="M1227">
        <v>1993</v>
      </c>
      <c r="N1227">
        <v>1992</v>
      </c>
      <c r="P1227" s="1">
        <v>43688</v>
      </c>
      <c r="Q1227" t="s">
        <v>35</v>
      </c>
      <c r="R1227" t="s">
        <v>2547</v>
      </c>
      <c r="S1227" t="s">
        <v>35</v>
      </c>
      <c r="W1227">
        <v>0</v>
      </c>
      <c r="X1227">
        <v>0</v>
      </c>
    </row>
    <row r="1228" spans="1:24" x14ac:dyDescent="0.25">
      <c r="A1228">
        <v>233649</v>
      </c>
      <c r="B1228" t="s">
        <v>2548</v>
      </c>
      <c r="C1228" t="s">
        <v>2522</v>
      </c>
      <c r="D1228" t="s">
        <v>2523</v>
      </c>
      <c r="F1228" t="str">
        <f>"0812517725"</f>
        <v>0812517725</v>
      </c>
      <c r="G1228" t="str">
        <f>"9780812517729"</f>
        <v>9780812517729</v>
      </c>
      <c r="H1228">
        <v>0</v>
      </c>
      <c r="I1228">
        <v>4.25</v>
      </c>
      <c r="J1228" t="s">
        <v>162</v>
      </c>
      <c r="K1228" t="s">
        <v>207</v>
      </c>
      <c r="L1228">
        <v>705</v>
      </c>
      <c r="M1228">
        <v>1991</v>
      </c>
      <c r="N1228">
        <v>1990</v>
      </c>
      <c r="P1228" s="1">
        <v>43688</v>
      </c>
      <c r="Q1228" t="s">
        <v>35</v>
      </c>
      <c r="R1228" t="s">
        <v>2549</v>
      </c>
      <c r="S1228" t="s">
        <v>35</v>
      </c>
      <c r="W1228">
        <v>0</v>
      </c>
      <c r="X1228">
        <v>0</v>
      </c>
    </row>
    <row r="1229" spans="1:24" x14ac:dyDescent="0.25">
      <c r="A1229">
        <v>34897</v>
      </c>
      <c r="B1229" t="s">
        <v>2550</v>
      </c>
      <c r="C1229" t="s">
        <v>2522</v>
      </c>
      <c r="D1229" t="s">
        <v>2523</v>
      </c>
      <c r="F1229" t="str">
        <f>"0765305119"</f>
        <v>0765305119</v>
      </c>
      <c r="G1229" t="str">
        <f>"9780765305114"</f>
        <v>9780765305114</v>
      </c>
      <c r="H1229">
        <v>0</v>
      </c>
      <c r="I1229">
        <v>4.2699999999999996</v>
      </c>
      <c r="J1229" t="s">
        <v>162</v>
      </c>
      <c r="K1229" t="s">
        <v>207</v>
      </c>
      <c r="L1229">
        <v>624</v>
      </c>
      <c r="M1229">
        <v>2002</v>
      </c>
      <c r="N1229">
        <v>1991</v>
      </c>
      <c r="P1229" s="1">
        <v>43688</v>
      </c>
      <c r="Q1229" t="s">
        <v>35</v>
      </c>
      <c r="R1229" t="s">
        <v>2551</v>
      </c>
      <c r="S1229" t="s">
        <v>35</v>
      </c>
      <c r="W1229">
        <v>0</v>
      </c>
      <c r="X1229">
        <v>0</v>
      </c>
    </row>
    <row r="1230" spans="1:24" x14ac:dyDescent="0.25">
      <c r="A1230">
        <v>228665</v>
      </c>
      <c r="B1230" t="s">
        <v>2552</v>
      </c>
      <c r="C1230" t="s">
        <v>2522</v>
      </c>
      <c r="D1230" t="s">
        <v>2523</v>
      </c>
      <c r="E1230" t="s">
        <v>2553</v>
      </c>
      <c r="F1230" t="str">
        <f>"0812511816"</f>
        <v>0812511816</v>
      </c>
      <c r="G1230" t="str">
        <f>"9780812511819"</f>
        <v>9780812511819</v>
      </c>
      <c r="H1230">
        <v>0</v>
      </c>
      <c r="I1230">
        <v>4.1900000000000004</v>
      </c>
      <c r="J1230" t="s">
        <v>162</v>
      </c>
      <c r="K1230" t="s">
        <v>207</v>
      </c>
      <c r="L1230">
        <v>800</v>
      </c>
      <c r="M1230">
        <v>1990</v>
      </c>
      <c r="N1230">
        <v>1990</v>
      </c>
      <c r="P1230" s="1">
        <v>43688</v>
      </c>
      <c r="Q1230" t="s">
        <v>35</v>
      </c>
      <c r="R1230" t="s">
        <v>2554</v>
      </c>
      <c r="S1230" t="s">
        <v>35</v>
      </c>
      <c r="W1230">
        <v>0</v>
      </c>
      <c r="X1230">
        <v>0</v>
      </c>
    </row>
    <row r="1231" spans="1:24" x14ac:dyDescent="0.25">
      <c r="A1231">
        <v>3450744</v>
      </c>
      <c r="B1231" t="s">
        <v>2555</v>
      </c>
      <c r="C1231" t="s">
        <v>2556</v>
      </c>
      <c r="D1231" t="s">
        <v>2557</v>
      </c>
      <c r="E1231" t="s">
        <v>2558</v>
      </c>
      <c r="F1231" t="str">
        <f>"014311526X"</f>
        <v>014311526X</v>
      </c>
      <c r="G1231" t="str">
        <f>"9780143115267"</f>
        <v>9780143115267</v>
      </c>
      <c r="H1231">
        <v>0</v>
      </c>
      <c r="I1231">
        <v>3.84</v>
      </c>
      <c r="J1231" t="s">
        <v>617</v>
      </c>
      <c r="K1231" t="s">
        <v>28</v>
      </c>
      <c r="L1231">
        <v>260</v>
      </c>
      <c r="M1231">
        <v>2009</v>
      </c>
      <c r="N1231">
        <v>2008</v>
      </c>
      <c r="P1231" s="1">
        <v>43688</v>
      </c>
      <c r="Q1231" t="s">
        <v>35</v>
      </c>
      <c r="R1231" t="s">
        <v>2559</v>
      </c>
      <c r="S1231" t="s">
        <v>35</v>
      </c>
      <c r="W1231">
        <v>0</v>
      </c>
      <c r="X1231">
        <v>0</v>
      </c>
    </row>
    <row r="1232" spans="1:24" x14ac:dyDescent="0.25">
      <c r="A1232">
        <v>25744928</v>
      </c>
      <c r="B1232" t="s">
        <v>2560</v>
      </c>
      <c r="C1232" t="s">
        <v>2561</v>
      </c>
      <c r="D1232" t="s">
        <v>2562</v>
      </c>
      <c r="F1232" t="str">
        <f>"1455586692"</f>
        <v>1455586692</v>
      </c>
      <c r="G1232" t="str">
        <f>"9781455586691"</f>
        <v>9781455586691</v>
      </c>
      <c r="H1232">
        <v>0</v>
      </c>
      <c r="I1232">
        <v>4.1900000000000004</v>
      </c>
      <c r="J1232" t="s">
        <v>540</v>
      </c>
      <c r="K1232" t="s">
        <v>34</v>
      </c>
      <c r="L1232">
        <v>296</v>
      </c>
      <c r="M1232">
        <v>2016</v>
      </c>
      <c r="N1232">
        <v>2016</v>
      </c>
      <c r="P1232" s="1">
        <v>43688</v>
      </c>
      <c r="Q1232" t="s">
        <v>35</v>
      </c>
      <c r="R1232" t="s">
        <v>2563</v>
      </c>
      <c r="S1232" t="s">
        <v>35</v>
      </c>
      <c r="W1232">
        <v>0</v>
      </c>
      <c r="X1232">
        <v>0</v>
      </c>
    </row>
    <row r="1233" spans="1:24" x14ac:dyDescent="0.25">
      <c r="A1233">
        <v>25430691</v>
      </c>
      <c r="B1233" t="s">
        <v>2564</v>
      </c>
      <c r="C1233" t="s">
        <v>2565</v>
      </c>
      <c r="D1233" t="s">
        <v>2566</v>
      </c>
      <c r="E1233" t="s">
        <v>2567</v>
      </c>
      <c r="F1233" t="str">
        <f>"1101903597"</f>
        <v>1101903597</v>
      </c>
      <c r="G1233" t="str">
        <f>"9781101903599"</f>
        <v>9781101903599</v>
      </c>
      <c r="H1233">
        <v>0</v>
      </c>
      <c r="I1233">
        <v>3.89</v>
      </c>
      <c r="J1233" t="s">
        <v>2568</v>
      </c>
      <c r="K1233" t="s">
        <v>34</v>
      </c>
      <c r="L1233">
        <v>288</v>
      </c>
      <c r="M1233">
        <v>2016</v>
      </c>
      <c r="N1233">
        <v>2016</v>
      </c>
      <c r="P1233" s="1">
        <v>43688</v>
      </c>
      <c r="Q1233" t="s">
        <v>35</v>
      </c>
      <c r="R1233" t="s">
        <v>2569</v>
      </c>
      <c r="S1233" t="s">
        <v>35</v>
      </c>
      <c r="W1233">
        <v>0</v>
      </c>
      <c r="X1233">
        <v>0</v>
      </c>
    </row>
    <row r="1234" spans="1:24" x14ac:dyDescent="0.25">
      <c r="A1234">
        <v>35289</v>
      </c>
      <c r="B1234" t="s">
        <v>2570</v>
      </c>
      <c r="C1234" t="s">
        <v>2503</v>
      </c>
      <c r="D1234" t="s">
        <v>2504</v>
      </c>
      <c r="E1234" t="s">
        <v>2571</v>
      </c>
      <c r="F1234" t="str">
        <f>"0670034576"</f>
        <v>0670034576</v>
      </c>
      <c r="G1234" t="str">
        <f>"9780670034574"</f>
        <v>9780670034574</v>
      </c>
      <c r="H1234">
        <v>0</v>
      </c>
      <c r="I1234">
        <v>4.21</v>
      </c>
      <c r="J1234" t="s">
        <v>387</v>
      </c>
      <c r="K1234" t="s">
        <v>34</v>
      </c>
      <c r="L1234">
        <v>496</v>
      </c>
      <c r="M1234">
        <v>2006</v>
      </c>
      <c r="N1234">
        <v>2005</v>
      </c>
      <c r="P1234" s="1">
        <v>43688</v>
      </c>
      <c r="Q1234" t="s">
        <v>35</v>
      </c>
      <c r="R1234" t="s">
        <v>2572</v>
      </c>
      <c r="S1234" t="s">
        <v>35</v>
      </c>
      <c r="W1234">
        <v>0</v>
      </c>
      <c r="X1234">
        <v>0</v>
      </c>
    </row>
    <row r="1235" spans="1:24" x14ac:dyDescent="0.25">
      <c r="A1235">
        <v>34466958</v>
      </c>
      <c r="B1235" t="s">
        <v>2573</v>
      </c>
      <c r="C1235" t="s">
        <v>2574</v>
      </c>
      <c r="D1235" t="s">
        <v>2575</v>
      </c>
      <c r="F1235" t="str">
        <f>"150114331X"</f>
        <v>150114331X</v>
      </c>
      <c r="G1235" t="str">
        <f>"9781501143311"</f>
        <v>9781501143311</v>
      </c>
      <c r="H1235">
        <v>0</v>
      </c>
      <c r="I1235">
        <v>4.03</v>
      </c>
      <c r="J1235" t="s">
        <v>1332</v>
      </c>
      <c r="K1235" t="s">
        <v>34</v>
      </c>
      <c r="L1235">
        <v>335</v>
      </c>
      <c r="M1235">
        <v>2018</v>
      </c>
      <c r="N1235">
        <v>2018</v>
      </c>
      <c r="P1235" s="1">
        <v>43688</v>
      </c>
      <c r="Q1235" t="s">
        <v>35</v>
      </c>
      <c r="R1235" t="s">
        <v>2576</v>
      </c>
      <c r="S1235" t="s">
        <v>35</v>
      </c>
      <c r="W1235">
        <v>0</v>
      </c>
      <c r="X1235">
        <v>0</v>
      </c>
    </row>
    <row r="1236" spans="1:24" x14ac:dyDescent="0.25">
      <c r="A1236">
        <v>11721966</v>
      </c>
      <c r="B1236" t="s">
        <v>2577</v>
      </c>
      <c r="C1236" t="s">
        <v>2578</v>
      </c>
      <c r="D1236" t="s">
        <v>2579</v>
      </c>
      <c r="F1236" t="str">
        <f>"0307886255"</f>
        <v>0307886255</v>
      </c>
      <c r="G1236" t="str">
        <f>"9780307886255"</f>
        <v>9780307886255</v>
      </c>
      <c r="H1236">
        <v>0</v>
      </c>
      <c r="I1236">
        <v>4.13</v>
      </c>
      <c r="J1236" t="s">
        <v>2568</v>
      </c>
      <c r="K1236" t="s">
        <v>609</v>
      </c>
      <c r="L1236">
        <v>320</v>
      </c>
      <c r="M1236">
        <v>2011</v>
      </c>
      <c r="N1236">
        <v>2011</v>
      </c>
      <c r="P1236" s="1">
        <v>43688</v>
      </c>
      <c r="Q1236" t="s">
        <v>35</v>
      </c>
      <c r="R1236" t="s">
        <v>2580</v>
      </c>
      <c r="S1236" t="s">
        <v>35</v>
      </c>
      <c r="W1236">
        <v>0</v>
      </c>
      <c r="X1236">
        <v>0</v>
      </c>
    </row>
    <row r="1237" spans="1:24" x14ac:dyDescent="0.25">
      <c r="A1237">
        <v>1303</v>
      </c>
      <c r="B1237" t="s">
        <v>2581</v>
      </c>
      <c r="C1237" t="s">
        <v>2503</v>
      </c>
      <c r="D1237" t="s">
        <v>2504</v>
      </c>
      <c r="E1237" t="s">
        <v>2571</v>
      </c>
      <c r="F1237" t="str">
        <f>"0140280197"</f>
        <v>0140280197</v>
      </c>
      <c r="G1237" t="str">
        <f>"9780140280197"</f>
        <v>9780140280197</v>
      </c>
      <c r="H1237">
        <v>0</v>
      </c>
      <c r="I1237">
        <v>4.1500000000000004</v>
      </c>
      <c r="J1237" t="s">
        <v>617</v>
      </c>
      <c r="K1237" t="s">
        <v>28</v>
      </c>
      <c r="L1237">
        <v>452</v>
      </c>
      <c r="M1237">
        <v>2000</v>
      </c>
      <c r="N1237">
        <v>1998</v>
      </c>
      <c r="P1237" s="1">
        <v>43688</v>
      </c>
      <c r="Q1237" t="s">
        <v>35</v>
      </c>
      <c r="R1237" t="s">
        <v>2582</v>
      </c>
      <c r="S1237" t="s">
        <v>35</v>
      </c>
      <c r="W1237">
        <v>0</v>
      </c>
      <c r="X1237">
        <v>0</v>
      </c>
    </row>
    <row r="1238" spans="1:24" x14ac:dyDescent="0.25">
      <c r="A1238">
        <v>17685077</v>
      </c>
      <c r="B1238" t="s">
        <v>2583</v>
      </c>
      <c r="C1238" t="s">
        <v>2584</v>
      </c>
      <c r="D1238" t="s">
        <v>2585</v>
      </c>
      <c r="F1238" t="str">
        <f>"1444757792"</f>
        <v>1444757792</v>
      </c>
      <c r="G1238" t="str">
        <f>"9781444757798"</f>
        <v>9781444757798</v>
      </c>
      <c r="H1238">
        <v>0</v>
      </c>
      <c r="I1238">
        <v>3.83</v>
      </c>
      <c r="J1238" t="s">
        <v>1911</v>
      </c>
      <c r="K1238" t="s">
        <v>28</v>
      </c>
      <c r="L1238">
        <v>145</v>
      </c>
      <c r="M1238">
        <v>2012</v>
      </c>
      <c r="N1238">
        <v>2012</v>
      </c>
      <c r="P1238" s="1">
        <v>43666</v>
      </c>
      <c r="Q1238" t="s">
        <v>35</v>
      </c>
      <c r="R1238" t="s">
        <v>2586</v>
      </c>
      <c r="S1238" t="s">
        <v>35</v>
      </c>
      <c r="W1238">
        <v>0</v>
      </c>
      <c r="X1238">
        <v>0</v>
      </c>
    </row>
    <row r="1239" spans="1:24" x14ac:dyDescent="0.25">
      <c r="A1239">
        <v>23398837</v>
      </c>
      <c r="B1239" t="s">
        <v>2587</v>
      </c>
      <c r="C1239" t="s">
        <v>2588</v>
      </c>
      <c r="D1239" t="s">
        <v>2589</v>
      </c>
      <c r="F1239" t="str">
        <f>"0147516315"</f>
        <v>0147516315</v>
      </c>
      <c r="G1239" t="str">
        <f>"9780147516312"</f>
        <v>9780147516312</v>
      </c>
      <c r="H1239">
        <v>0</v>
      </c>
      <c r="I1239">
        <v>3.66</v>
      </c>
      <c r="J1239" t="s">
        <v>818</v>
      </c>
      <c r="K1239" t="s">
        <v>28</v>
      </c>
      <c r="L1239">
        <v>528</v>
      </c>
      <c r="M1239">
        <v>2015</v>
      </c>
      <c r="N1239">
        <v>2014</v>
      </c>
      <c r="P1239" s="1">
        <v>43666</v>
      </c>
      <c r="Q1239" t="s">
        <v>35</v>
      </c>
      <c r="R1239" t="s">
        <v>2590</v>
      </c>
      <c r="S1239" t="s">
        <v>35</v>
      </c>
      <c r="W1239">
        <v>0</v>
      </c>
      <c r="X1239">
        <v>0</v>
      </c>
    </row>
    <row r="1240" spans="1:24" x14ac:dyDescent="0.25">
      <c r="A1240">
        <v>4866</v>
      </c>
      <c r="B1240" t="s">
        <v>2591</v>
      </c>
      <c r="C1240" t="s">
        <v>1794</v>
      </c>
      <c r="D1240" t="s">
        <v>1795</v>
      </c>
      <c r="F1240" t="str">
        <f>"0671035975"</f>
        <v>0671035975</v>
      </c>
      <c r="G1240" t="str">
        <f>"9780671035976"</f>
        <v>9780671035976</v>
      </c>
      <c r="H1240">
        <v>0</v>
      </c>
      <c r="I1240">
        <v>4.1500000000000004</v>
      </c>
      <c r="J1240" t="s">
        <v>559</v>
      </c>
      <c r="K1240" t="s">
        <v>28</v>
      </c>
      <c r="L1240">
        <v>358</v>
      </c>
      <c r="M1240">
        <v>2004</v>
      </c>
      <c r="N1240">
        <v>1944</v>
      </c>
      <c r="P1240" s="1">
        <v>43666</v>
      </c>
      <c r="Q1240" t="s">
        <v>35</v>
      </c>
      <c r="R1240" t="s">
        <v>2592</v>
      </c>
      <c r="S1240" t="s">
        <v>35</v>
      </c>
      <c r="W1240">
        <v>0</v>
      </c>
      <c r="X1240">
        <v>0</v>
      </c>
    </row>
    <row r="1241" spans="1:24" x14ac:dyDescent="0.25">
      <c r="A1241">
        <v>36602098</v>
      </c>
      <c r="B1241" t="s">
        <v>2593</v>
      </c>
      <c r="C1241" t="s">
        <v>2594</v>
      </c>
      <c r="D1241" t="s">
        <v>2595</v>
      </c>
      <c r="E1241" t="s">
        <v>2596</v>
      </c>
      <c r="F1241" t="str">
        <f>""</f>
        <v/>
      </c>
      <c r="G1241" t="str">
        <f>""</f>
        <v/>
      </c>
      <c r="H1241">
        <v>5</v>
      </c>
      <c r="I1241">
        <v>3.96</v>
      </c>
      <c r="J1241" t="s">
        <v>482</v>
      </c>
      <c r="K1241" t="s">
        <v>133</v>
      </c>
      <c r="L1241">
        <v>368</v>
      </c>
      <c r="M1241">
        <v>2018</v>
      </c>
      <c r="N1241">
        <v>2013</v>
      </c>
      <c r="O1241" s="1">
        <v>43651</v>
      </c>
      <c r="P1241" s="1">
        <v>43644</v>
      </c>
      <c r="S1241" t="s">
        <v>29</v>
      </c>
      <c r="W1241">
        <v>1</v>
      </c>
      <c r="X1241">
        <v>0</v>
      </c>
    </row>
    <row r="1242" spans="1:24" x14ac:dyDescent="0.25">
      <c r="A1242">
        <v>123686</v>
      </c>
      <c r="B1242" t="s">
        <v>2597</v>
      </c>
      <c r="C1242" t="s">
        <v>2598</v>
      </c>
      <c r="D1242" t="s">
        <v>2599</v>
      </c>
      <c r="E1242" t="s">
        <v>2600</v>
      </c>
      <c r="F1242" t="str">
        <f>"0471463302"</f>
        <v>0471463302</v>
      </c>
      <c r="G1242" t="str">
        <f>"9780471463306"</f>
        <v>9780471463306</v>
      </c>
      <c r="H1242">
        <v>0</v>
      </c>
      <c r="I1242">
        <v>3.6</v>
      </c>
      <c r="J1242" t="s">
        <v>78</v>
      </c>
      <c r="K1242" t="s">
        <v>34</v>
      </c>
      <c r="L1242">
        <v>310</v>
      </c>
      <c r="M1242">
        <v>2005</v>
      </c>
      <c r="N1242">
        <v>1989</v>
      </c>
      <c r="P1242" s="1">
        <v>43645</v>
      </c>
      <c r="Q1242" t="s">
        <v>35</v>
      </c>
      <c r="R1242" t="s">
        <v>2601</v>
      </c>
      <c r="S1242" t="s">
        <v>35</v>
      </c>
      <c r="W1242">
        <v>0</v>
      </c>
      <c r="X1242">
        <v>0</v>
      </c>
    </row>
    <row r="1243" spans="1:24" x14ac:dyDescent="0.25">
      <c r="A1243">
        <v>32841081</v>
      </c>
      <c r="B1243" t="s">
        <v>2602</v>
      </c>
      <c r="C1243" t="s">
        <v>2594</v>
      </c>
      <c r="D1243" t="s">
        <v>2595</v>
      </c>
      <c r="E1243" t="s">
        <v>2596</v>
      </c>
      <c r="F1243" t="str">
        <f>""</f>
        <v/>
      </c>
      <c r="G1243" t="str">
        <f>""</f>
        <v/>
      </c>
      <c r="H1243">
        <v>5</v>
      </c>
      <c r="I1243">
        <v>4.12</v>
      </c>
      <c r="J1243" t="s">
        <v>482</v>
      </c>
      <c r="K1243" t="s">
        <v>133</v>
      </c>
      <c r="L1243">
        <v>540</v>
      </c>
      <c r="M1243">
        <v>2017</v>
      </c>
      <c r="N1243">
        <v>1999</v>
      </c>
      <c r="O1243" s="1">
        <v>43643</v>
      </c>
      <c r="P1243" s="1">
        <v>43634</v>
      </c>
      <c r="S1243" t="s">
        <v>29</v>
      </c>
      <c r="W1243">
        <v>1</v>
      </c>
      <c r="X1243">
        <v>0</v>
      </c>
    </row>
    <row r="1244" spans="1:24" x14ac:dyDescent="0.25">
      <c r="A1244">
        <v>28515566</v>
      </c>
      <c r="B1244" t="s">
        <v>2603</v>
      </c>
      <c r="C1244" t="s">
        <v>2594</v>
      </c>
      <c r="D1244" t="s">
        <v>2595</v>
      </c>
      <c r="E1244" t="s">
        <v>2596</v>
      </c>
      <c r="F1244" t="str">
        <f>""</f>
        <v/>
      </c>
      <c r="G1244" t="str">
        <f>""</f>
        <v/>
      </c>
      <c r="H1244">
        <v>5</v>
      </c>
      <c r="I1244">
        <v>4.2300000000000004</v>
      </c>
      <c r="J1244" t="s">
        <v>482</v>
      </c>
      <c r="K1244" t="s">
        <v>133</v>
      </c>
      <c r="L1244">
        <v>444</v>
      </c>
      <c r="M1244">
        <v>2016</v>
      </c>
      <c r="N1244">
        <v>1997</v>
      </c>
      <c r="O1244" s="1">
        <v>43631</v>
      </c>
      <c r="P1244" s="1">
        <v>43626</v>
      </c>
      <c r="S1244" t="s">
        <v>29</v>
      </c>
      <c r="W1244">
        <v>1</v>
      </c>
      <c r="X1244">
        <v>0</v>
      </c>
    </row>
    <row r="1245" spans="1:24" x14ac:dyDescent="0.25">
      <c r="A1245">
        <v>21064678</v>
      </c>
      <c r="B1245" t="s">
        <v>2604</v>
      </c>
      <c r="C1245" t="s">
        <v>2594</v>
      </c>
      <c r="D1245" t="s">
        <v>2595</v>
      </c>
      <c r="F1245" t="str">
        <f>""</f>
        <v/>
      </c>
      <c r="G1245" t="str">
        <f>""</f>
        <v/>
      </c>
      <c r="H1245">
        <v>5</v>
      </c>
      <c r="I1245">
        <v>4.26</v>
      </c>
      <c r="J1245" t="s">
        <v>482</v>
      </c>
      <c r="K1245" t="s">
        <v>133</v>
      </c>
      <c r="L1245">
        <v>344</v>
      </c>
      <c r="M1245">
        <v>2014</v>
      </c>
      <c r="N1245">
        <v>1996</v>
      </c>
      <c r="O1245" s="1">
        <v>43626</v>
      </c>
      <c r="P1245" s="1">
        <v>43626</v>
      </c>
      <c r="S1245" t="s">
        <v>29</v>
      </c>
      <c r="W1245">
        <v>1</v>
      </c>
      <c r="X1245">
        <v>0</v>
      </c>
    </row>
    <row r="1246" spans="1:24" x14ac:dyDescent="0.25">
      <c r="A1246">
        <v>29564111</v>
      </c>
      <c r="B1246" t="s">
        <v>2605</v>
      </c>
      <c r="C1246" t="s">
        <v>2606</v>
      </c>
      <c r="D1246" t="s">
        <v>2607</v>
      </c>
      <c r="F1246" t="str">
        <f>""</f>
        <v/>
      </c>
      <c r="G1246" t="str">
        <f>""</f>
        <v/>
      </c>
      <c r="H1246">
        <v>0</v>
      </c>
      <c r="I1246">
        <v>3.72</v>
      </c>
      <c r="J1246" t="s">
        <v>2608</v>
      </c>
      <c r="K1246" t="s">
        <v>28</v>
      </c>
      <c r="L1246">
        <v>336</v>
      </c>
      <c r="M1246">
        <v>2015</v>
      </c>
      <c r="P1246" s="1">
        <v>43617</v>
      </c>
      <c r="Q1246" t="s">
        <v>35</v>
      </c>
      <c r="R1246" t="s">
        <v>2609</v>
      </c>
      <c r="S1246" t="s">
        <v>35</v>
      </c>
      <c r="W1246">
        <v>0</v>
      </c>
      <c r="X1246">
        <v>0</v>
      </c>
    </row>
    <row r="1247" spans="1:24" x14ac:dyDescent="0.25">
      <c r="A1247">
        <v>17883464</v>
      </c>
      <c r="B1247" t="s">
        <v>2610</v>
      </c>
      <c r="C1247" t="s">
        <v>2594</v>
      </c>
      <c r="D1247" t="s">
        <v>2595</v>
      </c>
      <c r="F1247" t="str">
        <f>""</f>
        <v/>
      </c>
      <c r="G1247" t="str">
        <f>""</f>
        <v/>
      </c>
      <c r="H1247">
        <v>5</v>
      </c>
      <c r="I1247">
        <v>4.17</v>
      </c>
      <c r="J1247" t="s">
        <v>2611</v>
      </c>
      <c r="K1247" t="s">
        <v>133</v>
      </c>
      <c r="L1247">
        <v>337</v>
      </c>
      <c r="M1247">
        <v>2013</v>
      </c>
      <c r="N1247">
        <v>1995</v>
      </c>
      <c r="O1247" s="1">
        <v>43614</v>
      </c>
      <c r="P1247" s="1">
        <v>43610</v>
      </c>
      <c r="S1247" t="s">
        <v>29</v>
      </c>
      <c r="W1247">
        <v>1</v>
      </c>
      <c r="X1247">
        <v>0</v>
      </c>
    </row>
    <row r="1248" spans="1:24" x14ac:dyDescent="0.25">
      <c r="A1248">
        <v>25855506</v>
      </c>
      <c r="B1248" t="s">
        <v>2612</v>
      </c>
      <c r="C1248" t="s">
        <v>2613</v>
      </c>
      <c r="D1248" t="s">
        <v>2614</v>
      </c>
      <c r="F1248" t="str">
        <f>"1449474195"</f>
        <v>1449474195</v>
      </c>
      <c r="G1248" t="str">
        <f>"9781449474195"</f>
        <v>9781449474195</v>
      </c>
      <c r="H1248">
        <v>5</v>
      </c>
      <c r="I1248">
        <v>4.12</v>
      </c>
      <c r="J1248" t="s">
        <v>258</v>
      </c>
      <c r="K1248" t="s">
        <v>28</v>
      </c>
      <c r="L1248">
        <v>112</v>
      </c>
      <c r="M1248">
        <v>2016</v>
      </c>
      <c r="N1248">
        <v>2016</v>
      </c>
      <c r="P1248" s="1">
        <v>43229</v>
      </c>
      <c r="Q1248" t="s">
        <v>35</v>
      </c>
      <c r="R1248" t="s">
        <v>2615</v>
      </c>
      <c r="S1248" t="s">
        <v>35</v>
      </c>
      <c r="W1248">
        <v>1</v>
      </c>
      <c r="X1248">
        <v>0</v>
      </c>
    </row>
    <row r="1249" spans="1:24" x14ac:dyDescent="0.25">
      <c r="A1249">
        <v>15241</v>
      </c>
      <c r="B1249" t="s">
        <v>2616</v>
      </c>
      <c r="C1249" t="s">
        <v>2617</v>
      </c>
      <c r="D1249" t="s">
        <v>2618</v>
      </c>
      <c r="E1249" t="s">
        <v>2619</v>
      </c>
      <c r="F1249" t="str">
        <f>"0618346260"</f>
        <v>0618346260</v>
      </c>
      <c r="G1249" t="str">
        <f>"9780618346264"</f>
        <v>9780618346264</v>
      </c>
      <c r="H1249">
        <v>0</v>
      </c>
      <c r="I1249">
        <v>4.47</v>
      </c>
      <c r="J1249" t="s">
        <v>2620</v>
      </c>
      <c r="K1249" t="s">
        <v>28</v>
      </c>
      <c r="L1249">
        <v>322</v>
      </c>
      <c r="M1249">
        <v>2003</v>
      </c>
      <c r="N1249">
        <v>1954</v>
      </c>
      <c r="P1249" s="1">
        <v>43610</v>
      </c>
      <c r="Q1249" t="s">
        <v>35</v>
      </c>
      <c r="R1249" t="s">
        <v>2621</v>
      </c>
      <c r="S1249" t="s">
        <v>35</v>
      </c>
      <c r="W1249">
        <v>0</v>
      </c>
      <c r="X1249">
        <v>0</v>
      </c>
    </row>
    <row r="1250" spans="1:24" x14ac:dyDescent="0.25">
      <c r="A1250">
        <v>18512</v>
      </c>
      <c r="B1250" t="s">
        <v>2622</v>
      </c>
      <c r="C1250" t="s">
        <v>2617</v>
      </c>
      <c r="D1250" t="s">
        <v>2618</v>
      </c>
      <c r="E1250" t="s">
        <v>2623</v>
      </c>
      <c r="F1250" t="str">
        <f>""</f>
        <v/>
      </c>
      <c r="G1250" t="str">
        <f>""</f>
        <v/>
      </c>
      <c r="H1250">
        <v>0</v>
      </c>
      <c r="I1250">
        <v>4.55</v>
      </c>
      <c r="J1250" t="s">
        <v>691</v>
      </c>
      <c r="K1250" t="s">
        <v>207</v>
      </c>
      <c r="L1250">
        <v>404</v>
      </c>
      <c r="M1250">
        <v>2003</v>
      </c>
      <c r="N1250">
        <v>1955</v>
      </c>
      <c r="P1250" s="1">
        <v>43610</v>
      </c>
      <c r="Q1250" t="s">
        <v>35</v>
      </c>
      <c r="R1250" t="s">
        <v>2624</v>
      </c>
      <c r="S1250" t="s">
        <v>35</v>
      </c>
      <c r="W1250">
        <v>0</v>
      </c>
      <c r="X1250">
        <v>0</v>
      </c>
    </row>
    <row r="1251" spans="1:24" x14ac:dyDescent="0.25">
      <c r="A1251">
        <v>7604</v>
      </c>
      <c r="B1251" t="s">
        <v>2625</v>
      </c>
      <c r="C1251" t="s">
        <v>2626</v>
      </c>
      <c r="D1251" t="s">
        <v>2627</v>
      </c>
      <c r="E1251" t="s">
        <v>2628</v>
      </c>
      <c r="F1251" t="str">
        <f>""</f>
        <v/>
      </c>
      <c r="G1251" t="str">
        <f>""</f>
        <v/>
      </c>
      <c r="H1251">
        <v>0</v>
      </c>
      <c r="I1251">
        <v>3.88</v>
      </c>
      <c r="J1251" t="s">
        <v>316</v>
      </c>
      <c r="K1251" t="s">
        <v>28</v>
      </c>
      <c r="L1251">
        <v>331</v>
      </c>
      <c r="M1251">
        <v>1995</v>
      </c>
      <c r="N1251">
        <v>1955</v>
      </c>
      <c r="P1251" s="1">
        <v>43610</v>
      </c>
      <c r="Q1251" t="s">
        <v>35</v>
      </c>
      <c r="R1251" t="s">
        <v>2629</v>
      </c>
      <c r="S1251" t="s">
        <v>35</v>
      </c>
      <c r="W1251">
        <v>0</v>
      </c>
      <c r="X1251">
        <v>0</v>
      </c>
    </row>
    <row r="1252" spans="1:24" x14ac:dyDescent="0.25">
      <c r="A1252">
        <v>34</v>
      </c>
      <c r="B1252" t="s">
        <v>2630</v>
      </c>
      <c r="C1252" t="s">
        <v>2617</v>
      </c>
      <c r="D1252" t="s">
        <v>2618</v>
      </c>
      <c r="E1252" t="s">
        <v>2631</v>
      </c>
      <c r="F1252" t="str">
        <f>"0618346252"</f>
        <v>0618346252</v>
      </c>
      <c r="G1252" t="str">
        <f>"9780618346257"</f>
        <v>9780618346257</v>
      </c>
      <c r="H1252">
        <v>0</v>
      </c>
      <c r="I1252">
        <v>4.38</v>
      </c>
      <c r="J1252" t="s">
        <v>1737</v>
      </c>
      <c r="K1252" t="s">
        <v>28</v>
      </c>
      <c r="L1252">
        <v>398</v>
      </c>
      <c r="M1252">
        <v>2003</v>
      </c>
      <c r="N1252">
        <v>1954</v>
      </c>
      <c r="P1252" s="1">
        <v>43610</v>
      </c>
      <c r="Q1252" t="s">
        <v>35</v>
      </c>
      <c r="R1252" t="s">
        <v>2632</v>
      </c>
      <c r="S1252" t="s">
        <v>35</v>
      </c>
      <c r="W1252">
        <v>0</v>
      </c>
      <c r="X1252">
        <v>0</v>
      </c>
    </row>
    <row r="1253" spans="1:24" x14ac:dyDescent="0.25">
      <c r="A1253">
        <v>24213</v>
      </c>
      <c r="B1253" t="s">
        <v>2633</v>
      </c>
      <c r="C1253" t="s">
        <v>2116</v>
      </c>
      <c r="D1253" t="s">
        <v>2117</v>
      </c>
      <c r="E1253" t="s">
        <v>2634</v>
      </c>
      <c r="F1253" t="str">
        <f>"0451527747"</f>
        <v>0451527747</v>
      </c>
      <c r="G1253" t="str">
        <f>"9780451527745"</f>
        <v>9780451527745</v>
      </c>
      <c r="H1253">
        <v>0</v>
      </c>
      <c r="I1253">
        <v>4.07</v>
      </c>
      <c r="J1253" t="s">
        <v>2635</v>
      </c>
      <c r="K1253" t="s">
        <v>28</v>
      </c>
      <c r="L1253">
        <v>239</v>
      </c>
      <c r="M1253">
        <v>2000</v>
      </c>
      <c r="N1253">
        <v>1871</v>
      </c>
      <c r="P1253" s="1">
        <v>43610</v>
      </c>
      <c r="Q1253" t="s">
        <v>35</v>
      </c>
      <c r="R1253" t="s">
        <v>2636</v>
      </c>
      <c r="S1253" t="s">
        <v>35</v>
      </c>
      <c r="W1253">
        <v>0</v>
      </c>
      <c r="X1253">
        <v>0</v>
      </c>
    </row>
    <row r="1254" spans="1:24" x14ac:dyDescent="0.25">
      <c r="A1254">
        <v>5907</v>
      </c>
      <c r="B1254" t="s">
        <v>2637</v>
      </c>
      <c r="C1254" t="s">
        <v>2617</v>
      </c>
      <c r="D1254" t="s">
        <v>2618</v>
      </c>
      <c r="E1254" t="s">
        <v>2638</v>
      </c>
      <c r="F1254" t="str">
        <f>""</f>
        <v/>
      </c>
      <c r="G1254" t="str">
        <f>""</f>
        <v/>
      </c>
      <c r="H1254">
        <v>0</v>
      </c>
      <c r="I1254">
        <v>4.28</v>
      </c>
      <c r="J1254" t="s">
        <v>2620</v>
      </c>
      <c r="K1254" t="s">
        <v>28</v>
      </c>
      <c r="L1254">
        <v>366</v>
      </c>
      <c r="M1254">
        <v>2002</v>
      </c>
      <c r="N1254">
        <v>1937</v>
      </c>
      <c r="P1254" s="1">
        <v>43610</v>
      </c>
      <c r="Q1254" t="s">
        <v>35</v>
      </c>
      <c r="R1254" t="s">
        <v>2639</v>
      </c>
      <c r="S1254" t="s">
        <v>35</v>
      </c>
      <c r="W1254">
        <v>0</v>
      </c>
      <c r="X1254">
        <v>0</v>
      </c>
    </row>
    <row r="1255" spans="1:24" x14ac:dyDescent="0.25">
      <c r="A1255">
        <v>33</v>
      </c>
      <c r="B1255" t="s">
        <v>2640</v>
      </c>
      <c r="C1255" t="s">
        <v>2617</v>
      </c>
      <c r="D1255" t="s">
        <v>2618</v>
      </c>
      <c r="F1255" t="str">
        <f>""</f>
        <v/>
      </c>
      <c r="G1255" t="str">
        <f>""</f>
        <v/>
      </c>
      <c r="H1255">
        <v>0</v>
      </c>
      <c r="I1255">
        <v>4.5199999999999996</v>
      </c>
      <c r="J1255" t="s">
        <v>1737</v>
      </c>
      <c r="K1255" t="s">
        <v>28</v>
      </c>
      <c r="L1255">
        <v>1216</v>
      </c>
      <c r="M1255">
        <v>2005</v>
      </c>
      <c r="N1255">
        <v>1955</v>
      </c>
      <c r="P1255" s="1">
        <v>43610</v>
      </c>
      <c r="Q1255" t="s">
        <v>35</v>
      </c>
      <c r="R1255" t="s">
        <v>2641</v>
      </c>
      <c r="S1255" t="s">
        <v>35</v>
      </c>
      <c r="W1255">
        <v>0</v>
      </c>
      <c r="X1255">
        <v>0</v>
      </c>
    </row>
    <row r="1256" spans="1:24" x14ac:dyDescent="0.25">
      <c r="A1256">
        <v>6043781</v>
      </c>
      <c r="B1256" t="s">
        <v>2642</v>
      </c>
      <c r="C1256" t="s">
        <v>2594</v>
      </c>
      <c r="D1256" t="s">
        <v>2595</v>
      </c>
      <c r="E1256" t="s">
        <v>2643</v>
      </c>
      <c r="F1256" t="str">
        <f>"031602919X"</f>
        <v>031602919X</v>
      </c>
      <c r="G1256" t="str">
        <f>"9780316029193"</f>
        <v>9780316029193</v>
      </c>
      <c r="H1256">
        <v>5</v>
      </c>
      <c r="I1256">
        <v>4.0999999999999996</v>
      </c>
      <c r="J1256" t="s">
        <v>2644</v>
      </c>
      <c r="K1256" t="s">
        <v>207</v>
      </c>
      <c r="L1256">
        <v>398</v>
      </c>
      <c r="M1256">
        <v>2009</v>
      </c>
      <c r="N1256">
        <v>1994</v>
      </c>
      <c r="O1256" s="1">
        <v>43609</v>
      </c>
      <c r="P1256" s="1">
        <v>43606</v>
      </c>
      <c r="S1256" t="s">
        <v>29</v>
      </c>
      <c r="W1256">
        <v>1</v>
      </c>
      <c r="X1256">
        <v>0</v>
      </c>
    </row>
    <row r="1257" spans="1:24" x14ac:dyDescent="0.25">
      <c r="A1257">
        <v>28257707</v>
      </c>
      <c r="B1257" t="s">
        <v>2645</v>
      </c>
      <c r="C1257" t="s">
        <v>2103</v>
      </c>
      <c r="D1257" t="s">
        <v>2646</v>
      </c>
      <c r="F1257" t="str">
        <f>""</f>
        <v/>
      </c>
      <c r="G1257" t="str">
        <f>""</f>
        <v/>
      </c>
      <c r="H1257">
        <v>4</v>
      </c>
      <c r="I1257">
        <v>3.91</v>
      </c>
      <c r="J1257" t="s">
        <v>2246</v>
      </c>
      <c r="K1257" t="s">
        <v>28</v>
      </c>
      <c r="L1257">
        <v>212</v>
      </c>
      <c r="M1257">
        <v>2016</v>
      </c>
      <c r="N1257">
        <v>2016</v>
      </c>
      <c r="O1257" s="1">
        <v>43606</v>
      </c>
      <c r="P1257" s="1">
        <v>43606</v>
      </c>
      <c r="S1257" t="s">
        <v>29</v>
      </c>
      <c r="W1257">
        <v>1</v>
      </c>
      <c r="X1257">
        <v>0</v>
      </c>
    </row>
    <row r="1258" spans="1:24" x14ac:dyDescent="0.25">
      <c r="A1258">
        <v>18215192</v>
      </c>
      <c r="B1258" t="s">
        <v>2647</v>
      </c>
      <c r="C1258" t="s">
        <v>2594</v>
      </c>
      <c r="D1258" t="s">
        <v>2595</v>
      </c>
      <c r="E1258" t="s">
        <v>2596</v>
      </c>
      <c r="F1258" t="str">
        <f>"1473211530"</f>
        <v>1473211530</v>
      </c>
      <c r="G1258" t="str">
        <f>"9781473211537"</f>
        <v>9781473211537</v>
      </c>
      <c r="H1258">
        <v>5</v>
      </c>
      <c r="I1258">
        <v>4.28</v>
      </c>
      <c r="J1258" t="s">
        <v>482</v>
      </c>
      <c r="K1258" t="s">
        <v>28</v>
      </c>
      <c r="L1258">
        <v>384</v>
      </c>
      <c r="M1258">
        <v>2015</v>
      </c>
      <c r="N1258">
        <v>1992</v>
      </c>
      <c r="O1258" s="1">
        <v>43604</v>
      </c>
      <c r="P1258" s="1">
        <v>43600</v>
      </c>
      <c r="S1258" t="s">
        <v>29</v>
      </c>
      <c r="W1258">
        <v>1</v>
      </c>
      <c r="X1258">
        <v>0</v>
      </c>
    </row>
    <row r="1259" spans="1:24" x14ac:dyDescent="0.25">
      <c r="A1259">
        <v>35617334</v>
      </c>
      <c r="B1259" t="s">
        <v>2648</v>
      </c>
      <c r="C1259" t="s">
        <v>1775</v>
      </c>
      <c r="D1259" t="s">
        <v>1776</v>
      </c>
      <c r="E1259" t="s">
        <v>2649</v>
      </c>
      <c r="F1259" t="str">
        <f>""</f>
        <v/>
      </c>
      <c r="G1259" t="str">
        <f>""</f>
        <v/>
      </c>
      <c r="H1259">
        <v>5</v>
      </c>
      <c r="I1259">
        <v>4.3</v>
      </c>
      <c r="J1259" t="s">
        <v>1777</v>
      </c>
      <c r="K1259" t="s">
        <v>133</v>
      </c>
      <c r="L1259">
        <v>147</v>
      </c>
      <c r="M1259">
        <v>2017</v>
      </c>
      <c r="O1259" s="1">
        <v>43599</v>
      </c>
      <c r="P1259" s="1">
        <v>43592</v>
      </c>
      <c r="S1259" t="s">
        <v>29</v>
      </c>
      <c r="W1259">
        <v>1</v>
      </c>
      <c r="X1259">
        <v>0</v>
      </c>
    </row>
    <row r="1260" spans="1:24" x14ac:dyDescent="0.25">
      <c r="A1260">
        <v>35263109</v>
      </c>
      <c r="B1260" t="s">
        <v>2650</v>
      </c>
      <c r="C1260" t="s">
        <v>2651</v>
      </c>
      <c r="D1260" t="s">
        <v>2652</v>
      </c>
      <c r="F1260" t="str">
        <f>""</f>
        <v/>
      </c>
      <c r="G1260" t="str">
        <f>""</f>
        <v/>
      </c>
      <c r="H1260">
        <v>0</v>
      </c>
      <c r="I1260">
        <v>3.84</v>
      </c>
      <c r="J1260" t="s">
        <v>1990</v>
      </c>
      <c r="K1260" t="s">
        <v>133</v>
      </c>
      <c r="L1260">
        <v>218</v>
      </c>
      <c r="M1260">
        <v>2017</v>
      </c>
      <c r="N1260">
        <v>2016</v>
      </c>
      <c r="P1260" s="1">
        <v>43598</v>
      </c>
      <c r="Q1260" t="s">
        <v>35</v>
      </c>
      <c r="R1260" t="s">
        <v>2653</v>
      </c>
      <c r="S1260" t="s">
        <v>35</v>
      </c>
      <c r="W1260">
        <v>0</v>
      </c>
      <c r="X1260">
        <v>0</v>
      </c>
    </row>
    <row r="1261" spans="1:24" x14ac:dyDescent="0.25">
      <c r="A1261">
        <v>40603587</v>
      </c>
      <c r="B1261" t="s">
        <v>2654</v>
      </c>
      <c r="C1261" t="s">
        <v>2594</v>
      </c>
      <c r="D1261" t="s">
        <v>2595</v>
      </c>
      <c r="E1261" t="s">
        <v>2643</v>
      </c>
      <c r="F1261" t="str">
        <f>""</f>
        <v/>
      </c>
      <c r="G1261" t="str">
        <f>""</f>
        <v/>
      </c>
      <c r="H1261">
        <v>5</v>
      </c>
      <c r="I1261">
        <v>4.1399999999999997</v>
      </c>
      <c r="J1261" t="s">
        <v>674</v>
      </c>
      <c r="K1261" t="s">
        <v>133</v>
      </c>
      <c r="L1261">
        <v>400</v>
      </c>
      <c r="M1261">
        <v>2008</v>
      </c>
      <c r="N1261">
        <v>1993</v>
      </c>
      <c r="O1261" s="1">
        <v>43595</v>
      </c>
      <c r="P1261" s="1">
        <v>43595</v>
      </c>
      <c r="S1261" t="s">
        <v>29</v>
      </c>
      <c r="W1261">
        <v>1</v>
      </c>
      <c r="X1261">
        <v>0</v>
      </c>
    </row>
    <row r="1262" spans="1:24" x14ac:dyDescent="0.25">
      <c r="A1262">
        <v>96563</v>
      </c>
      <c r="B1262" t="s">
        <v>2655</v>
      </c>
      <c r="C1262" t="s">
        <v>2656</v>
      </c>
      <c r="D1262" t="s">
        <v>2657</v>
      </c>
      <c r="F1262" t="str">
        <f>"0385517475"</f>
        <v>0385517475</v>
      </c>
      <c r="G1262" t="str">
        <f>"9780385517478"</f>
        <v>9780385517478</v>
      </c>
      <c r="H1262">
        <v>0</v>
      </c>
      <c r="I1262">
        <v>4</v>
      </c>
      <c r="J1262" t="s">
        <v>2568</v>
      </c>
      <c r="K1262" t="s">
        <v>34</v>
      </c>
      <c r="L1262">
        <v>128</v>
      </c>
      <c r="M1262">
        <v>2006</v>
      </c>
      <c r="N1262">
        <v>2006</v>
      </c>
      <c r="P1262" s="1">
        <v>43591</v>
      </c>
      <c r="Q1262" t="s">
        <v>35</v>
      </c>
      <c r="R1262" t="s">
        <v>2658</v>
      </c>
      <c r="S1262" t="s">
        <v>35</v>
      </c>
      <c r="W1262">
        <v>0</v>
      </c>
      <c r="X1262">
        <v>0</v>
      </c>
    </row>
    <row r="1263" spans="1:24" x14ac:dyDescent="0.25">
      <c r="A1263">
        <v>36071</v>
      </c>
      <c r="B1263" t="s">
        <v>2659</v>
      </c>
      <c r="C1263" t="s">
        <v>2399</v>
      </c>
      <c r="D1263" t="s">
        <v>2400</v>
      </c>
      <c r="E1263" t="s">
        <v>2660</v>
      </c>
      <c r="F1263" t="str">
        <f>"0684802031"</f>
        <v>0684802031</v>
      </c>
      <c r="G1263" t="str">
        <f>"9780684802039"</f>
        <v>9780684802039</v>
      </c>
      <c r="H1263">
        <v>0</v>
      </c>
      <c r="I1263">
        <v>4.0999999999999996</v>
      </c>
      <c r="J1263" t="s">
        <v>2661</v>
      </c>
      <c r="K1263" t="s">
        <v>28</v>
      </c>
      <c r="L1263">
        <v>384</v>
      </c>
      <c r="M1263">
        <v>1996</v>
      </c>
      <c r="N1263">
        <v>1993</v>
      </c>
      <c r="P1263" s="1">
        <v>43591</v>
      </c>
      <c r="Q1263" t="s">
        <v>35</v>
      </c>
      <c r="R1263" t="s">
        <v>2662</v>
      </c>
      <c r="S1263" t="s">
        <v>35</v>
      </c>
      <c r="W1263">
        <v>0</v>
      </c>
      <c r="X1263">
        <v>0</v>
      </c>
    </row>
    <row r="1264" spans="1:24" x14ac:dyDescent="0.25">
      <c r="A1264">
        <v>95887</v>
      </c>
      <c r="B1264" t="s">
        <v>2663</v>
      </c>
      <c r="C1264" t="s">
        <v>2584</v>
      </c>
      <c r="D1264" t="s">
        <v>2585</v>
      </c>
      <c r="F1264" t="str">
        <f>"1576754227"</f>
        <v>1576754227</v>
      </c>
      <c r="G1264" t="str">
        <f>"9781576754221"</f>
        <v>9781576754221</v>
      </c>
      <c r="H1264">
        <v>0</v>
      </c>
      <c r="I1264">
        <v>3.87</v>
      </c>
      <c r="J1264" t="s">
        <v>2664</v>
      </c>
      <c r="K1264" t="s">
        <v>28</v>
      </c>
      <c r="L1264">
        <v>128</v>
      </c>
      <c r="M1264">
        <v>2007</v>
      </c>
      <c r="N1264">
        <v>2001</v>
      </c>
      <c r="P1264" s="1">
        <v>43591</v>
      </c>
      <c r="Q1264" t="s">
        <v>35</v>
      </c>
      <c r="R1264" t="s">
        <v>2665</v>
      </c>
      <c r="S1264" t="s">
        <v>35</v>
      </c>
      <c r="W1264">
        <v>0</v>
      </c>
      <c r="X1264">
        <v>0</v>
      </c>
    </row>
    <row r="1265" spans="1:24" x14ac:dyDescent="0.25">
      <c r="A1265">
        <v>13543633</v>
      </c>
      <c r="B1265" t="s">
        <v>2666</v>
      </c>
      <c r="C1265" t="s">
        <v>2667</v>
      </c>
      <c r="D1265" t="s">
        <v>2668</v>
      </c>
      <c r="F1265" t="str">
        <f>""</f>
        <v/>
      </c>
      <c r="G1265" t="str">
        <f>"9786144290231"</f>
        <v>9786144290231</v>
      </c>
      <c r="H1265">
        <v>0</v>
      </c>
      <c r="I1265">
        <v>3.82</v>
      </c>
      <c r="J1265" t="s">
        <v>2669</v>
      </c>
      <c r="K1265" t="s">
        <v>28</v>
      </c>
      <c r="L1265">
        <v>125</v>
      </c>
      <c r="M1265">
        <v>2012</v>
      </c>
      <c r="N1265">
        <v>2012</v>
      </c>
      <c r="P1265" s="1">
        <v>43587</v>
      </c>
      <c r="Q1265" t="s">
        <v>35</v>
      </c>
      <c r="R1265" t="s">
        <v>2670</v>
      </c>
      <c r="S1265" t="s">
        <v>35</v>
      </c>
      <c r="W1265">
        <v>0</v>
      </c>
      <c r="X1265">
        <v>0</v>
      </c>
    </row>
    <row r="1266" spans="1:24" x14ac:dyDescent="0.25">
      <c r="A1266">
        <v>36796177</v>
      </c>
      <c r="B1266" t="s">
        <v>2671</v>
      </c>
      <c r="C1266" t="s">
        <v>2672</v>
      </c>
      <c r="D1266" t="s">
        <v>2673</v>
      </c>
      <c r="F1266" t="str">
        <f>"0730352196"</f>
        <v>0730352196</v>
      </c>
      <c r="G1266" t="str">
        <f>"9780730352198"</f>
        <v>9780730352198</v>
      </c>
      <c r="H1266">
        <v>0</v>
      </c>
      <c r="I1266">
        <v>4.07</v>
      </c>
      <c r="J1266" t="s">
        <v>78</v>
      </c>
      <c r="K1266" t="s">
        <v>28</v>
      </c>
      <c r="L1266">
        <v>208</v>
      </c>
      <c r="M1266">
        <v>2018</v>
      </c>
      <c r="P1266" s="1">
        <v>43568</v>
      </c>
      <c r="Q1266" t="s">
        <v>35</v>
      </c>
      <c r="R1266" t="s">
        <v>2674</v>
      </c>
      <c r="S1266" t="s">
        <v>35</v>
      </c>
      <c r="W1266">
        <v>0</v>
      </c>
      <c r="X1266">
        <v>0</v>
      </c>
    </row>
    <row r="1267" spans="1:24" x14ac:dyDescent="0.25">
      <c r="A1267">
        <v>320</v>
      </c>
      <c r="B1267" t="s">
        <v>2675</v>
      </c>
      <c r="C1267" t="s">
        <v>2676</v>
      </c>
      <c r="D1267" t="s">
        <v>2677</v>
      </c>
      <c r="E1267" t="s">
        <v>2678</v>
      </c>
      <c r="F1267" t="str">
        <f>""</f>
        <v/>
      </c>
      <c r="G1267" t="str">
        <f>""</f>
        <v/>
      </c>
      <c r="H1267">
        <v>0</v>
      </c>
      <c r="I1267">
        <v>4.0999999999999996</v>
      </c>
      <c r="J1267" t="s">
        <v>2246</v>
      </c>
      <c r="K1267" t="s">
        <v>207</v>
      </c>
      <c r="L1267">
        <v>417</v>
      </c>
      <c r="M1267">
        <v>2003</v>
      </c>
      <c r="N1267">
        <v>1967</v>
      </c>
      <c r="P1267" s="1">
        <v>43344</v>
      </c>
      <c r="Q1267" t="s">
        <v>35</v>
      </c>
      <c r="R1267" t="s">
        <v>2679</v>
      </c>
      <c r="S1267" t="s">
        <v>35</v>
      </c>
      <c r="W1267">
        <v>0</v>
      </c>
      <c r="X1267">
        <v>0</v>
      </c>
    </row>
    <row r="1268" spans="1:24" x14ac:dyDescent="0.25">
      <c r="A1268">
        <v>23258980</v>
      </c>
      <c r="B1268" t="s">
        <v>2680</v>
      </c>
      <c r="C1268" t="s">
        <v>2681</v>
      </c>
      <c r="D1268" t="s">
        <v>2682</v>
      </c>
      <c r="F1268" t="str">
        <f>"1633690199"</f>
        <v>1633690199</v>
      </c>
      <c r="G1268" t="str">
        <f>"9781633690196"</f>
        <v>9781633690196</v>
      </c>
      <c r="H1268">
        <v>0</v>
      </c>
      <c r="I1268">
        <v>3.95</v>
      </c>
      <c r="J1268" t="s">
        <v>1979</v>
      </c>
      <c r="K1268" t="s">
        <v>28</v>
      </c>
      <c r="L1268">
        <v>166</v>
      </c>
      <c r="M1268">
        <v>2015</v>
      </c>
      <c r="N1268">
        <v>2015</v>
      </c>
      <c r="P1268" s="1">
        <v>43322</v>
      </c>
      <c r="Q1268" t="s">
        <v>35</v>
      </c>
      <c r="R1268" t="s">
        <v>2683</v>
      </c>
      <c r="S1268" t="s">
        <v>35</v>
      </c>
      <c r="W1268">
        <v>0</v>
      </c>
      <c r="X1268">
        <v>0</v>
      </c>
    </row>
    <row r="1269" spans="1:24" x14ac:dyDescent="0.25">
      <c r="A1269">
        <v>30202539</v>
      </c>
      <c r="B1269" t="s">
        <v>2684</v>
      </c>
      <c r="C1269" t="s">
        <v>2685</v>
      </c>
      <c r="D1269" t="s">
        <v>2686</v>
      </c>
      <c r="F1269" t="str">
        <f>"1259860353"</f>
        <v>1259860353</v>
      </c>
      <c r="G1269" t="str">
        <f>"9781259860355"</f>
        <v>9781259860355</v>
      </c>
      <c r="H1269">
        <v>0</v>
      </c>
      <c r="I1269">
        <v>4.0599999999999996</v>
      </c>
      <c r="J1269" t="s">
        <v>72</v>
      </c>
      <c r="K1269" t="s">
        <v>34</v>
      </c>
      <c r="L1269">
        <v>320</v>
      </c>
      <c r="M1269">
        <v>2017</v>
      </c>
      <c r="N1269">
        <v>2017</v>
      </c>
      <c r="P1269" s="1">
        <v>43322</v>
      </c>
      <c r="Q1269" t="s">
        <v>35</v>
      </c>
      <c r="R1269" t="s">
        <v>2687</v>
      </c>
      <c r="S1269" t="s">
        <v>35</v>
      </c>
      <c r="W1269">
        <v>0</v>
      </c>
      <c r="X1269">
        <v>0</v>
      </c>
    </row>
    <row r="1270" spans="1:24" x14ac:dyDescent="0.25">
      <c r="A1270">
        <v>7108725</v>
      </c>
      <c r="B1270" t="s">
        <v>2688</v>
      </c>
      <c r="C1270" t="s">
        <v>1876</v>
      </c>
      <c r="D1270" t="s">
        <v>1877</v>
      </c>
      <c r="F1270" t="str">
        <f>"1591842808"</f>
        <v>1591842808</v>
      </c>
      <c r="G1270" t="str">
        <f>"9781591842804"</f>
        <v>9781591842804</v>
      </c>
      <c r="H1270">
        <v>0</v>
      </c>
      <c r="I1270">
        <v>4.0999999999999996</v>
      </c>
      <c r="J1270" t="s">
        <v>966</v>
      </c>
      <c r="K1270" t="s">
        <v>34</v>
      </c>
      <c r="L1270">
        <v>256</v>
      </c>
      <c r="M1270">
        <v>2009</v>
      </c>
      <c r="N1270">
        <v>2009</v>
      </c>
      <c r="P1270" s="1">
        <v>43322</v>
      </c>
      <c r="Q1270" t="s">
        <v>35</v>
      </c>
      <c r="R1270" t="s">
        <v>2689</v>
      </c>
      <c r="S1270" t="s">
        <v>35</v>
      </c>
      <c r="W1270">
        <v>0</v>
      </c>
      <c r="X1270">
        <v>0</v>
      </c>
    </row>
    <row r="1271" spans="1:24" x14ac:dyDescent="0.25">
      <c r="A1271">
        <v>30257963</v>
      </c>
      <c r="B1271" t="s">
        <v>2690</v>
      </c>
      <c r="C1271" t="s">
        <v>2691</v>
      </c>
      <c r="D1271" t="s">
        <v>2692</v>
      </c>
      <c r="E1271" t="s">
        <v>2693</v>
      </c>
      <c r="F1271" t="str">
        <f>"0345816021"</f>
        <v>0345816021</v>
      </c>
      <c r="G1271" t="str">
        <f>"9780345816023"</f>
        <v>9780345816023</v>
      </c>
      <c r="H1271">
        <v>0</v>
      </c>
      <c r="I1271">
        <v>3.93</v>
      </c>
      <c r="J1271" t="s">
        <v>2694</v>
      </c>
      <c r="K1271" t="s">
        <v>34</v>
      </c>
      <c r="L1271">
        <v>409</v>
      </c>
      <c r="M1271">
        <v>2018</v>
      </c>
      <c r="N1271">
        <v>2018</v>
      </c>
      <c r="P1271" s="1">
        <v>43322</v>
      </c>
      <c r="Q1271" t="s">
        <v>35</v>
      </c>
      <c r="R1271" t="s">
        <v>2695</v>
      </c>
      <c r="S1271" t="s">
        <v>35</v>
      </c>
      <c r="W1271">
        <v>0</v>
      </c>
      <c r="X1271">
        <v>0</v>
      </c>
    </row>
    <row r="1272" spans="1:24" x14ac:dyDescent="0.25">
      <c r="A1272">
        <v>2700935</v>
      </c>
      <c r="B1272" t="s">
        <v>2696</v>
      </c>
      <c r="C1272" t="s">
        <v>2124</v>
      </c>
      <c r="D1272" t="s">
        <v>2125</v>
      </c>
      <c r="E1272" t="s">
        <v>2697</v>
      </c>
      <c r="F1272" t="str">
        <f>"0856920355"</f>
        <v>0856920355</v>
      </c>
      <c r="G1272" t="str">
        <f>"9780856920356"</f>
        <v>9780856920356</v>
      </c>
      <c r="H1272">
        <v>0</v>
      </c>
      <c r="I1272">
        <v>3.69</v>
      </c>
      <c r="J1272" t="s">
        <v>2698</v>
      </c>
      <c r="K1272" t="s">
        <v>34</v>
      </c>
      <c r="L1272">
        <v>353</v>
      </c>
      <c r="P1272" s="1">
        <v>43322</v>
      </c>
      <c r="Q1272" t="s">
        <v>35</v>
      </c>
      <c r="R1272" t="s">
        <v>2699</v>
      </c>
      <c r="S1272" t="s">
        <v>35</v>
      </c>
      <c r="W1272">
        <v>0</v>
      </c>
      <c r="X1272">
        <v>0</v>
      </c>
    </row>
    <row r="1273" spans="1:24" x14ac:dyDescent="0.25">
      <c r="A1273">
        <v>8445273</v>
      </c>
      <c r="B1273" t="s">
        <v>2700</v>
      </c>
      <c r="C1273" t="s">
        <v>2701</v>
      </c>
      <c r="D1273" t="s">
        <v>2702</v>
      </c>
      <c r="F1273" t="str">
        <f>"0979777763"</f>
        <v>0979777763</v>
      </c>
      <c r="G1273" t="str">
        <f>"9780979777769"</f>
        <v>9780979777769</v>
      </c>
      <c r="H1273">
        <v>0</v>
      </c>
      <c r="I1273">
        <v>4.3</v>
      </c>
      <c r="J1273" t="s">
        <v>2703</v>
      </c>
      <c r="K1273" t="s">
        <v>382</v>
      </c>
      <c r="L1273">
        <v>305</v>
      </c>
      <c r="M1273">
        <v>2010</v>
      </c>
      <c r="N1273">
        <v>2010</v>
      </c>
      <c r="P1273" s="1">
        <v>43322</v>
      </c>
      <c r="Q1273" t="s">
        <v>35</v>
      </c>
      <c r="R1273" t="s">
        <v>2704</v>
      </c>
      <c r="S1273" t="s">
        <v>35</v>
      </c>
      <c r="W1273">
        <v>0</v>
      </c>
      <c r="X1273">
        <v>0</v>
      </c>
    </row>
    <row r="1274" spans="1:24" x14ac:dyDescent="0.25">
      <c r="A1274">
        <v>99315</v>
      </c>
      <c r="B1274" t="s">
        <v>2705</v>
      </c>
      <c r="C1274" t="s">
        <v>2706</v>
      </c>
      <c r="D1274" t="s">
        <v>2707</v>
      </c>
      <c r="F1274" t="str">
        <f>"1594481717"</f>
        <v>1594481717</v>
      </c>
      <c r="G1274" t="str">
        <f>"9781594481710"</f>
        <v>9781594481710</v>
      </c>
      <c r="H1274">
        <v>0</v>
      </c>
      <c r="I1274">
        <v>3.91</v>
      </c>
      <c r="J1274" t="s">
        <v>1378</v>
      </c>
      <c r="K1274" t="s">
        <v>28</v>
      </c>
      <c r="L1274">
        <v>275</v>
      </c>
      <c r="M1274">
        <v>2006</v>
      </c>
      <c r="N1274">
        <v>2004</v>
      </c>
      <c r="P1274" s="1">
        <v>43322</v>
      </c>
      <c r="Q1274" t="s">
        <v>35</v>
      </c>
      <c r="R1274" t="s">
        <v>2708</v>
      </c>
      <c r="S1274" t="s">
        <v>35</v>
      </c>
      <c r="W1274">
        <v>0</v>
      </c>
      <c r="X1274">
        <v>0</v>
      </c>
    </row>
    <row r="1275" spans="1:24" x14ac:dyDescent="0.25">
      <c r="A1275">
        <v>737295</v>
      </c>
      <c r="B1275" t="s">
        <v>2709</v>
      </c>
      <c r="C1275" t="s">
        <v>2710</v>
      </c>
      <c r="D1275" t="s">
        <v>2711</v>
      </c>
      <c r="E1275" t="s">
        <v>2712</v>
      </c>
      <c r="F1275" t="str">
        <f>"0321354745"</f>
        <v>0321354745</v>
      </c>
      <c r="G1275" t="str">
        <f>"9780321354747"</f>
        <v>9780321354747</v>
      </c>
      <c r="H1275">
        <v>0</v>
      </c>
      <c r="I1275">
        <v>3.82</v>
      </c>
      <c r="J1275" t="s">
        <v>2713</v>
      </c>
      <c r="K1275" t="s">
        <v>28</v>
      </c>
      <c r="L1275">
        <v>597</v>
      </c>
      <c r="M1275">
        <v>2005</v>
      </c>
      <c r="N1275">
        <v>1993</v>
      </c>
      <c r="P1275" s="1">
        <v>43288</v>
      </c>
      <c r="Q1275" t="s">
        <v>35</v>
      </c>
      <c r="R1275" t="s">
        <v>2714</v>
      </c>
      <c r="S1275" t="s">
        <v>35</v>
      </c>
      <c r="W1275">
        <v>0</v>
      </c>
      <c r="X1275">
        <v>0</v>
      </c>
    </row>
    <row r="1276" spans="1:24" x14ac:dyDescent="0.25">
      <c r="A1276">
        <v>8520610</v>
      </c>
      <c r="B1276" t="s">
        <v>2715</v>
      </c>
      <c r="C1276" t="s">
        <v>2716</v>
      </c>
      <c r="D1276" t="s">
        <v>2717</v>
      </c>
      <c r="F1276" t="str">
        <f>"0307352145"</f>
        <v>0307352145</v>
      </c>
      <c r="G1276" t="str">
        <f>"9780307352149"</f>
        <v>9780307352149</v>
      </c>
      <c r="H1276">
        <v>0</v>
      </c>
      <c r="I1276">
        <v>4.07</v>
      </c>
      <c r="J1276" t="s">
        <v>2718</v>
      </c>
      <c r="K1276" t="s">
        <v>34</v>
      </c>
      <c r="L1276">
        <v>333</v>
      </c>
      <c r="M1276">
        <v>2012</v>
      </c>
      <c r="N1276">
        <v>2012</v>
      </c>
      <c r="P1276" s="1">
        <v>43281</v>
      </c>
      <c r="Q1276" t="s">
        <v>35</v>
      </c>
      <c r="R1276" t="s">
        <v>2719</v>
      </c>
      <c r="S1276" t="s">
        <v>35</v>
      </c>
      <c r="W1276">
        <v>0</v>
      </c>
      <c r="X1276">
        <v>0</v>
      </c>
    </row>
    <row r="1277" spans="1:24" x14ac:dyDescent="0.25">
      <c r="A1277">
        <v>98233</v>
      </c>
      <c r="B1277" t="s">
        <v>2720</v>
      </c>
      <c r="C1277" t="s">
        <v>2721</v>
      </c>
      <c r="D1277" t="s">
        <v>2722</v>
      </c>
      <c r="F1277" t="str">
        <f>"1590597141"</f>
        <v>1590597141</v>
      </c>
      <c r="G1277" t="str">
        <f>"9781590597149"</f>
        <v>9781590597149</v>
      </c>
      <c r="H1277">
        <v>0</v>
      </c>
      <c r="I1277">
        <v>3.98</v>
      </c>
      <c r="J1277" t="s">
        <v>2723</v>
      </c>
      <c r="K1277" t="s">
        <v>34</v>
      </c>
      <c r="L1277">
        <v>456</v>
      </c>
      <c r="M1277">
        <v>2007</v>
      </c>
      <c r="N1277">
        <v>2001</v>
      </c>
      <c r="P1277" s="1">
        <v>43281</v>
      </c>
      <c r="Q1277" t="s">
        <v>35</v>
      </c>
      <c r="R1277" t="s">
        <v>2724</v>
      </c>
      <c r="S1277" t="s">
        <v>35</v>
      </c>
      <c r="W1277">
        <v>0</v>
      </c>
      <c r="X1277">
        <v>0</v>
      </c>
    </row>
    <row r="1278" spans="1:24" x14ac:dyDescent="0.25">
      <c r="A1278">
        <v>368593</v>
      </c>
      <c r="B1278" t="s">
        <v>2725</v>
      </c>
      <c r="C1278" t="s">
        <v>1734</v>
      </c>
      <c r="D1278" t="s">
        <v>1735</v>
      </c>
      <c r="F1278" t="str">
        <f>"0307353133"</f>
        <v>0307353133</v>
      </c>
      <c r="G1278" t="str">
        <f>"9780307353139"</f>
        <v>9780307353139</v>
      </c>
      <c r="H1278">
        <v>0</v>
      </c>
      <c r="I1278">
        <v>3.92</v>
      </c>
      <c r="J1278" t="s">
        <v>2568</v>
      </c>
      <c r="K1278" t="s">
        <v>609</v>
      </c>
      <c r="L1278">
        <v>308</v>
      </c>
      <c r="M1278">
        <v>2007</v>
      </c>
      <c r="N1278">
        <v>2007</v>
      </c>
      <c r="P1278" s="1">
        <v>43281</v>
      </c>
      <c r="Q1278" t="s">
        <v>35</v>
      </c>
      <c r="R1278" t="s">
        <v>2726</v>
      </c>
      <c r="S1278" t="s">
        <v>35</v>
      </c>
      <c r="W1278">
        <v>0</v>
      </c>
      <c r="X1278">
        <v>0</v>
      </c>
    </row>
    <row r="1279" spans="1:24" x14ac:dyDescent="0.25">
      <c r="A1279">
        <v>11468377</v>
      </c>
      <c r="B1279" t="s">
        <v>2727</v>
      </c>
      <c r="C1279" t="s">
        <v>2728</v>
      </c>
      <c r="D1279" t="s">
        <v>2729</v>
      </c>
      <c r="F1279" t="str">
        <f>"0374275637"</f>
        <v>0374275637</v>
      </c>
      <c r="G1279" t="str">
        <f>"9780374275631"</f>
        <v>9780374275631</v>
      </c>
      <c r="H1279">
        <v>0</v>
      </c>
      <c r="I1279">
        <v>4.18</v>
      </c>
      <c r="J1279" t="s">
        <v>2730</v>
      </c>
      <c r="K1279" t="s">
        <v>34</v>
      </c>
      <c r="L1279">
        <v>499</v>
      </c>
      <c r="M1279">
        <v>2011</v>
      </c>
      <c r="N1279">
        <v>2011</v>
      </c>
      <c r="P1279" s="1">
        <v>43281</v>
      </c>
      <c r="Q1279" t="s">
        <v>35</v>
      </c>
      <c r="R1279" t="s">
        <v>2731</v>
      </c>
      <c r="S1279" t="s">
        <v>35</v>
      </c>
      <c r="W1279">
        <v>0</v>
      </c>
      <c r="X1279">
        <v>0</v>
      </c>
    </row>
    <row r="1280" spans="1:24" x14ac:dyDescent="0.25">
      <c r="A1280">
        <v>76865</v>
      </c>
      <c r="B1280" t="s">
        <v>2732</v>
      </c>
      <c r="C1280" t="s">
        <v>2733</v>
      </c>
      <c r="D1280" t="s">
        <v>2734</v>
      </c>
      <c r="F1280" t="str">
        <f>"0066620996"</f>
        <v>0066620996</v>
      </c>
      <c r="G1280" t="str">
        <f>"9780066620992"</f>
        <v>9780066620992</v>
      </c>
      <c r="H1280">
        <v>0</v>
      </c>
      <c r="I1280">
        <v>4.13</v>
      </c>
      <c r="J1280" t="s">
        <v>1271</v>
      </c>
      <c r="K1280" t="s">
        <v>34</v>
      </c>
      <c r="L1280">
        <v>300</v>
      </c>
      <c r="M1280">
        <v>2001</v>
      </c>
      <c r="N1280">
        <v>2001</v>
      </c>
      <c r="P1280" s="1">
        <v>43281</v>
      </c>
      <c r="Q1280" t="s">
        <v>35</v>
      </c>
      <c r="R1280" t="s">
        <v>2735</v>
      </c>
      <c r="S1280" t="s">
        <v>35</v>
      </c>
      <c r="W1280">
        <v>0</v>
      </c>
      <c r="X1280">
        <v>0</v>
      </c>
    </row>
    <row r="1281" spans="1:24" x14ac:dyDescent="0.25">
      <c r="A1281">
        <v>2678349</v>
      </c>
      <c r="B1281" t="s">
        <v>2736</v>
      </c>
      <c r="C1281" t="s">
        <v>113</v>
      </c>
      <c r="D1281" t="s">
        <v>114</v>
      </c>
      <c r="F1281" t="str">
        <f>""</f>
        <v/>
      </c>
      <c r="G1281" t="str">
        <f>""</f>
        <v/>
      </c>
      <c r="H1281">
        <v>0</v>
      </c>
      <c r="I1281">
        <v>4.1900000000000004</v>
      </c>
      <c r="J1281" t="s">
        <v>2737</v>
      </c>
      <c r="K1281" t="s">
        <v>34</v>
      </c>
      <c r="L1281">
        <v>480</v>
      </c>
      <c r="M1281">
        <v>2008</v>
      </c>
      <c r="N1281">
        <v>2006</v>
      </c>
      <c r="P1281" s="1">
        <v>43281</v>
      </c>
      <c r="Q1281" t="s">
        <v>35</v>
      </c>
      <c r="R1281" t="s">
        <v>2738</v>
      </c>
      <c r="S1281" t="s">
        <v>35</v>
      </c>
      <c r="W1281">
        <v>0</v>
      </c>
      <c r="X1281">
        <v>0</v>
      </c>
    </row>
    <row r="1282" spans="1:24" x14ac:dyDescent="0.25">
      <c r="A1282">
        <v>13637412</v>
      </c>
      <c r="B1282" t="s">
        <v>2739</v>
      </c>
      <c r="C1282" t="s">
        <v>2740</v>
      </c>
      <c r="D1282" t="s">
        <v>2741</v>
      </c>
      <c r="E1282" t="s">
        <v>2742</v>
      </c>
      <c r="F1282" t="str">
        <f>"6140105234"</f>
        <v>6140105234</v>
      </c>
      <c r="G1282" t="str">
        <f>"9786140105232"</f>
        <v>9786140105232</v>
      </c>
      <c r="H1282">
        <v>0</v>
      </c>
      <c r="I1282">
        <v>4.22</v>
      </c>
      <c r="J1282" t="s">
        <v>2743</v>
      </c>
      <c r="K1282" t="s">
        <v>28</v>
      </c>
      <c r="L1282">
        <v>400</v>
      </c>
      <c r="M1282">
        <v>2014</v>
      </c>
      <c r="N1282">
        <v>2012</v>
      </c>
      <c r="P1282" s="1">
        <v>43281</v>
      </c>
      <c r="Q1282" t="s">
        <v>35</v>
      </c>
      <c r="R1282" t="s">
        <v>2744</v>
      </c>
      <c r="S1282" t="s">
        <v>35</v>
      </c>
      <c r="W1282">
        <v>0</v>
      </c>
      <c r="X1282">
        <v>0</v>
      </c>
    </row>
    <row r="1283" spans="1:24" x14ac:dyDescent="0.25">
      <c r="A1283">
        <v>4894</v>
      </c>
      <c r="B1283" t="s">
        <v>2745</v>
      </c>
      <c r="C1283" t="s">
        <v>1010</v>
      </c>
      <c r="D1283" t="s">
        <v>1011</v>
      </c>
      <c r="E1283" t="s">
        <v>1775</v>
      </c>
      <c r="F1283" t="str">
        <f>"0091883768"</f>
        <v>0091883768</v>
      </c>
      <c r="G1283" t="str">
        <f>"9780091883768"</f>
        <v>9780091883768</v>
      </c>
      <c r="H1283">
        <v>5</v>
      </c>
      <c r="I1283">
        <v>3.85</v>
      </c>
      <c r="J1283" t="s">
        <v>1012</v>
      </c>
      <c r="K1283" t="s">
        <v>34</v>
      </c>
      <c r="L1283">
        <v>96</v>
      </c>
      <c r="M1283">
        <v>2002</v>
      </c>
      <c r="N1283">
        <v>1999</v>
      </c>
      <c r="O1283" s="1">
        <v>43281</v>
      </c>
      <c r="P1283" s="1">
        <v>43238</v>
      </c>
      <c r="S1283" t="s">
        <v>29</v>
      </c>
      <c r="W1283">
        <v>1</v>
      </c>
      <c r="X1283">
        <v>0</v>
      </c>
    </row>
    <row r="1284" spans="1:24" x14ac:dyDescent="0.25">
      <c r="A1284">
        <v>31807944</v>
      </c>
      <c r="B1284" t="s">
        <v>2746</v>
      </c>
      <c r="C1284" t="s">
        <v>2606</v>
      </c>
      <c r="D1284" t="s">
        <v>2607</v>
      </c>
      <c r="F1284" t="str">
        <f>""</f>
        <v/>
      </c>
      <c r="G1284" t="str">
        <f>""</f>
        <v/>
      </c>
      <c r="H1284">
        <v>0</v>
      </c>
      <c r="I1284">
        <v>3.44</v>
      </c>
      <c r="J1284" t="s">
        <v>2747</v>
      </c>
      <c r="K1284" t="s">
        <v>34</v>
      </c>
      <c r="L1284">
        <v>332</v>
      </c>
      <c r="M1284">
        <v>2016</v>
      </c>
      <c r="N1284">
        <v>2016</v>
      </c>
      <c r="P1284" s="1">
        <v>43238</v>
      </c>
      <c r="Q1284" t="s">
        <v>35</v>
      </c>
      <c r="R1284" t="s">
        <v>2748</v>
      </c>
      <c r="S1284" t="s">
        <v>35</v>
      </c>
      <c r="W1284">
        <v>0</v>
      </c>
      <c r="X1284">
        <v>0</v>
      </c>
    </row>
    <row r="1285" spans="1:24" x14ac:dyDescent="0.25">
      <c r="A1285">
        <v>16248196</v>
      </c>
      <c r="B1285" t="s">
        <v>2749</v>
      </c>
      <c r="C1285" t="s">
        <v>2750</v>
      </c>
      <c r="D1285" t="s">
        <v>2751</v>
      </c>
      <c r="E1285" t="s">
        <v>2752</v>
      </c>
      <c r="F1285" t="str">
        <f>"0062219685"</f>
        <v>0062219685</v>
      </c>
      <c r="G1285" t="str">
        <f>"9780062219688"</f>
        <v>9780062219688</v>
      </c>
      <c r="H1285">
        <v>0</v>
      </c>
      <c r="I1285">
        <v>3.85</v>
      </c>
      <c r="J1285" t="s">
        <v>2246</v>
      </c>
      <c r="K1285" t="s">
        <v>34</v>
      </c>
      <c r="L1285">
        <v>384</v>
      </c>
      <c r="M1285">
        <v>2013</v>
      </c>
      <c r="N1285">
        <v>2011</v>
      </c>
      <c r="P1285" s="1">
        <v>43238</v>
      </c>
      <c r="Q1285" t="s">
        <v>35</v>
      </c>
      <c r="R1285" t="s">
        <v>2753</v>
      </c>
      <c r="S1285" t="s">
        <v>35</v>
      </c>
      <c r="W1285">
        <v>0</v>
      </c>
      <c r="X1285">
        <v>0</v>
      </c>
    </row>
    <row r="1286" spans="1:24" x14ac:dyDescent="0.25">
      <c r="A1286">
        <v>24856590</v>
      </c>
      <c r="B1286" t="s">
        <v>2754</v>
      </c>
      <c r="C1286" t="s">
        <v>2755</v>
      </c>
      <c r="D1286" t="s">
        <v>2756</v>
      </c>
      <c r="E1286" t="s">
        <v>2757</v>
      </c>
      <c r="F1286" t="str">
        <f>""</f>
        <v/>
      </c>
      <c r="G1286" t="str">
        <f>""</f>
        <v/>
      </c>
      <c r="H1286">
        <v>0</v>
      </c>
      <c r="I1286">
        <v>4.13</v>
      </c>
      <c r="J1286" t="s">
        <v>917</v>
      </c>
      <c r="K1286" t="s">
        <v>730</v>
      </c>
      <c r="L1286">
        <v>11</v>
      </c>
      <c r="M1286">
        <v>2012</v>
      </c>
      <c r="N1286">
        <v>2012</v>
      </c>
      <c r="P1286" s="1">
        <v>43238</v>
      </c>
      <c r="Q1286" t="s">
        <v>35</v>
      </c>
      <c r="R1286" t="s">
        <v>2758</v>
      </c>
      <c r="S1286" t="s">
        <v>35</v>
      </c>
      <c r="W1286">
        <v>0</v>
      </c>
      <c r="X1286">
        <v>0</v>
      </c>
    </row>
    <row r="1287" spans="1:24" x14ac:dyDescent="0.25">
      <c r="A1287">
        <v>578736</v>
      </c>
      <c r="B1287" t="s">
        <v>2759</v>
      </c>
      <c r="C1287" t="s">
        <v>2760</v>
      </c>
      <c r="D1287" t="s">
        <v>2761</v>
      </c>
      <c r="F1287" t="str">
        <f>"0425081028"</f>
        <v>0425081028</v>
      </c>
      <c r="G1287" t="str">
        <f>"9780425081020"</f>
        <v>9780425081020</v>
      </c>
      <c r="H1287">
        <v>0</v>
      </c>
      <c r="I1287">
        <v>4.16</v>
      </c>
      <c r="J1287" t="s">
        <v>2762</v>
      </c>
      <c r="K1287" t="s">
        <v>28</v>
      </c>
      <c r="L1287">
        <v>410</v>
      </c>
      <c r="M1287">
        <v>1985</v>
      </c>
      <c r="N1287">
        <v>1984</v>
      </c>
      <c r="P1287" s="1">
        <v>43238</v>
      </c>
      <c r="Q1287" t="s">
        <v>35</v>
      </c>
      <c r="R1287" t="s">
        <v>2763</v>
      </c>
      <c r="S1287" t="s">
        <v>35</v>
      </c>
      <c r="W1287">
        <v>0</v>
      </c>
      <c r="X1287">
        <v>0</v>
      </c>
    </row>
    <row r="1288" spans="1:24" x14ac:dyDescent="0.25">
      <c r="A1288">
        <v>4891811</v>
      </c>
      <c r="B1288" t="s">
        <v>2764</v>
      </c>
      <c r="C1288" t="s">
        <v>2765</v>
      </c>
      <c r="D1288" t="s">
        <v>2766</v>
      </c>
      <c r="E1288" t="s">
        <v>2767</v>
      </c>
      <c r="F1288" t="str">
        <f>"1591842212"</f>
        <v>1591842212</v>
      </c>
      <c r="G1288" t="str">
        <f>"9781591842217"</f>
        <v>9781591842217</v>
      </c>
      <c r="H1288">
        <v>0</v>
      </c>
      <c r="I1288">
        <v>3.88</v>
      </c>
      <c r="J1288" t="s">
        <v>966</v>
      </c>
      <c r="K1288" t="s">
        <v>34</v>
      </c>
      <c r="L1288">
        <v>274</v>
      </c>
      <c r="M1288">
        <v>2008</v>
      </c>
      <c r="N1288">
        <v>2008</v>
      </c>
      <c r="P1288" s="1">
        <v>43229</v>
      </c>
      <c r="Q1288" t="s">
        <v>35</v>
      </c>
      <c r="R1288" t="s">
        <v>2768</v>
      </c>
      <c r="S1288" t="s">
        <v>35</v>
      </c>
      <c r="W1288">
        <v>0</v>
      </c>
      <c r="X1288">
        <v>0</v>
      </c>
    </row>
    <row r="1289" spans="1:24" x14ac:dyDescent="0.25">
      <c r="A1289">
        <v>10127019</v>
      </c>
      <c r="B1289" t="s">
        <v>2769</v>
      </c>
      <c r="C1289" t="s">
        <v>2770</v>
      </c>
      <c r="D1289" t="s">
        <v>2771</v>
      </c>
      <c r="F1289" t="str">
        <f>"0307887898"</f>
        <v>0307887898</v>
      </c>
      <c r="G1289" t="str">
        <f>"9780307887894"</f>
        <v>9780307887894</v>
      </c>
      <c r="H1289">
        <v>0</v>
      </c>
      <c r="I1289">
        <v>4.1100000000000003</v>
      </c>
      <c r="J1289" t="s">
        <v>2772</v>
      </c>
      <c r="K1289" t="s">
        <v>34</v>
      </c>
      <c r="L1289">
        <v>299</v>
      </c>
      <c r="M1289">
        <v>2011</v>
      </c>
      <c r="N1289">
        <v>2011</v>
      </c>
      <c r="P1289" s="1">
        <v>43229</v>
      </c>
      <c r="Q1289" t="s">
        <v>35</v>
      </c>
      <c r="R1289" t="s">
        <v>2773</v>
      </c>
      <c r="S1289" t="s">
        <v>35</v>
      </c>
      <c r="W1289">
        <v>0</v>
      </c>
      <c r="X1289">
        <v>0</v>
      </c>
    </row>
  </sheetData>
  <autoFilter ref="A1:X128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goodreads_library_export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Abdulqader Asiri</dc:creator>
  <cp:lastModifiedBy>Abdulqader Asiri</cp:lastModifiedBy>
  <dcterms:modified xsi:type="dcterms:W3CDTF">2022-12-04T22:03:32Z</dcterms:modified>
</cp:coreProperties>
</file>