
<file path=[Content_Types].xml><?xml version="1.0" encoding="utf-8"?>
<Types xmlns="http://schemas.openxmlformats.org/package/2006/content-types">
  <Override PartName="/xl/charts/chart6.xml" ContentType="application/vnd.openxmlformats-officedocument.drawingml.chart+xml"/>
  <Override PartName="/xl/queryTables/queryTable1.xml" ContentType="application/vnd.openxmlformats-officedocument.spreadsheetml.queryTable+xml"/>
  <Default Extension="svg" ContentType="image/svg+xml"/>
  <Override PartName="/xl/charts/style8.xml" ContentType="application/vnd.ms-office.chartstyle+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customXml/itemProps1.xml" ContentType="application/vnd.openxmlformats-officedocument.customXmlProperties+xml"/>
  <Override PartName="/xl/charts/style6.xml" ContentType="application/vnd.ms-office.chartstyle+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style4.xml" ContentType="application/vnd.ms-office.chartstyle+xml"/>
  <Override PartName="/xl/charts/style5.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style3.xml" ContentType="application/vnd.ms-office.chartstyle+xml"/>
  <Override PartName="/xl/charts/style2.xml" ContentType="application/vnd.ms-office.chartstyle+xml"/>
  <Override PartName="/xl/charts/style1.xml" ContentType="application/vnd.ms-office.chartstyle+xml"/>
  <Override PartName="/xl/charts/colors9.xml" ContentType="application/vnd.ms-office.chartcolorstyle+xml"/>
  <Override PartName="/xl/charts/colors8.xml" ContentType="application/vnd.ms-office.chartcolor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charts/colors6.xml" ContentType="application/vnd.ms-office.chartcolorstyle+xml"/>
  <Override PartName="/xl/charts/colors7.xml" ContentType="application/vnd.ms-office.chartcolorstyle+xml"/>
  <Override PartName="/xl/worksheets/sheet1.xml" ContentType="application/vnd.openxmlformats-officedocument.spreadsheetml.worksheet+xml"/>
  <Default Extension="tiff" ContentType="image/tiff"/>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olors3.xml" ContentType="application/vnd.ms-office.chartcolorstyle+xml"/>
  <Override PartName="/xl/charts/colors2.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hart5.xml" ContentType="application/vnd.openxmlformats-officedocument.drawingml.chart+xml"/>
  <Override PartName="/xl/tables/table1.xml" ContentType="application/vnd.openxmlformats-officedocument.spreadsheetml.table+xml"/>
  <Override PartName="/xl/charts/style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bookViews>
    <workbookView xWindow="1245" yWindow="1590" windowWidth="21600" windowHeight="12735" tabRatio="868" activeTab="4"/>
  </bookViews>
  <sheets>
    <sheet name="Summary" sheetId="77" r:id="rId1"/>
    <sheet name="Yard01" sheetId="84" r:id="rId2"/>
    <sheet name="Yard02" sheetId="83" r:id="rId3"/>
    <sheet name="Yard03" sheetId="82" r:id="rId4"/>
    <sheet name="RawData" sheetId="80" r:id="rId5"/>
  </sheets>
  <definedNames>
    <definedName name="ExternalData_1" localSheetId="4" hidden="1">RawData!$A$1:$FA$7</definedName>
    <definedName name="_xlnm.Print_Area" localSheetId="0">Summary!$A$1:$AG$27</definedName>
    <definedName name="_xlnm.Print_Area" localSheetId="1">Yard01!$A$1:$Y$83</definedName>
    <definedName name="_xlnm.Print_Area" localSheetId="2">Yard02!$A$1:$Y$83</definedName>
    <definedName name="_xlnm.Print_Area" localSheetId="3">Yard03!$A$1:$Y$83</definedName>
    <definedName name="_xlnm.Print_Titles" localSheetId="0">Summary!$1:$13</definedName>
  </definedNames>
  <calcPr calcId="125725"/>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Z59" i="84"/>
  <c r="CZ58"/>
  <c r="CZ60" s="1"/>
  <c r="CV58"/>
  <c r="CU59" s="1"/>
  <c r="Y59"/>
  <c r="X59"/>
  <c r="W59"/>
  <c r="V59"/>
  <c r="U59"/>
  <c r="T59"/>
  <c r="S59"/>
  <c r="R59"/>
  <c r="Q59"/>
  <c r="P59"/>
  <c r="CZ53"/>
  <c r="CX51"/>
  <c r="DM49"/>
  <c r="DL49"/>
  <c r="DK49"/>
  <c r="DJ49"/>
  <c r="DI49"/>
  <c r="DD49" s="1"/>
  <c r="DD45"/>
  <c r="DD43"/>
  <c r="DD41"/>
  <c r="DD39"/>
  <c r="DD37"/>
  <c r="DD35"/>
  <c r="CU30"/>
  <c r="CU29"/>
  <c r="CY18" s="1"/>
  <c r="DD28"/>
  <c r="DC28"/>
  <c r="DB28"/>
  <c r="DA28"/>
  <c r="CZ28"/>
  <c r="CU28" s="1"/>
  <c r="DD27"/>
  <c r="DC27"/>
  <c r="DB27"/>
  <c r="DA27"/>
  <c r="CZ27"/>
  <c r="CU27" s="1"/>
  <c r="DD26"/>
  <c r="DC26"/>
  <c r="DB26"/>
  <c r="DA26"/>
  <c r="CZ26"/>
  <c r="DD25"/>
  <c r="DC25"/>
  <c r="DB25"/>
  <c r="DA25"/>
  <c r="CZ25"/>
  <c r="CU25"/>
  <c r="DD24"/>
  <c r="DC24"/>
  <c r="DB24"/>
  <c r="DA24"/>
  <c r="CZ24"/>
  <c r="CU24" s="1"/>
  <c r="DD23"/>
  <c r="DC23"/>
  <c r="DB23"/>
  <c r="DA23"/>
  <c r="CZ23"/>
  <c r="CU23"/>
  <c r="R24"/>
  <c r="DD22"/>
  <c r="DC22"/>
  <c r="DB22"/>
  <c r="DA22"/>
  <c r="CZ22"/>
  <c r="CU22"/>
  <c r="DD21"/>
  <c r="DC21"/>
  <c r="DB21"/>
  <c r="DA21"/>
  <c r="CZ21"/>
  <c r="CU21"/>
  <c r="DD20"/>
  <c r="DC20"/>
  <c r="DB20"/>
  <c r="DA20"/>
  <c r="CZ20"/>
  <c r="CU20"/>
  <c r="DD19"/>
  <c r="DC19"/>
  <c r="DB19"/>
  <c r="DA19"/>
  <c r="DC43" s="1"/>
  <c r="CZ19"/>
  <c r="DA45" s="1"/>
  <c r="CU19"/>
  <c r="CX18"/>
  <c r="DD18" s="1"/>
  <c r="CW18"/>
  <c r="CZ18" s="1"/>
  <c r="R19"/>
  <c r="CY17"/>
  <c r="J13"/>
  <c r="CZ59" i="83"/>
  <c r="CZ58"/>
  <c r="CV58"/>
  <c r="CU59" s="1"/>
  <c r="Y59"/>
  <c r="X59"/>
  <c r="W59"/>
  <c r="V59"/>
  <c r="U59"/>
  <c r="T59"/>
  <c r="S59"/>
  <c r="R59"/>
  <c r="Q59"/>
  <c r="P59"/>
  <c r="CZ53"/>
  <c r="CX51"/>
  <c r="DM49"/>
  <c r="DL49"/>
  <c r="DK49"/>
  <c r="DJ49"/>
  <c r="DI49"/>
  <c r="DD49" s="1"/>
  <c r="CU30"/>
  <c r="CU29"/>
  <c r="CY18" s="1"/>
  <c r="DD28"/>
  <c r="DC28"/>
  <c r="DB28"/>
  <c r="DA28"/>
  <c r="CZ28"/>
  <c r="CU28" s="1"/>
  <c r="DD27"/>
  <c r="DC27"/>
  <c r="DB27"/>
  <c r="DA27"/>
  <c r="CZ27"/>
  <c r="CU27"/>
  <c r="DD26"/>
  <c r="DC26"/>
  <c r="DB26"/>
  <c r="DA26"/>
  <c r="CZ26"/>
  <c r="DD25"/>
  <c r="DC25"/>
  <c r="DB25"/>
  <c r="DA25"/>
  <c r="CZ25"/>
  <c r="CU25" s="1"/>
  <c r="DD24"/>
  <c r="DC24"/>
  <c r="DB24"/>
  <c r="DA24"/>
  <c r="CZ24"/>
  <c r="CU24" s="1"/>
  <c r="DD23"/>
  <c r="DC23"/>
  <c r="DB23"/>
  <c r="DA23"/>
  <c r="CZ23"/>
  <c r="CU23" s="1"/>
  <c r="R24"/>
  <c r="DD22"/>
  <c r="DC22"/>
  <c r="DB22"/>
  <c r="DA22"/>
  <c r="CZ22"/>
  <c r="CU22"/>
  <c r="DD21"/>
  <c r="DC21"/>
  <c r="DB21"/>
  <c r="DA21"/>
  <c r="CZ21"/>
  <c r="CU21" s="1"/>
  <c r="DD20"/>
  <c r="DC20"/>
  <c r="DB20"/>
  <c r="DA20"/>
  <c r="CZ20"/>
  <c r="CU20"/>
  <c r="DD19"/>
  <c r="DC19"/>
  <c r="DB19"/>
  <c r="DA19"/>
  <c r="DC43" s="1"/>
  <c r="CZ19"/>
  <c r="CZ45" s="1"/>
  <c r="CU45" s="1"/>
  <c r="CW18"/>
  <c r="R19"/>
  <c r="J13"/>
  <c r="CZ59" i="82"/>
  <c r="CZ58"/>
  <c r="CV58"/>
  <c r="CU59" s="1"/>
  <c r="Y59"/>
  <c r="X59"/>
  <c r="W59"/>
  <c r="V59"/>
  <c r="U59"/>
  <c r="T59"/>
  <c r="S59"/>
  <c r="R59"/>
  <c r="Q59"/>
  <c r="P59"/>
  <c r="CZ53"/>
  <c r="CX51"/>
  <c r="DM49"/>
  <c r="DL49"/>
  <c r="DK49"/>
  <c r="DJ49"/>
  <c r="DI49"/>
  <c r="DD49" s="1"/>
  <c r="CZ37"/>
  <c r="CU37" s="1"/>
  <c r="CU30"/>
  <c r="CU29"/>
  <c r="CW17" s="1"/>
  <c r="DD28"/>
  <c r="DC28"/>
  <c r="DB28"/>
  <c r="DA28"/>
  <c r="CZ28"/>
  <c r="CU28"/>
  <c r="DD27"/>
  <c r="DC27"/>
  <c r="DB27"/>
  <c r="DA27"/>
  <c r="CZ27"/>
  <c r="CU27" s="1"/>
  <c r="DD26"/>
  <c r="DC26"/>
  <c r="DB26"/>
  <c r="DA26"/>
  <c r="CZ26"/>
  <c r="DD25"/>
  <c r="DC25"/>
  <c r="DB25"/>
  <c r="DA25"/>
  <c r="CZ25"/>
  <c r="CU25" s="1"/>
  <c r="DD24"/>
  <c r="DC24"/>
  <c r="DB24"/>
  <c r="DA24"/>
  <c r="CZ24"/>
  <c r="CU24" s="1"/>
  <c r="DD23"/>
  <c r="DC23"/>
  <c r="DB23"/>
  <c r="DA23"/>
  <c r="CZ23"/>
  <c r="CU23"/>
  <c r="R24"/>
  <c r="DD22"/>
  <c r="DC22"/>
  <c r="DB22"/>
  <c r="DA22"/>
  <c r="CZ22"/>
  <c r="CU22" s="1"/>
  <c r="DD21"/>
  <c r="DC21"/>
  <c r="DB21"/>
  <c r="DA21"/>
  <c r="CZ21"/>
  <c r="CU21"/>
  <c r="DD20"/>
  <c r="DC20"/>
  <c r="DB20"/>
  <c r="DA20"/>
  <c r="CZ20"/>
  <c r="CU20" s="1"/>
  <c r="DD19"/>
  <c r="DC19"/>
  <c r="DB19"/>
  <c r="DD35" s="1"/>
  <c r="DA19"/>
  <c r="CZ19"/>
  <c r="CU19"/>
  <c r="R19"/>
  <c r="J13"/>
  <c r="DB44" i="84" l="1"/>
  <c r="DB36"/>
  <c r="DB40"/>
  <c r="DC36"/>
  <c r="DC40"/>
  <c r="DC44"/>
  <c r="CZ37"/>
  <c r="CU37" s="1"/>
  <c r="CZ41"/>
  <c r="CU41" s="1"/>
  <c r="DB38"/>
  <c r="DB42"/>
  <c r="CU26"/>
  <c r="DC38"/>
  <c r="DC42"/>
  <c r="CX58"/>
  <c r="CZ35"/>
  <c r="CU35" s="1"/>
  <c r="CZ39"/>
  <c r="CU39" s="1"/>
  <c r="CZ43"/>
  <c r="CU43" s="1"/>
  <c r="DA18"/>
  <c r="CX49"/>
  <c r="CW49"/>
  <c r="DA37"/>
  <c r="DC18"/>
  <c r="CZ36"/>
  <c r="CU36" s="1"/>
  <c r="DB37"/>
  <c r="DD38"/>
  <c r="CZ40"/>
  <c r="CU40" s="1"/>
  <c r="DB41"/>
  <c r="DD42"/>
  <c r="CZ44"/>
  <c r="CU44" s="1"/>
  <c r="DB45"/>
  <c r="DB18"/>
  <c r="CW16"/>
  <c r="CW17"/>
  <c r="CX16"/>
  <c r="CX17"/>
  <c r="CU18"/>
  <c r="DA36"/>
  <c r="DC37"/>
  <c r="DA40"/>
  <c r="DC41"/>
  <c r="DA44"/>
  <c r="DC45"/>
  <c r="DA35"/>
  <c r="DA39"/>
  <c r="DA43"/>
  <c r="DB35"/>
  <c r="DD36"/>
  <c r="CZ38"/>
  <c r="CU38" s="1"/>
  <c r="DB39"/>
  <c r="DD40"/>
  <c r="CZ42"/>
  <c r="CU42" s="1"/>
  <c r="DB43"/>
  <c r="DD44"/>
  <c r="CT59"/>
  <c r="DC35"/>
  <c r="DA38"/>
  <c r="DC39"/>
  <c r="DA42"/>
  <c r="CZ45"/>
  <c r="CU45" s="1"/>
  <c r="DA41"/>
  <c r="DC36" i="83"/>
  <c r="DC44"/>
  <c r="CU19"/>
  <c r="CZ37"/>
  <c r="CU37" s="1"/>
  <c r="CZ41"/>
  <c r="CU41" s="1"/>
  <c r="DC40"/>
  <c r="DA42"/>
  <c r="DD37"/>
  <c r="DD41"/>
  <c r="DD45"/>
  <c r="DB38"/>
  <c r="DB42"/>
  <c r="CU26"/>
  <c r="DC38"/>
  <c r="DC42"/>
  <c r="CZ35"/>
  <c r="CU35" s="1"/>
  <c r="CZ39"/>
  <c r="CU39" s="1"/>
  <c r="CZ43"/>
  <c r="CU43" s="1"/>
  <c r="CX58"/>
  <c r="DD35"/>
  <c r="DD39"/>
  <c r="DD43"/>
  <c r="CZ60"/>
  <c r="DB36"/>
  <c r="DB40"/>
  <c r="DB44"/>
  <c r="CX18"/>
  <c r="DD18" s="1"/>
  <c r="CY17"/>
  <c r="CX49"/>
  <c r="CW49"/>
  <c r="DA37"/>
  <c r="DA41"/>
  <c r="DA45"/>
  <c r="CW16"/>
  <c r="CW17"/>
  <c r="CZ36"/>
  <c r="CU36" s="1"/>
  <c r="DB37"/>
  <c r="DD38"/>
  <c r="CZ40"/>
  <c r="CU40" s="1"/>
  <c r="DB41"/>
  <c r="DD42"/>
  <c r="CZ44"/>
  <c r="CU44" s="1"/>
  <c r="DB45"/>
  <c r="CX16"/>
  <c r="CX17"/>
  <c r="DA36"/>
  <c r="DC37"/>
  <c r="DA40"/>
  <c r="DC41"/>
  <c r="DA44"/>
  <c r="DC45"/>
  <c r="DA39"/>
  <c r="DA35"/>
  <c r="DA43"/>
  <c r="DB35"/>
  <c r="DD36"/>
  <c r="CZ38"/>
  <c r="CU38" s="1"/>
  <c r="DB39"/>
  <c r="DD40"/>
  <c r="CZ42"/>
  <c r="CU42" s="1"/>
  <c r="DB43"/>
  <c r="DD44"/>
  <c r="CT59"/>
  <c r="CZ18"/>
  <c r="CU18" s="1"/>
  <c r="DC35"/>
  <c r="DA38"/>
  <c r="DC39"/>
  <c r="CU26" i="82"/>
  <c r="DA45"/>
  <c r="DC42"/>
  <c r="CZ60"/>
  <c r="DA17"/>
  <c r="DB17"/>
  <c r="CW18"/>
  <c r="CX17"/>
  <c r="CY17"/>
  <c r="DC17" s="1"/>
  <c r="CW16"/>
  <c r="CX16"/>
  <c r="CX18"/>
  <c r="CY18"/>
  <c r="CX49"/>
  <c r="CW49"/>
  <c r="CZ36"/>
  <c r="CU36" s="1"/>
  <c r="DB37"/>
  <c r="DD38"/>
  <c r="CZ40"/>
  <c r="CU40" s="1"/>
  <c r="DB41"/>
  <c r="DD42"/>
  <c r="CZ44"/>
  <c r="CU44" s="1"/>
  <c r="DB45"/>
  <c r="DA36"/>
  <c r="DC37"/>
  <c r="DA40"/>
  <c r="DC41"/>
  <c r="DA44"/>
  <c r="DC45"/>
  <c r="CZ35"/>
  <c r="CU35" s="1"/>
  <c r="DB36"/>
  <c r="DD37"/>
  <c r="CZ39"/>
  <c r="CU39" s="1"/>
  <c r="DB40"/>
  <c r="DD41"/>
  <c r="CZ43"/>
  <c r="CU43" s="1"/>
  <c r="DB44"/>
  <c r="DD45"/>
  <c r="CX58"/>
  <c r="DA35"/>
  <c r="DC36"/>
  <c r="DA39"/>
  <c r="DC40"/>
  <c r="DA43"/>
  <c r="DC44"/>
  <c r="CZ17"/>
  <c r="CU17" s="1"/>
  <c r="DB35"/>
  <c r="DD36"/>
  <c r="CZ38"/>
  <c r="CU38" s="1"/>
  <c r="DB39"/>
  <c r="DD40"/>
  <c r="CZ42"/>
  <c r="CU42" s="1"/>
  <c r="DB43"/>
  <c r="DD44"/>
  <c r="CT59"/>
  <c r="DC35"/>
  <c r="DA38"/>
  <c r="DC39"/>
  <c r="DA42"/>
  <c r="DC43"/>
  <c r="DB38"/>
  <c r="DD39"/>
  <c r="CZ41"/>
  <c r="CU41" s="1"/>
  <c r="DB42"/>
  <c r="DD43"/>
  <c r="CZ45"/>
  <c r="CU45" s="1"/>
  <c r="DA37"/>
  <c r="DC38"/>
  <c r="DA41"/>
  <c r="DC17" i="84" l="1"/>
  <c r="DD17"/>
  <c r="DD16"/>
  <c r="DC16"/>
  <c r="DB17"/>
  <c r="CZ17"/>
  <c r="CU17" s="1"/>
  <c r="DA17"/>
  <c r="DB16"/>
  <c r="DA16"/>
  <c r="CZ16"/>
  <c r="CU16"/>
  <c r="CU52"/>
  <c r="CT52"/>
  <c r="DA18" i="83"/>
  <c r="DB18"/>
  <c r="DC18"/>
  <c r="DC17"/>
  <c r="DD17"/>
  <c r="DC16"/>
  <c r="DD16"/>
  <c r="CU52"/>
  <c r="CT52"/>
  <c r="DB16"/>
  <c r="DA16"/>
  <c r="CZ16"/>
  <c r="CU16" s="1"/>
  <c r="DB17"/>
  <c r="CZ17"/>
  <c r="CU17" s="1"/>
  <c r="DA17"/>
  <c r="CZ16" i="82"/>
  <c r="CU16" s="1"/>
  <c r="DA16"/>
  <c r="DB18"/>
  <c r="CZ18"/>
  <c r="CU18" s="1"/>
  <c r="DA18"/>
  <c r="DD18"/>
  <c r="DC18"/>
  <c r="DD16"/>
  <c r="DC16"/>
  <c r="DB16"/>
  <c r="DD17"/>
  <c r="CU52"/>
  <c r="CT52"/>
  <c r="AB12" i="77" l="1"/>
  <c r="AB11" l="1"/>
</calcChain>
</file>

<file path=xl/connections.xml><?xml version="1.0" encoding="utf-8"?>
<connections xmlns="http://schemas.openxmlformats.org/spreadsheetml/2006/main">
  <connection id="1" keepAlive="1" name="Query - Query1" description="Connection to the 'Query1' query in the workbook." type="5" refreshedVersion="7"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<sst xmlns="http://schemas.openxmlformats.org/spreadsheetml/2006/main" count="761" uniqueCount="276">
  <si>
    <t>Date:</t>
  </si>
  <si>
    <t>Report No:</t>
  </si>
  <si>
    <t>Grower:</t>
  </si>
  <si>
    <t>Client:</t>
  </si>
  <si>
    <t>Sampler:</t>
  </si>
  <si>
    <t>Field:</t>
  </si>
  <si>
    <t>Crop:</t>
  </si>
  <si>
    <t xml:space="preserve"> SOIL ANALYSIS REPORT</t>
  </si>
  <si>
    <t>Lab #</t>
  </si>
  <si>
    <t>Depth</t>
  </si>
  <si>
    <t>P</t>
  </si>
  <si>
    <t>K</t>
  </si>
  <si>
    <t>B</t>
  </si>
  <si>
    <t>OM</t>
  </si>
  <si>
    <t>pH</t>
  </si>
  <si>
    <t>Zn</t>
  </si>
  <si>
    <t>Mn</t>
  </si>
  <si>
    <t>Cu</t>
  </si>
  <si>
    <t>Fe</t>
  </si>
  <si>
    <t>Ca</t>
  </si>
  <si>
    <t>Mg</t>
  </si>
  <si>
    <t>Na</t>
  </si>
  <si>
    <t>Efferve</t>
  </si>
  <si>
    <t>-scence</t>
  </si>
  <si>
    <t>ppm</t>
  </si>
  <si>
    <t>%</t>
  </si>
  <si>
    <t>Test</t>
  </si>
  <si>
    <t>Meq/100g</t>
  </si>
  <si>
    <t>Lbs per acre N</t>
  </si>
  <si>
    <t>Lbs per acre P2O5</t>
  </si>
  <si>
    <t>Lbs per acre K2O</t>
  </si>
  <si>
    <t>Lbs per acre actual S</t>
  </si>
  <si>
    <t>Lbs per acre actual B</t>
  </si>
  <si>
    <t>Lbs per acre actual Zn</t>
  </si>
  <si>
    <t>Lbs per acre actual Mn</t>
  </si>
  <si>
    <t>Lbs per acre actual Cu</t>
  </si>
  <si>
    <t>Lbs per acre actual Fe</t>
  </si>
  <si>
    <t>Inches</t>
  </si>
  <si>
    <t>1:2</t>
  </si>
  <si>
    <t>DTPA</t>
  </si>
  <si>
    <t>ID</t>
  </si>
  <si>
    <t>NO3-N</t>
  </si>
  <si>
    <t>NH4-N</t>
  </si>
  <si>
    <t>Olsen</t>
  </si>
  <si>
    <t>% Na</t>
  </si>
  <si>
    <t>% Ca</t>
  </si>
  <si>
    <t>% Mg</t>
  </si>
  <si>
    <t>% K</t>
  </si>
  <si>
    <t>Base Saturation</t>
  </si>
  <si>
    <t>lbs/ac</t>
  </si>
  <si>
    <t>SO4-S</t>
  </si>
  <si>
    <t>Ammonium Acetate</t>
  </si>
  <si>
    <t>Soluble Salts</t>
  </si>
  <si>
    <t>Total Bases</t>
  </si>
  <si>
    <t>Ideal Soil</t>
  </si>
  <si>
    <t>Data Sheet</t>
  </si>
  <si>
    <t>slope</t>
  </si>
  <si>
    <t>intercept</t>
  </si>
  <si>
    <t>S</t>
  </si>
  <si>
    <t>Low Point</t>
  </si>
  <si>
    <t>High Point</t>
  </si>
  <si>
    <t>N</t>
  </si>
  <si>
    <t>P O or B</t>
  </si>
  <si>
    <t>BASE SATURATION</t>
  </si>
  <si>
    <t>Calcium</t>
  </si>
  <si>
    <t>Magnesium</t>
  </si>
  <si>
    <t>Potassium</t>
  </si>
  <si>
    <t>Sodium</t>
  </si>
  <si>
    <t>meq/100 g</t>
  </si>
  <si>
    <t>65-75%</t>
  </si>
  <si>
    <t>15-20%</t>
  </si>
  <si>
    <t>2-9%</t>
  </si>
  <si>
    <t>&lt;1%</t>
  </si>
  <si>
    <t>Gauge Table</t>
  </si>
  <si>
    <t>Doughnut Base</t>
  </si>
  <si>
    <t>Pointer</t>
  </si>
  <si>
    <t>Max</t>
  </si>
  <si>
    <t>Min</t>
  </si>
  <si>
    <t>Middle</t>
  </si>
  <si>
    <t>Fertilizer Recommendations</t>
  </si>
  <si>
    <t>Nitrogen</t>
  </si>
  <si>
    <t>Phosphorus</t>
  </si>
  <si>
    <t>Sulfur</t>
  </si>
  <si>
    <t>Boron</t>
  </si>
  <si>
    <t>Zinc</t>
  </si>
  <si>
    <t>Mangenese</t>
  </si>
  <si>
    <t>Copper</t>
  </si>
  <si>
    <t>Iron</t>
  </si>
  <si>
    <t>Lime Requirement</t>
  </si>
  <si>
    <t>Lbs per acre 100 % Lime Score material</t>
  </si>
  <si>
    <t>Additional Parameters</t>
  </si>
  <si>
    <t xml:space="preserve">Field </t>
  </si>
  <si>
    <t>KCl</t>
  </si>
  <si>
    <t>-----------meq/100g-----------</t>
  </si>
  <si>
    <t>1:1</t>
  </si>
  <si>
    <t>mmho/cm</t>
  </si>
  <si>
    <t>Start</t>
  </si>
  <si>
    <t>End</t>
  </si>
  <si>
    <t>inches</t>
  </si>
  <si>
    <t>Effervescence</t>
  </si>
  <si>
    <t>Client</t>
  </si>
  <si>
    <t>Sampler</t>
  </si>
  <si>
    <t>LabNo</t>
  </si>
  <si>
    <t>RptNo</t>
  </si>
  <si>
    <t>Date</t>
  </si>
  <si>
    <t>Grower</t>
  </si>
  <si>
    <t>Crop</t>
  </si>
  <si>
    <t>SO4</t>
  </si>
  <si>
    <t>SS</t>
  </si>
  <si>
    <t>Eff</t>
  </si>
  <si>
    <t>CEC</t>
  </si>
  <si>
    <t>SMPBuffer</t>
  </si>
  <si>
    <t>Cl</t>
  </si>
  <si>
    <t>TKN</t>
  </si>
  <si>
    <t>TOCarb</t>
  </si>
  <si>
    <t>Moisture</t>
  </si>
  <si>
    <t>SAR</t>
  </si>
  <si>
    <t>Sand</t>
  </si>
  <si>
    <t>Silt</t>
  </si>
  <si>
    <t>Clay</t>
  </si>
  <si>
    <t>Sampled:</t>
  </si>
  <si>
    <t>% H</t>
  </si>
  <si>
    <t>IncKey</t>
  </si>
  <si>
    <t>RequestIncKey</t>
  </si>
  <si>
    <t>Field</t>
  </si>
  <si>
    <t>StartingDepth</t>
  </si>
  <si>
    <t>EndingDepth</t>
  </si>
  <si>
    <t>NO3</t>
  </si>
  <si>
    <t>NH4</t>
  </si>
  <si>
    <t>PBic</t>
  </si>
  <si>
    <t>PBray</t>
  </si>
  <si>
    <t>TotalP</t>
  </si>
  <si>
    <t>TotalK</t>
  </si>
  <si>
    <t>ECE</t>
  </si>
  <si>
    <t>TotalC</t>
  </si>
  <si>
    <t>CaSatPas</t>
  </si>
  <si>
    <t>Density</t>
  </si>
  <si>
    <t>MgSatPas</t>
  </si>
  <si>
    <t>NaSatPas</t>
  </si>
  <si>
    <t>SampleDate</t>
  </si>
  <si>
    <t>SUMMARY PAGE</t>
  </si>
  <si>
    <t>CCE</t>
  </si>
  <si>
    <t>BSatPas</t>
  </si>
  <si>
    <t>CuSatPas</t>
  </si>
  <si>
    <t>FeSatPas</t>
  </si>
  <si>
    <t>KSatPas</t>
  </si>
  <si>
    <t>MnSatPas</t>
  </si>
  <si>
    <t>PSatPas</t>
  </si>
  <si>
    <t>SSatPas</t>
  </si>
  <si>
    <t>ZnSatPas</t>
  </si>
  <si>
    <t>Bicarb</t>
  </si>
  <si>
    <t>MODUSEvent</t>
  </si>
  <si>
    <t>H2O_Na</t>
  </si>
  <si>
    <t>SMP_Qtr</t>
  </si>
  <si>
    <t>P_Morgan</t>
  </si>
  <si>
    <t>ESP</t>
  </si>
  <si>
    <t>TotalCa</t>
  </si>
  <si>
    <t>TotalMg</t>
  </si>
  <si>
    <t>TotalNa</t>
  </si>
  <si>
    <t>TotalS</t>
  </si>
  <si>
    <t>TotalB</t>
  </si>
  <si>
    <t>TotalZn</t>
  </si>
  <si>
    <t>TotalMn</t>
  </si>
  <si>
    <t>TotalCu</t>
  </si>
  <si>
    <t>TotalFe</t>
  </si>
  <si>
    <t>TotalAl</t>
  </si>
  <si>
    <t>ProjectId</t>
  </si>
  <si>
    <t>ProjectNumber</t>
  </si>
  <si>
    <t>ProjectName</t>
  </si>
  <si>
    <t>CO2</t>
  </si>
  <si>
    <t>Biomass</t>
  </si>
  <si>
    <t>PMN</t>
  </si>
  <si>
    <t>Ca_SAR</t>
  </si>
  <si>
    <t>Mg_SAR</t>
  </si>
  <si>
    <t>Na_SAR</t>
  </si>
  <si>
    <t>SampleID</t>
  </si>
  <si>
    <t>Sample ID</t>
  </si>
  <si>
    <t>Sample</t>
  </si>
  <si>
    <t>TICarb</t>
  </si>
  <si>
    <t>Al_DTPA</t>
  </si>
  <si>
    <t>S_DTPA</t>
  </si>
  <si>
    <t>WHC</t>
  </si>
  <si>
    <t>TotalMo</t>
  </si>
  <si>
    <t>As_DTPA</t>
  </si>
  <si>
    <t>Cd_DTPA</t>
  </si>
  <si>
    <t>Co_DTPA</t>
  </si>
  <si>
    <t>Cr_DTPA</t>
  </si>
  <si>
    <t>Mo_DTPA</t>
  </si>
  <si>
    <t>Ni_DTPA</t>
  </si>
  <si>
    <t>Pb_DTPA</t>
  </si>
  <si>
    <t>Se_DTPA</t>
  </si>
  <si>
    <t>Si_DTPA</t>
  </si>
  <si>
    <t>Ba_DTPA</t>
  </si>
  <si>
    <t>Sb_DTPA</t>
  </si>
  <si>
    <t>Ti_DTPA</t>
  </si>
  <si>
    <t>V_DTPA</t>
  </si>
  <si>
    <t>Be_DTPA</t>
  </si>
  <si>
    <t>Sr_DTPA</t>
  </si>
  <si>
    <t>LOI</t>
  </si>
  <si>
    <t>NO2</t>
  </si>
  <si>
    <t>TVS</t>
  </si>
  <si>
    <t>phSP</t>
  </si>
  <si>
    <t>ecSP</t>
  </si>
  <si>
    <t>Bray</t>
  </si>
  <si>
    <t>Samples will be stored until</t>
  </si>
  <si>
    <t>AlSatPas</t>
  </si>
  <si>
    <t>PBrayP2</t>
  </si>
  <si>
    <t>MinN</t>
  </si>
  <si>
    <t>AlMeh</t>
  </si>
  <si>
    <t>BMeh</t>
  </si>
  <si>
    <t>CaMeh</t>
  </si>
  <si>
    <t>CuMeh</t>
  </si>
  <si>
    <t>FeMeh</t>
  </si>
  <si>
    <t>KMeh</t>
  </si>
  <si>
    <t>MgMeh</t>
  </si>
  <si>
    <t>MnMeh</t>
  </si>
  <si>
    <t>NaMeh</t>
  </si>
  <si>
    <t>PMeh</t>
  </si>
  <si>
    <t>SMeh</t>
  </si>
  <si>
    <t>ZnMeh</t>
  </si>
  <si>
    <t>BH3A</t>
  </si>
  <si>
    <t>CaH3A</t>
  </si>
  <si>
    <t>CuH3A</t>
  </si>
  <si>
    <t>FeH3A</t>
  </si>
  <si>
    <t>KH3A</t>
  </si>
  <si>
    <t>MgH3A</t>
  </si>
  <si>
    <t>MnH3A</t>
  </si>
  <si>
    <t>NaH3A</t>
  </si>
  <si>
    <t>PH3A</t>
  </si>
  <si>
    <t>SH3A</t>
  </si>
  <si>
    <t>ZnH3A</t>
  </si>
  <si>
    <t>Free Lime</t>
  </si>
  <si>
    <t>MNaasi</t>
  </si>
  <si>
    <t>MNaasi_Dead</t>
  </si>
  <si>
    <t>MHapla</t>
  </si>
  <si>
    <t>MHapla_Dead</t>
  </si>
  <si>
    <t>MChit</t>
  </si>
  <si>
    <t>MChit_Dead</t>
  </si>
  <si>
    <t>RootLesion</t>
  </si>
  <si>
    <t>RootLesion_Dead</t>
  </si>
  <si>
    <t>StubbyRoot</t>
  </si>
  <si>
    <t>StubbyRoot_Dead</t>
  </si>
  <si>
    <t>Stunt</t>
  </si>
  <si>
    <t>Pin</t>
  </si>
  <si>
    <t>Spiral</t>
  </si>
  <si>
    <t>Stem</t>
  </si>
  <si>
    <t>Ring</t>
  </si>
  <si>
    <t>Dagger</t>
  </si>
  <si>
    <t>Sheath</t>
  </si>
  <si>
    <t>LarvalCyst</t>
  </si>
  <si>
    <t>Activity</t>
  </si>
  <si>
    <t>Total</t>
  </si>
  <si>
    <t>Sikora</t>
  </si>
  <si>
    <t>AgriManagement - Inc.</t>
  </si>
  <si>
    <t>G-H</t>
  </si>
  <si>
    <t>3749</t>
  </si>
  <si>
    <t>06 AB</t>
  </si>
  <si>
    <t>Hops</t>
  </si>
  <si>
    <t>E1</t>
  </si>
  <si>
    <t>R</t>
  </si>
  <si>
    <t>KTL</t>
  </si>
  <si>
    <t>3750</t>
  </si>
  <si>
    <t>E6</t>
  </si>
  <si>
    <t>3751</t>
  </si>
  <si>
    <t>10 A</t>
  </si>
  <si>
    <t>3752</t>
  </si>
  <si>
    <t>3753</t>
  </si>
  <si>
    <t>17 C-18 C</t>
  </si>
  <si>
    <t>3754</t>
  </si>
  <si>
    <t>Slight</t>
  </si>
  <si>
    <t>Medium</t>
  </si>
  <si>
    <t>Heavy</t>
  </si>
  <si>
    <t>Y100</t>
  </si>
  <si>
    <t>Yard01</t>
  </si>
  <si>
    <t>Yard02</t>
  </si>
  <si>
    <t>Yard03</t>
  </si>
</sst>
</file>

<file path=xl/styles.xml><?xml version="1.0" encoding="utf-8"?>
<styleSheet xmlns="http://schemas.openxmlformats.org/spreadsheetml/2006/main">
  <numFmts count="8">
    <numFmt numFmtId="164" formatCode="General_)"/>
    <numFmt numFmtId="165" formatCode="0.0_)"/>
    <numFmt numFmtId="166" formatCode="0.00_)"/>
    <numFmt numFmtId="167" formatCode="0_)"/>
    <numFmt numFmtId="168" formatCode="0.0"/>
    <numFmt numFmtId="169" formatCode="[$-409]mmmm\ d\,\ yyyy;@"/>
    <numFmt numFmtId="170" formatCode="0.0%"/>
    <numFmt numFmtId="171" formatCode="0.0000"/>
  </numFmts>
  <fonts count="67">
    <font>
      <sz val="12"/>
      <name val="Arial MT"/>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indexed="12"/>
      <name val="Arial MT"/>
    </font>
    <font>
      <b/>
      <sz val="12"/>
      <name val="Arial MT"/>
    </font>
    <font>
      <sz val="10"/>
      <name val="TimesNewRomanPS"/>
    </font>
    <font>
      <sz val="12"/>
      <name val="Arial MT"/>
      <family val="2"/>
    </font>
    <font>
      <sz val="16"/>
      <name val="Arial MT"/>
    </font>
    <font>
      <b/>
      <sz val="14"/>
      <name val="Arial"/>
      <family val="2"/>
    </font>
    <font>
      <b/>
      <sz val="16"/>
      <name val="Arial MT"/>
    </font>
    <font>
      <b/>
      <sz val="12"/>
      <name val="Arial"/>
      <family val="2"/>
    </font>
    <font>
      <sz val="12"/>
      <name val="Arial"/>
      <family val="2"/>
    </font>
    <font>
      <sz val="8"/>
      <name val="Arial"/>
      <family val="2"/>
    </font>
    <font>
      <sz val="18"/>
      <name val="Arial MT"/>
    </font>
    <font>
      <b/>
      <i/>
      <sz val="18"/>
      <name val="Arial MT"/>
    </font>
    <font>
      <sz val="12"/>
      <color theme="3" tint="-0.249977111117893"/>
      <name val="Arial MT"/>
    </font>
    <font>
      <b/>
      <i/>
      <sz val="24"/>
      <color theme="3" tint="-0.249977111117893"/>
      <name val="Arial MT"/>
    </font>
    <font>
      <b/>
      <sz val="14"/>
      <color theme="3" tint="-0.249977111117893"/>
      <name val="Arial MT"/>
    </font>
    <font>
      <b/>
      <i/>
      <sz val="14"/>
      <color theme="3" tint="-0.249977111117893"/>
      <name val="Arial MT"/>
    </font>
    <font>
      <sz val="12"/>
      <name val="Arial MT"/>
    </font>
    <font>
      <b/>
      <sz val="20"/>
      <name val="Arial MT"/>
    </font>
    <font>
      <sz val="20"/>
      <name val="Arial MT"/>
    </font>
    <font>
      <sz val="14"/>
      <name val="Arial"/>
      <family val="2"/>
    </font>
    <font>
      <sz val="14"/>
      <name val="Arial MT"/>
    </font>
    <font>
      <b/>
      <sz val="16"/>
      <name val="Arial"/>
      <family val="2"/>
    </font>
    <font>
      <b/>
      <sz val="16"/>
      <name val="Arial MT"/>
      <family val="2"/>
    </font>
    <font>
      <sz val="16"/>
      <name val="Arial MT"/>
      <family val="2"/>
    </font>
    <font>
      <b/>
      <i/>
      <sz val="16"/>
      <name val="Arial MT"/>
      <family val="2"/>
    </font>
    <font>
      <i/>
      <sz val="14"/>
      <name val="Arial MT"/>
    </font>
    <font>
      <b/>
      <u/>
      <sz val="16"/>
      <name val="Arial MT"/>
    </font>
    <font>
      <i/>
      <sz val="20"/>
      <name val="Arial MT"/>
    </font>
    <font>
      <b/>
      <sz val="20"/>
      <name val="Arial MT"/>
      <family val="2"/>
    </font>
    <font>
      <b/>
      <i/>
      <sz val="20"/>
      <name val="Arial MT"/>
    </font>
    <font>
      <sz val="20"/>
      <color theme="1"/>
      <name val="Arial"/>
      <family val="2"/>
    </font>
    <font>
      <b/>
      <sz val="18"/>
      <name val="Arial"/>
      <family val="2"/>
    </font>
    <font>
      <sz val="16"/>
      <name val="Arial"/>
      <family val="2"/>
    </font>
    <font>
      <b/>
      <sz val="18"/>
      <name val="Arial MT"/>
    </font>
    <font>
      <sz val="20"/>
      <name val="Arial"/>
      <family val="2"/>
    </font>
    <font>
      <sz val="12"/>
      <color theme="0"/>
      <name val="Arial MT"/>
    </font>
    <font>
      <i/>
      <sz val="14"/>
      <color theme="0"/>
      <name val="Arial MT"/>
    </font>
    <font>
      <sz val="12"/>
      <color rgb="FFFF0000"/>
      <name val="Arial MT"/>
    </font>
    <font>
      <sz val="14"/>
      <color theme="0"/>
      <name val="Arial MT"/>
    </font>
    <font>
      <sz val="10"/>
      <color theme="0"/>
      <name val="TimesNewRomanPS"/>
    </font>
    <font>
      <b/>
      <i/>
      <sz val="16"/>
      <color theme="0"/>
      <name val="Arial"/>
      <family val="2"/>
    </font>
    <font>
      <b/>
      <sz val="12"/>
      <color theme="0"/>
      <name val="Arial MT"/>
      <family val="2"/>
    </font>
    <font>
      <sz val="12"/>
      <color theme="0"/>
      <name val="Arial MT"/>
      <family val="2"/>
    </font>
    <font>
      <b/>
      <i/>
      <sz val="10"/>
      <color theme="0"/>
      <name val="TimesNewRomanPS"/>
    </font>
    <font>
      <b/>
      <i/>
      <sz val="12"/>
      <color theme="0"/>
      <name val="Arial MT"/>
      <family val="2"/>
    </font>
    <font>
      <sz val="10"/>
      <color theme="0"/>
      <name val="Arial"/>
      <family val="2"/>
    </font>
    <font>
      <sz val="13"/>
      <color theme="0"/>
      <name val="Arial"/>
      <family val="2"/>
    </font>
    <font>
      <sz val="14"/>
      <color theme="0"/>
      <name val="Arial"/>
      <family val="2"/>
    </font>
    <font>
      <b/>
      <sz val="14"/>
      <color theme="0"/>
      <name val="Arial MT"/>
    </font>
    <font>
      <b/>
      <i/>
      <sz val="12"/>
      <color theme="0"/>
      <name val="Arial MT"/>
    </font>
    <font>
      <b/>
      <sz val="14"/>
      <color theme="0"/>
      <name val="Arial"/>
      <family val="2"/>
    </font>
    <font>
      <sz val="8"/>
      <color theme="0"/>
      <name val="TimesNewRomanPS"/>
    </font>
    <font>
      <b/>
      <sz val="16"/>
      <color theme="0"/>
      <name val="Arial"/>
      <family val="2"/>
    </font>
    <font>
      <sz val="14"/>
      <color theme="0"/>
      <name val="TimesNewRomanPS"/>
    </font>
    <font>
      <b/>
      <sz val="10"/>
      <color theme="0"/>
      <name val="Arial"/>
      <family val="2"/>
    </font>
    <font>
      <b/>
      <sz val="28"/>
      <name val="Arial"/>
      <family val="2"/>
    </font>
    <font>
      <sz val="8"/>
      <name val="Arial MT"/>
    </font>
    <font>
      <sz val="16"/>
      <color theme="1"/>
      <name val="Arial"/>
      <family val="2"/>
    </font>
    <font>
      <b/>
      <sz val="14"/>
      <name val="Arial MT"/>
      <family val="2"/>
    </font>
    <font>
      <sz val="11"/>
      <color theme="0"/>
      <name val="Arial"/>
      <family val="2"/>
    </font>
    <font>
      <sz val="12"/>
      <color theme="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indexed="9"/>
      </patternFill>
    </fill>
    <fill>
      <patternFill patternType="solid">
        <fgColor theme="0"/>
        <bgColor indexed="64"/>
      </patternFill>
    </fill>
  </fills>
  <borders count="34">
    <border>
      <left/>
      <right/>
      <top/>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top/>
      <bottom style="thick">
        <color rgb="FF227B3D"/>
      </bottom>
      <diagonal/>
    </border>
    <border>
      <left/>
      <right/>
      <top style="thick">
        <color rgb="FF227B3D"/>
      </top>
      <bottom/>
      <diagonal/>
    </border>
    <border>
      <left/>
      <right/>
      <top/>
      <bottom style="medium">
        <color indexed="64"/>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1"/>
      </left>
      <right/>
      <top style="thick">
        <color rgb="FF227B3D"/>
      </top>
      <bottom style="thin">
        <color auto="1"/>
      </bottom>
      <diagonal/>
    </border>
    <border>
      <left/>
      <right/>
      <top style="thick">
        <color rgb="FF227B3D"/>
      </top>
      <bottom style="thin">
        <color auto="1"/>
      </bottom>
      <diagonal/>
    </border>
    <border>
      <left/>
      <right style="thin">
        <color theme="1"/>
      </right>
      <top style="thick">
        <color rgb="FF227B3D"/>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theme="1"/>
      </left>
      <right/>
      <top/>
      <bottom/>
      <diagonal/>
    </border>
    <border>
      <left/>
      <right style="thin">
        <color theme="1"/>
      </right>
      <top/>
      <bottom/>
      <diagonal/>
    </border>
    <border>
      <left style="thin">
        <color theme="1"/>
      </left>
      <right/>
      <top style="medium">
        <color rgb="FF227B3D"/>
      </top>
      <bottom/>
      <diagonal/>
    </border>
    <border>
      <left/>
      <right/>
      <top style="medium">
        <color rgb="FF227B3D"/>
      </top>
      <bottom/>
      <diagonal/>
    </border>
    <border>
      <left/>
      <right style="thin">
        <color theme="1"/>
      </right>
      <top style="medium">
        <color rgb="FF227B3D"/>
      </top>
      <bottom/>
      <diagonal/>
    </border>
    <border>
      <left style="thin">
        <color theme="1"/>
      </left>
      <right/>
      <top/>
      <bottom style="medium">
        <color rgb="FF227B3D"/>
      </bottom>
      <diagonal/>
    </border>
    <border>
      <left/>
      <right/>
      <top/>
      <bottom style="medium">
        <color rgb="FF227B3D"/>
      </bottom>
      <diagonal/>
    </border>
    <border>
      <left/>
      <right style="thin">
        <color theme="1"/>
      </right>
      <top/>
      <bottom style="medium">
        <color rgb="FF227B3D"/>
      </bottom>
      <diagonal/>
    </border>
    <border>
      <left style="thin">
        <color theme="1"/>
      </left>
      <right style="thin">
        <color theme="1"/>
      </right>
      <top/>
      <bottom/>
      <diagonal/>
    </border>
    <border>
      <left style="thin">
        <color indexed="8"/>
      </left>
      <right style="thin">
        <color indexed="8"/>
      </right>
      <top/>
      <bottom style="thin">
        <color indexed="64"/>
      </bottom>
      <diagonal/>
    </border>
    <border>
      <left style="thin">
        <color indexed="8"/>
      </left>
      <right/>
      <top/>
      <bottom style="thin">
        <color indexed="64"/>
      </bottom>
      <diagonal/>
    </border>
    <border>
      <left/>
      <right style="thin">
        <color indexed="8"/>
      </right>
      <top/>
      <bottom style="thin">
        <color indexed="64"/>
      </bottom>
      <diagonal/>
    </border>
  </borders>
  <cellStyleXfs count="5">
    <xf numFmtId="164" fontId="0" fillId="0" borderId="0"/>
    <xf numFmtId="0" fontId="5" fillId="0" borderId="0"/>
    <xf numFmtId="0" fontId="22" fillId="3" borderId="0"/>
    <xf numFmtId="0" fontId="4" fillId="0" borderId="0"/>
    <xf numFmtId="0" fontId="3" fillId="0" borderId="0"/>
  </cellStyleXfs>
  <cellXfs count="265">
    <xf numFmtId="164" fontId="0" fillId="0" borderId="0" xfId="0"/>
    <xf numFmtId="164" fontId="6" fillId="0" borderId="0" xfId="0" applyFont="1" applyProtection="1">
      <protection locked="0"/>
    </xf>
    <xf numFmtId="164" fontId="7" fillId="0" borderId="0" xfId="0" applyFont="1" applyAlignment="1">
      <alignment horizontal="center"/>
    </xf>
    <xf numFmtId="165" fontId="0" fillId="0" borderId="0" xfId="0" applyNumberFormat="1"/>
    <xf numFmtId="2" fontId="0" fillId="0" borderId="0" xfId="0" applyNumberFormat="1"/>
    <xf numFmtId="2" fontId="7" fillId="0" borderId="0" xfId="0" applyNumberFormat="1" applyFont="1" applyAlignment="1">
      <alignment horizontal="center"/>
    </xf>
    <xf numFmtId="2" fontId="6" fillId="0" borderId="0" xfId="0" applyNumberFormat="1" applyFont="1" applyProtection="1">
      <protection locked="0"/>
    </xf>
    <xf numFmtId="49" fontId="0" fillId="0" borderId="0" xfId="0" applyNumberFormat="1"/>
    <xf numFmtId="164" fontId="18" fillId="0" borderId="0" xfId="0" applyFont="1"/>
    <xf numFmtId="164" fontId="19" fillId="0" borderId="0" xfId="0" applyFont="1" applyAlignment="1" applyProtection="1">
      <alignment horizontal="left"/>
      <protection locked="0"/>
    </xf>
    <xf numFmtId="164" fontId="20" fillId="0" borderId="0" xfId="0" applyFont="1" applyAlignment="1" applyProtection="1">
      <alignment horizontal="left"/>
      <protection locked="0"/>
    </xf>
    <xf numFmtId="164" fontId="21" fillId="0" borderId="0" xfId="0" applyFont="1" applyAlignment="1">
      <alignment horizontal="left"/>
    </xf>
    <xf numFmtId="164" fontId="8" fillId="0" borderId="0" xfId="0" applyFont="1"/>
    <xf numFmtId="2" fontId="8" fillId="0" borderId="0" xfId="0" applyNumberFormat="1" applyFont="1"/>
    <xf numFmtId="164" fontId="8" fillId="0" borderId="0" xfId="0" applyFont="1" applyProtection="1">
      <protection locked="0"/>
    </xf>
    <xf numFmtId="165" fontId="8" fillId="0" borderId="0" xfId="0" applyNumberFormat="1" applyFont="1" applyProtection="1">
      <protection locked="0"/>
    </xf>
    <xf numFmtId="2" fontId="9" fillId="0" borderId="0" xfId="0" applyNumberFormat="1" applyFont="1"/>
    <xf numFmtId="2" fontId="8" fillId="0" borderId="0" xfId="0" applyNumberFormat="1" applyFont="1" applyProtection="1">
      <protection locked="0"/>
    </xf>
    <xf numFmtId="164" fontId="7" fillId="0" borderId="0" xfId="0" applyFont="1" applyAlignment="1">
      <alignment horizontal="left"/>
    </xf>
    <xf numFmtId="164" fontId="0" fillId="0" borderId="8" xfId="0" applyBorder="1"/>
    <xf numFmtId="2" fontId="0" fillId="0" borderId="8" xfId="0" applyNumberFormat="1" applyBorder="1"/>
    <xf numFmtId="165" fontId="0" fillId="0" borderId="8" xfId="0" applyNumberFormat="1" applyBorder="1"/>
    <xf numFmtId="164" fontId="0" fillId="0" borderId="9" xfId="0" applyBorder="1"/>
    <xf numFmtId="2" fontId="0" fillId="0" borderId="9" xfId="0" applyNumberFormat="1" applyBorder="1"/>
    <xf numFmtId="165" fontId="0" fillId="0" borderId="9" xfId="0" applyNumberFormat="1" applyBorder="1"/>
    <xf numFmtId="164" fontId="14" fillId="2" borderId="0" xfId="0" applyFont="1" applyFill="1" applyAlignment="1">
      <alignment horizontal="center"/>
    </xf>
    <xf numFmtId="169" fontId="16" fillId="0" borderId="0" xfId="0" applyNumberFormat="1" applyFont="1"/>
    <xf numFmtId="169" fontId="17" fillId="0" borderId="0" xfId="0" applyNumberFormat="1" applyFont="1"/>
    <xf numFmtId="164" fontId="27" fillId="2" borderId="0" xfId="0" applyFont="1" applyFill="1" applyAlignment="1">
      <alignment horizontal="center"/>
    </xf>
    <xf numFmtId="164" fontId="27" fillId="2" borderId="11" xfId="0" applyFont="1" applyFill="1" applyBorder="1" applyAlignment="1">
      <alignment horizontal="center"/>
    </xf>
    <xf numFmtId="2" fontId="27" fillId="2" borderId="11" xfId="0" applyNumberFormat="1" applyFont="1" applyFill="1" applyBorder="1" applyAlignment="1">
      <alignment horizontal="center"/>
    </xf>
    <xf numFmtId="164" fontId="14" fillId="2" borderId="14" xfId="0" applyFont="1" applyFill="1" applyBorder="1" applyAlignment="1">
      <alignment horizontal="center"/>
    </xf>
    <xf numFmtId="164" fontId="14" fillId="2" borderId="15" xfId="0" applyFont="1" applyFill="1" applyBorder="1" applyAlignment="1">
      <alignment horizontal="center"/>
    </xf>
    <xf numFmtId="164" fontId="27" fillId="2" borderId="12" xfId="0" applyFont="1" applyFill="1" applyBorder="1" applyAlignment="1">
      <alignment horizontal="center"/>
    </xf>
    <xf numFmtId="2" fontId="27" fillId="2" borderId="13" xfId="0" applyNumberFormat="1" applyFont="1" applyFill="1" applyBorder="1" applyAlignment="1">
      <alignment horizontal="center"/>
    </xf>
    <xf numFmtId="164" fontId="27" fillId="2" borderId="13" xfId="0" applyFont="1" applyFill="1" applyBorder="1" applyAlignment="1">
      <alignment horizontal="center"/>
    </xf>
    <xf numFmtId="164" fontId="14" fillId="2" borderId="14" xfId="0" quotePrefix="1" applyFont="1" applyFill="1" applyBorder="1" applyAlignment="1">
      <alignment horizontal="center"/>
    </xf>
    <xf numFmtId="164" fontId="14" fillId="2" borderId="14" xfId="0" applyFont="1" applyFill="1" applyBorder="1"/>
    <xf numFmtId="164" fontId="10" fillId="0" borderId="0" xfId="0" applyFont="1" applyAlignment="1">
      <alignment horizontal="right"/>
    </xf>
    <xf numFmtId="164" fontId="28" fillId="0" borderId="0" xfId="0" applyFont="1" applyAlignment="1">
      <alignment horizontal="left"/>
    </xf>
    <xf numFmtId="164" fontId="29" fillId="0" borderId="0" xfId="0" applyFont="1"/>
    <xf numFmtId="164" fontId="30" fillId="0" borderId="0" xfId="0" applyFont="1"/>
    <xf numFmtId="167" fontId="26" fillId="0" borderId="0" xfId="0" applyNumberFormat="1" applyFont="1" applyAlignment="1" applyProtection="1">
      <alignment horizontal="center" vertical="center"/>
      <protection locked="0"/>
    </xf>
    <xf numFmtId="165" fontId="31" fillId="0" borderId="0" xfId="0" applyNumberFormat="1" applyFont="1" applyAlignment="1" applyProtection="1">
      <alignment horizontal="center" vertical="center"/>
      <protection locked="0"/>
    </xf>
    <xf numFmtId="164" fontId="26" fillId="0" borderId="0" xfId="0" applyFont="1" applyAlignment="1" applyProtection="1">
      <alignment horizontal="center" vertical="center"/>
      <protection locked="0"/>
    </xf>
    <xf numFmtId="2" fontId="26" fillId="0" borderId="0" xfId="0" applyNumberFormat="1" applyFont="1" applyAlignment="1" applyProtection="1">
      <alignment horizontal="center" vertical="center"/>
      <protection locked="0"/>
    </xf>
    <xf numFmtId="165" fontId="26" fillId="0" borderId="0" xfId="0" applyNumberFormat="1" applyFont="1" applyAlignment="1" applyProtection="1">
      <alignment horizontal="center" vertical="center"/>
      <protection locked="0"/>
    </xf>
    <xf numFmtId="166" fontId="26" fillId="0" borderId="0" xfId="0" applyNumberFormat="1" applyFont="1" applyAlignment="1" applyProtection="1">
      <alignment horizontal="center" vertical="center"/>
      <protection locked="0"/>
    </xf>
    <xf numFmtId="165" fontId="31" fillId="0" borderId="0" xfId="0" applyNumberFormat="1" applyFont="1" applyAlignment="1">
      <alignment horizontal="center" vertical="center"/>
    </xf>
    <xf numFmtId="2" fontId="31" fillId="0" borderId="0" xfId="0" applyNumberFormat="1" applyFont="1" applyAlignment="1">
      <alignment horizontal="center" vertical="center"/>
    </xf>
    <xf numFmtId="2" fontId="26" fillId="0" borderId="0" xfId="0" applyNumberFormat="1" applyFont="1" applyAlignment="1">
      <alignment horizontal="center" vertical="center"/>
    </xf>
    <xf numFmtId="0" fontId="25" fillId="0" borderId="0" xfId="1" applyFont="1" applyAlignment="1">
      <alignment horizontal="center" vertical="center"/>
    </xf>
    <xf numFmtId="164" fontId="26" fillId="0" borderId="0" xfId="0" applyFont="1" applyAlignment="1">
      <alignment horizontal="center" vertical="center"/>
    </xf>
    <xf numFmtId="164" fontId="28" fillId="0" borderId="0" xfId="0" applyFont="1" applyAlignment="1">
      <alignment horizontal="right"/>
    </xf>
    <xf numFmtId="164" fontId="8" fillId="0" borderId="0" xfId="0" applyFont="1" applyAlignment="1" applyProtection="1">
      <alignment horizontal="right"/>
      <protection locked="0"/>
    </xf>
    <xf numFmtId="164" fontId="32" fillId="0" borderId="0" xfId="0" applyFont="1"/>
    <xf numFmtId="164" fontId="34" fillId="0" borderId="0" xfId="0" applyFont="1" applyAlignment="1">
      <alignment horizontal="right"/>
    </xf>
    <xf numFmtId="164" fontId="35" fillId="0" borderId="0" xfId="0" applyFont="1" applyAlignment="1" applyProtection="1">
      <alignment horizontal="center"/>
      <protection locked="0"/>
    </xf>
    <xf numFmtId="168" fontId="33" fillId="0" borderId="0" xfId="0" applyNumberFormat="1" applyFont="1" applyProtection="1">
      <protection locked="0"/>
    </xf>
    <xf numFmtId="164" fontId="23" fillId="0" borderId="0" xfId="0" applyFont="1"/>
    <xf numFmtId="164" fontId="12" fillId="0" borderId="0" xfId="0" applyFont="1"/>
    <xf numFmtId="164" fontId="38" fillId="0" borderId="0" xfId="0" applyFont="1"/>
    <xf numFmtId="164" fontId="39" fillId="0" borderId="0" xfId="0" applyFont="1"/>
    <xf numFmtId="164" fontId="14" fillId="2" borderId="20" xfId="0" applyFont="1" applyFill="1" applyBorder="1"/>
    <xf numFmtId="164" fontId="14" fillId="2" borderId="19" xfId="0" applyFont="1" applyFill="1" applyBorder="1" applyAlignment="1">
      <alignment horizontal="center"/>
    </xf>
    <xf numFmtId="164" fontId="14" fillId="2" borderId="20" xfId="0" applyFont="1" applyFill="1" applyBorder="1" applyAlignment="1">
      <alignment horizontal="center"/>
    </xf>
    <xf numFmtId="164" fontId="14" fillId="2" borderId="21" xfId="0" applyFont="1" applyFill="1" applyBorder="1" applyAlignment="1">
      <alignment horizontal="center"/>
    </xf>
    <xf numFmtId="164" fontId="15" fillId="2" borderId="20" xfId="0" applyFont="1" applyFill="1" applyBorder="1" applyAlignment="1">
      <alignment horizontal="center"/>
    </xf>
    <xf numFmtId="164" fontId="15" fillId="2" borderId="19" xfId="0" applyFont="1" applyFill="1" applyBorder="1" applyAlignment="1">
      <alignment horizontal="center"/>
    </xf>
    <xf numFmtId="165" fontId="13" fillId="2" borderId="7" xfId="0" applyNumberFormat="1" applyFont="1" applyFill="1" applyBorder="1" applyAlignment="1">
      <alignment horizontal="center"/>
    </xf>
    <xf numFmtId="165" fontId="13" fillId="2" borderId="1" xfId="0" applyNumberFormat="1" applyFont="1" applyFill="1" applyBorder="1" applyAlignment="1">
      <alignment horizontal="center"/>
    </xf>
    <xf numFmtId="164" fontId="13" fillId="2" borderId="2" xfId="0" quotePrefix="1" applyFont="1" applyFill="1" applyBorder="1" applyAlignment="1">
      <alignment horizontal="center"/>
    </xf>
    <xf numFmtId="164" fontId="13" fillId="2" borderId="0" xfId="0" quotePrefix="1" applyFont="1" applyFill="1" applyAlignment="1">
      <alignment horizontal="center"/>
    </xf>
    <xf numFmtId="164" fontId="11" fillId="2" borderId="7" xfId="0" applyFont="1" applyFill="1" applyBorder="1" applyAlignment="1">
      <alignment horizontal="center"/>
    </xf>
    <xf numFmtId="164" fontId="11" fillId="2" borderId="1" xfId="0" quotePrefix="1" applyFont="1" applyFill="1" applyBorder="1" applyAlignment="1">
      <alignment horizontal="center"/>
    </xf>
    <xf numFmtId="164" fontId="13" fillId="2" borderId="3" xfId="0" quotePrefix="1" applyFont="1" applyFill="1" applyBorder="1" applyAlignment="1">
      <alignment horizontal="center"/>
    </xf>
    <xf numFmtId="164" fontId="0" fillId="0" borderId="25" xfId="0" applyBorder="1"/>
    <xf numFmtId="2" fontId="0" fillId="0" borderId="25" xfId="0" applyNumberFormat="1" applyBorder="1"/>
    <xf numFmtId="165" fontId="0" fillId="0" borderId="25" xfId="0" applyNumberFormat="1" applyBorder="1"/>
    <xf numFmtId="164" fontId="27" fillId="2" borderId="15" xfId="0" applyFont="1" applyFill="1" applyBorder="1" applyAlignment="1">
      <alignment horizontal="center"/>
    </xf>
    <xf numFmtId="164" fontId="28" fillId="0" borderId="0" xfId="0" applyFont="1" applyAlignment="1">
      <alignment horizontal="center"/>
    </xf>
    <xf numFmtId="164" fontId="14" fillId="2" borderId="0" xfId="0" quotePrefix="1" applyFont="1" applyFill="1" applyAlignment="1">
      <alignment horizontal="center"/>
    </xf>
    <xf numFmtId="164" fontId="24" fillId="0" borderId="0" xfId="0" applyFont="1" applyAlignment="1">
      <alignment horizontal="center"/>
    </xf>
    <xf numFmtId="164" fontId="13" fillId="2" borderId="19" xfId="0" applyFont="1" applyFill="1" applyBorder="1" applyAlignment="1">
      <alignment horizontal="center"/>
    </xf>
    <xf numFmtId="164" fontId="14" fillId="2" borderId="19" xfId="0" applyFont="1" applyFill="1" applyBorder="1"/>
    <xf numFmtId="164" fontId="23" fillId="0" borderId="0" xfId="0" applyFont="1" applyAlignment="1">
      <alignment horizontal="left"/>
    </xf>
    <xf numFmtId="169" fontId="35" fillId="0" borderId="0" xfId="0" applyNumberFormat="1" applyFont="1"/>
    <xf numFmtId="169" fontId="24" fillId="0" borderId="0" xfId="0" applyNumberFormat="1" applyFont="1"/>
    <xf numFmtId="164" fontId="23" fillId="0" borderId="0" xfId="0" applyFont="1" applyAlignment="1">
      <alignment horizontal="right"/>
    </xf>
    <xf numFmtId="164" fontId="0" fillId="0" borderId="27" xfId="0" applyBorder="1"/>
    <xf numFmtId="164" fontId="0" fillId="0" borderId="28" xfId="0" applyBorder="1"/>
    <xf numFmtId="2" fontId="0" fillId="0" borderId="28" xfId="0" applyNumberFormat="1" applyBorder="1"/>
    <xf numFmtId="165" fontId="0" fillId="0" borderId="28" xfId="0" applyNumberFormat="1" applyBorder="1"/>
    <xf numFmtId="164" fontId="0" fillId="0" borderId="29" xfId="0" applyBorder="1"/>
    <xf numFmtId="164" fontId="36" fillId="0" borderId="22" xfId="0" applyFont="1" applyBorder="1" applyAlignment="1">
      <alignment horizontal="center" vertical="center"/>
    </xf>
    <xf numFmtId="164" fontId="36" fillId="0" borderId="0" xfId="0" applyFont="1" applyAlignment="1">
      <alignment horizontal="center" vertical="center"/>
    </xf>
    <xf numFmtId="167" fontId="36" fillId="0" borderId="22" xfId="0" applyNumberFormat="1" applyFont="1" applyBorder="1" applyAlignment="1">
      <alignment horizontal="center" vertical="center"/>
    </xf>
    <xf numFmtId="168" fontId="36" fillId="0" borderId="23" xfId="0" applyNumberFormat="1" applyFont="1" applyBorder="1" applyAlignment="1">
      <alignment horizontal="center" vertical="center"/>
    </xf>
    <xf numFmtId="168" fontId="36" fillId="0" borderId="0" xfId="0" applyNumberFormat="1" applyFont="1" applyAlignment="1">
      <alignment horizontal="center" vertical="center"/>
    </xf>
    <xf numFmtId="2" fontId="36" fillId="0" borderId="23" xfId="0" applyNumberFormat="1" applyFont="1" applyBorder="1" applyAlignment="1">
      <alignment horizontal="center" vertical="center"/>
    </xf>
    <xf numFmtId="1" fontId="36" fillId="0" borderId="22" xfId="0" applyNumberFormat="1" applyFont="1" applyBorder="1" applyAlignment="1">
      <alignment horizontal="center" vertical="center"/>
    </xf>
    <xf numFmtId="166" fontId="36" fillId="0" borderId="0" xfId="0" applyNumberFormat="1" applyFont="1" applyAlignment="1">
      <alignment horizontal="center" vertical="center"/>
    </xf>
    <xf numFmtId="165" fontId="36" fillId="0" borderId="0" xfId="0" applyNumberFormat="1" applyFont="1" applyAlignment="1">
      <alignment horizontal="center" vertical="center"/>
    </xf>
    <xf numFmtId="164" fontId="36" fillId="0" borderId="23" xfId="0" applyFont="1" applyBorder="1" applyAlignment="1">
      <alignment horizontal="center" vertical="center"/>
    </xf>
    <xf numFmtId="164" fontId="41" fillId="0" borderId="0" xfId="0" applyFont="1"/>
    <xf numFmtId="165" fontId="42" fillId="0" borderId="0" xfId="0" applyNumberFormat="1" applyFont="1" applyAlignment="1">
      <alignment horizontal="center" vertical="center"/>
    </xf>
    <xf numFmtId="164" fontId="43" fillId="0" borderId="0" xfId="0" applyFont="1"/>
    <xf numFmtId="2" fontId="44" fillId="0" borderId="0" xfId="0" applyNumberFormat="1" applyFont="1" applyAlignment="1">
      <alignment horizontal="center" vertical="center"/>
    </xf>
    <xf numFmtId="164" fontId="45" fillId="0" borderId="0" xfId="0" applyFont="1"/>
    <xf numFmtId="2" fontId="45" fillId="0" borderId="0" xfId="0" applyNumberFormat="1" applyFont="1"/>
    <xf numFmtId="164" fontId="46" fillId="0" borderId="0" xfId="0" applyFont="1"/>
    <xf numFmtId="164" fontId="47" fillId="0" borderId="0" xfId="0" applyFont="1" applyAlignment="1">
      <alignment horizontal="left"/>
    </xf>
    <xf numFmtId="164" fontId="48" fillId="0" borderId="0" xfId="0" applyFont="1"/>
    <xf numFmtId="2" fontId="48" fillId="0" borderId="0" xfId="0" applyNumberFormat="1" applyFont="1" applyProtection="1">
      <protection locked="0"/>
    </xf>
    <xf numFmtId="2" fontId="48" fillId="0" borderId="0" xfId="0" applyNumberFormat="1" applyFont="1"/>
    <xf numFmtId="164" fontId="49" fillId="0" borderId="0" xfId="0" applyFont="1"/>
    <xf numFmtId="164" fontId="50" fillId="0" borderId="0" xfId="0" applyFont="1" applyProtection="1">
      <protection locked="0"/>
    </xf>
    <xf numFmtId="164" fontId="50" fillId="0" borderId="0" xfId="0" applyFont="1"/>
    <xf numFmtId="0" fontId="51" fillId="0" borderId="0" xfId="1" applyFont="1"/>
    <xf numFmtId="0" fontId="52" fillId="0" borderId="0" xfId="1" applyFont="1"/>
    <xf numFmtId="2" fontId="36" fillId="0" borderId="0" xfId="0" applyNumberFormat="1" applyFont="1" applyAlignment="1">
      <alignment horizontal="center" vertical="center"/>
    </xf>
    <xf numFmtId="167" fontId="44" fillId="0" borderId="0" xfId="0" applyNumberFormat="1" applyFont="1" applyAlignment="1" applyProtection="1">
      <alignment horizontal="center" vertical="center"/>
      <protection locked="0"/>
    </xf>
    <xf numFmtId="165" fontId="42" fillId="0" borderId="0" xfId="0" applyNumberFormat="1" applyFont="1" applyAlignment="1" applyProtection="1">
      <alignment horizontal="center" vertical="center"/>
      <protection locked="0"/>
    </xf>
    <xf numFmtId="164" fontId="44" fillId="0" borderId="0" xfId="0" applyFont="1" applyAlignment="1" applyProtection="1">
      <alignment horizontal="center" vertical="center"/>
      <protection locked="0"/>
    </xf>
    <xf numFmtId="2" fontId="44" fillId="0" borderId="0" xfId="0" applyNumberFormat="1" applyFont="1" applyAlignment="1" applyProtection="1">
      <alignment horizontal="center" vertical="center"/>
      <protection locked="0"/>
    </xf>
    <xf numFmtId="165" fontId="44" fillId="0" borderId="0" xfId="0" applyNumberFormat="1" applyFont="1" applyAlignment="1" applyProtection="1">
      <alignment horizontal="center" vertical="center"/>
      <protection locked="0"/>
    </xf>
    <xf numFmtId="166" fontId="44" fillId="0" borderId="0" xfId="0" applyNumberFormat="1" applyFont="1" applyAlignment="1" applyProtection="1">
      <alignment horizontal="center" vertical="center"/>
      <protection locked="0"/>
    </xf>
    <xf numFmtId="2" fontId="42" fillId="0" borderId="0" xfId="0" applyNumberFormat="1" applyFont="1" applyAlignment="1">
      <alignment horizontal="center" vertical="center"/>
    </xf>
    <xf numFmtId="0" fontId="53" fillId="0" borderId="0" xfId="1" applyFont="1" applyAlignment="1">
      <alignment horizontal="center" vertical="center"/>
    </xf>
    <xf numFmtId="164" fontId="44" fillId="0" borderId="0" xfId="0" applyFont="1" applyAlignment="1">
      <alignment horizontal="center" vertical="center"/>
    </xf>
    <xf numFmtId="164" fontId="54" fillId="0" borderId="0" xfId="0" applyFont="1" applyAlignment="1">
      <alignment horizontal="left"/>
    </xf>
    <xf numFmtId="164" fontId="55" fillId="0" borderId="0" xfId="0" applyFont="1" applyAlignment="1">
      <alignment horizontal="center"/>
    </xf>
    <xf numFmtId="164" fontId="56" fillId="0" borderId="0" xfId="0" applyFont="1" applyAlignment="1">
      <alignment horizontal="center"/>
    </xf>
    <xf numFmtId="164" fontId="56" fillId="0" borderId="0" xfId="0" applyFont="1" applyAlignment="1" applyProtection="1">
      <alignment horizontal="center"/>
      <protection locked="0"/>
    </xf>
    <xf numFmtId="164" fontId="53" fillId="0" borderId="0" xfId="1" applyNumberFormat="1" applyFont="1" applyAlignment="1">
      <alignment horizontal="center" vertical="center"/>
    </xf>
    <xf numFmtId="164" fontId="45" fillId="0" borderId="0" xfId="0" applyFont="1" applyProtection="1">
      <protection locked="0"/>
    </xf>
    <xf numFmtId="164" fontId="57" fillId="4" borderId="0" xfId="0" applyFont="1" applyFill="1"/>
    <xf numFmtId="164" fontId="58" fillId="4" borderId="0" xfId="0" applyFont="1" applyFill="1" applyAlignment="1">
      <alignment horizontal="center"/>
    </xf>
    <xf numFmtId="164" fontId="41" fillId="4" borderId="0" xfId="0" applyFont="1" applyFill="1"/>
    <xf numFmtId="164" fontId="59" fillId="4" borderId="0" xfId="0" applyFont="1" applyFill="1"/>
    <xf numFmtId="164" fontId="44" fillId="4" borderId="0" xfId="0" applyFont="1" applyFill="1"/>
    <xf numFmtId="0" fontId="53" fillId="4" borderId="0" xfId="1" applyFont="1" applyFill="1" applyAlignment="1">
      <alignment horizontal="center" vertical="center"/>
    </xf>
    <xf numFmtId="2" fontId="44" fillId="4" borderId="0" xfId="0" applyNumberFormat="1" applyFont="1" applyFill="1" applyAlignment="1">
      <alignment horizontal="center" vertical="center"/>
    </xf>
    <xf numFmtId="164" fontId="60" fillId="0" borderId="0" xfId="0" applyFont="1"/>
    <xf numFmtId="164" fontId="51" fillId="0" borderId="0" xfId="0" applyFont="1"/>
    <xf numFmtId="171" fontId="41" fillId="0" borderId="0" xfId="0" applyNumberFormat="1" applyFont="1"/>
    <xf numFmtId="171" fontId="52" fillId="0" borderId="0" xfId="0" applyNumberFormat="1" applyFont="1"/>
    <xf numFmtId="0" fontId="60" fillId="0" borderId="0" xfId="1" applyFont="1"/>
    <xf numFmtId="168" fontId="36" fillId="0" borderId="0" xfId="0" applyNumberFormat="1" applyFont="1" applyBorder="1" applyAlignment="1">
      <alignment horizontal="center" vertical="center"/>
    </xf>
    <xf numFmtId="168" fontId="24" fillId="0" borderId="23" xfId="0" applyNumberFormat="1" applyFont="1" applyBorder="1" applyAlignment="1">
      <alignment horizontal="center" vertical="center"/>
    </xf>
    <xf numFmtId="165" fontId="14" fillId="2" borderId="31" xfId="0" applyNumberFormat="1" applyFont="1" applyFill="1" applyBorder="1" applyAlignment="1">
      <alignment horizontal="center"/>
    </xf>
    <xf numFmtId="164" fontId="13" fillId="2" borderId="32" xfId="0" applyFont="1" applyFill="1" applyBorder="1" applyAlignment="1">
      <alignment horizontal="center"/>
    </xf>
    <xf numFmtId="164" fontId="13" fillId="2" borderId="33" xfId="0" applyFont="1" applyFill="1" applyBorder="1" applyAlignment="1">
      <alignment horizontal="center"/>
    </xf>
    <xf numFmtId="1" fontId="33" fillId="0" borderId="0" xfId="0" applyNumberFormat="1" applyFont="1" applyAlignment="1" applyProtection="1">
      <alignment horizontal="center"/>
    </xf>
    <xf numFmtId="168" fontId="33" fillId="0" borderId="0" xfId="0" applyNumberFormat="1" applyFont="1" applyAlignment="1" applyProtection="1">
      <alignment horizontal="center"/>
    </xf>
    <xf numFmtId="0" fontId="5" fillId="0" borderId="0" xfId="1"/>
    <xf numFmtId="0" fontId="24" fillId="0" borderId="0" xfId="0" applyNumberFormat="1" applyFont="1" applyAlignment="1">
      <alignment horizontal="left"/>
    </xf>
    <xf numFmtId="0" fontId="23" fillId="0" borderId="0" xfId="0" applyNumberFormat="1" applyFont="1" applyAlignment="1">
      <alignment horizontal="left"/>
    </xf>
    <xf numFmtId="169" fontId="24" fillId="0" borderId="0" xfId="0" quotePrefix="1" applyNumberFormat="1" applyFont="1" applyAlignment="1">
      <alignment horizontal="left"/>
    </xf>
    <xf numFmtId="49" fontId="0" fillId="0" borderId="0" xfId="0" applyNumberFormat="1" applyAlignment="1">
      <alignment horizontal="left"/>
    </xf>
    <xf numFmtId="0" fontId="5" fillId="0" borderId="0" xfId="1" applyFill="1"/>
    <xf numFmtId="0" fontId="0" fillId="0" borderId="0" xfId="0" applyNumberFormat="1"/>
    <xf numFmtId="164" fontId="14" fillId="2" borderId="19" xfId="0" applyFont="1" applyFill="1" applyBorder="1" applyAlignment="1">
      <alignment horizontal="center"/>
    </xf>
    <xf numFmtId="164" fontId="27" fillId="2" borderId="11" xfId="0" applyFont="1" applyFill="1" applyBorder="1" applyAlignment="1">
      <alignment horizontal="center"/>
    </xf>
    <xf numFmtId="164" fontId="23" fillId="0" borderId="0" xfId="0" applyFont="1" applyAlignment="1">
      <alignment horizontal="center"/>
    </xf>
    <xf numFmtId="164" fontId="27" fillId="2" borderId="0" xfId="0" applyFont="1" applyFill="1" applyBorder="1" applyAlignment="1">
      <alignment horizontal="center"/>
    </xf>
    <xf numFmtId="164" fontId="24" fillId="0" borderId="0" xfId="0" applyFont="1" applyBorder="1" applyAlignment="1" applyProtection="1">
      <alignment horizontal="center"/>
      <protection locked="0"/>
    </xf>
    <xf numFmtId="1" fontId="24" fillId="0" borderId="0" xfId="0" quotePrefix="1" applyNumberFormat="1" applyFont="1" applyBorder="1" applyAlignment="1">
      <alignment horizontal="center"/>
    </xf>
    <xf numFmtId="168" fontId="24" fillId="0" borderId="0" xfId="0" quotePrefix="1" applyNumberFormat="1" applyFont="1" applyBorder="1" applyAlignment="1">
      <alignment horizontal="center"/>
    </xf>
    <xf numFmtId="164" fontId="24" fillId="0" borderId="0" xfId="0" quotePrefix="1" applyFont="1" applyBorder="1" applyAlignment="1">
      <alignment horizontal="center"/>
    </xf>
    <xf numFmtId="164" fontId="0" fillId="0" borderId="0" xfId="0" applyBorder="1"/>
    <xf numFmtId="164" fontId="35" fillId="0" borderId="0" xfId="0" applyFont="1" applyBorder="1" applyAlignment="1" applyProtection="1">
      <alignment horizontal="center"/>
      <protection locked="0"/>
    </xf>
    <xf numFmtId="164" fontId="23" fillId="0" borderId="0" xfId="0" applyFont="1" applyBorder="1" applyAlignment="1">
      <alignment horizontal="left"/>
    </xf>
    <xf numFmtId="164" fontId="34" fillId="0" borderId="0" xfId="0" applyFont="1" applyBorder="1" applyAlignment="1">
      <alignment horizontal="right"/>
    </xf>
    <xf numFmtId="1" fontId="33" fillId="0" borderId="0" xfId="0" applyNumberFormat="1" applyFont="1" applyBorder="1" applyAlignment="1" applyProtection="1">
      <alignment horizontal="center"/>
    </xf>
    <xf numFmtId="164" fontId="28" fillId="0" borderId="0" xfId="0" applyFont="1" applyBorder="1" applyAlignment="1">
      <alignment horizontal="center"/>
    </xf>
    <xf numFmtId="168" fontId="33" fillId="0" borderId="0" xfId="0" applyNumberFormat="1" applyFont="1" applyBorder="1" applyAlignment="1" applyProtection="1">
      <alignment horizontal="center"/>
    </xf>
    <xf numFmtId="164" fontId="24" fillId="0" borderId="0" xfId="0" applyFont="1" applyBorder="1" applyAlignment="1">
      <alignment horizontal="center"/>
    </xf>
    <xf numFmtId="14" fontId="24" fillId="0" borderId="0" xfId="0" applyNumberFormat="1" applyFont="1" applyAlignment="1"/>
    <xf numFmtId="164" fontId="0" fillId="0" borderId="0" xfId="0" applyFont="1" applyAlignment="1">
      <alignment horizontal="right"/>
    </xf>
    <xf numFmtId="2" fontId="27" fillId="0" borderId="0" xfId="0" applyNumberFormat="1" applyFont="1" applyAlignment="1">
      <alignment horizontal="right"/>
    </xf>
    <xf numFmtId="2" fontId="27" fillId="0" borderId="0" xfId="0" applyNumberFormat="1" applyFont="1" applyAlignment="1" applyProtection="1">
      <alignment horizontal="right"/>
    </xf>
    <xf numFmtId="2" fontId="27" fillId="0" borderId="0" xfId="0" applyNumberFormat="1" applyFont="1" applyAlignment="1" applyProtection="1">
      <alignment horizontal="right"/>
      <protection locked="0"/>
    </xf>
    <xf numFmtId="164" fontId="64" fillId="0" borderId="0" xfId="0" applyFont="1" applyAlignment="1">
      <alignment horizontal="center"/>
    </xf>
    <xf numFmtId="0" fontId="12" fillId="0" borderId="0" xfId="0" applyNumberFormat="1" applyFont="1"/>
    <xf numFmtId="169" fontId="24" fillId="0" borderId="0" xfId="0" quotePrefix="1" applyNumberFormat="1" applyFont="1" applyAlignment="1"/>
    <xf numFmtId="49" fontId="36" fillId="0" borderId="0" xfId="0" applyNumberFormat="1" applyFont="1" applyAlignment="1">
      <alignment horizontal="center" vertical="center"/>
    </xf>
    <xf numFmtId="49" fontId="63" fillId="0" borderId="0" xfId="0" applyNumberFormat="1" applyFont="1" applyAlignment="1">
      <alignment horizontal="center" vertical="center"/>
    </xf>
    <xf numFmtId="164" fontId="36" fillId="0" borderId="22" xfId="0" applyFont="1" applyBorder="1" applyAlignment="1" applyProtection="1">
      <alignment horizontal="center"/>
    </xf>
    <xf numFmtId="1" fontId="36" fillId="0" borderId="0" xfId="0" applyNumberFormat="1" applyFont="1" applyBorder="1" applyAlignment="1">
      <alignment horizontal="center"/>
    </xf>
    <xf numFmtId="49" fontId="36" fillId="0" borderId="0" xfId="0" applyNumberFormat="1" applyFont="1" applyBorder="1" applyAlignment="1">
      <alignment horizontal="center"/>
    </xf>
    <xf numFmtId="1" fontId="36" fillId="0" borderId="14" xfId="0" applyNumberFormat="1" applyFont="1" applyBorder="1" applyAlignment="1">
      <alignment horizontal="center"/>
    </xf>
    <xf numFmtId="168" fontId="36" fillId="0" borderId="15" xfId="0" applyNumberFormat="1" applyFont="1" applyBorder="1" applyAlignment="1">
      <alignment horizontal="center"/>
    </xf>
    <xf numFmtId="168" fontId="36" fillId="0" borderId="0" xfId="0" applyNumberFormat="1" applyFont="1" applyBorder="1" applyAlignment="1">
      <alignment horizontal="center"/>
    </xf>
    <xf numFmtId="1" fontId="36" fillId="0" borderId="15" xfId="0" applyNumberFormat="1" applyFont="1" applyBorder="1" applyAlignment="1">
      <alignment horizontal="center"/>
    </xf>
    <xf numFmtId="2" fontId="36" fillId="0" borderId="0" xfId="0" applyNumberFormat="1" applyFont="1" applyBorder="1" applyAlignment="1">
      <alignment horizontal="center"/>
    </xf>
    <xf numFmtId="164" fontId="36" fillId="0" borderId="15" xfId="0" applyFont="1" applyBorder="1" applyAlignment="1">
      <alignment horizontal="center"/>
    </xf>
    <xf numFmtId="168" fontId="36" fillId="0" borderId="30" xfId="0" applyNumberFormat="1" applyFont="1" applyBorder="1" applyAlignment="1">
      <alignment horizontal="center" vertical="center"/>
    </xf>
    <xf numFmtId="49" fontId="36" fillId="0" borderId="30" xfId="0" applyNumberFormat="1" applyFont="1" applyBorder="1" applyAlignment="1">
      <alignment horizontal="center" vertical="center"/>
    </xf>
    <xf numFmtId="164" fontId="61" fillId="0" borderId="0" xfId="0" applyFont="1" applyAlignment="1"/>
    <xf numFmtId="164" fontId="61" fillId="0" borderId="28" xfId="0" applyFont="1" applyBorder="1" applyAlignment="1"/>
    <xf numFmtId="164" fontId="11" fillId="0" borderId="28" xfId="0" applyFont="1" applyBorder="1" applyAlignment="1">
      <alignment horizontal="left"/>
    </xf>
    <xf numFmtId="14" fontId="5" fillId="0" borderId="0" xfId="1" applyNumberFormat="1" applyFill="1"/>
    <xf numFmtId="0" fontId="65" fillId="0" borderId="0" xfId="1" applyFont="1"/>
    <xf numFmtId="164" fontId="66" fillId="0" borderId="0" xfId="0" applyFont="1"/>
    <xf numFmtId="164" fontId="14" fillId="2" borderId="31" xfId="0" applyFont="1" applyFill="1" applyBorder="1" applyAlignment="1">
      <alignment horizontal="center"/>
    </xf>
    <xf numFmtId="0" fontId="5" fillId="0" borderId="0" xfId="1" applyNumberFormat="1" applyFill="1"/>
    <xf numFmtId="164" fontId="14" fillId="2" borderId="19" xfId="0" applyFont="1" applyFill="1" applyBorder="1" applyAlignment="1">
      <alignment horizontal="center"/>
    </xf>
    <xf numFmtId="164" fontId="14" fillId="2" borderId="21" xfId="0" applyFont="1" applyFill="1" applyBorder="1" applyAlignment="1">
      <alignment horizontal="center"/>
    </xf>
    <xf numFmtId="164" fontId="14" fillId="2" borderId="14" xfId="0" applyFont="1" applyFill="1" applyBorder="1" applyAlignment="1">
      <alignment horizontal="center"/>
    </xf>
    <xf numFmtId="164" fontId="14" fillId="2" borderId="15" xfId="0" applyFont="1" applyFill="1" applyBorder="1" applyAlignment="1">
      <alignment horizontal="center"/>
    </xf>
    <xf numFmtId="164" fontId="27" fillId="2" borderId="11" xfId="0" applyFont="1" applyFill="1" applyBorder="1" applyAlignment="1">
      <alignment horizontal="center"/>
    </xf>
    <xf numFmtId="164" fontId="14" fillId="2" borderId="14" xfId="0" quotePrefix="1" applyFont="1" applyFill="1" applyBorder="1" applyAlignment="1">
      <alignment horizontal="center"/>
    </xf>
    <xf numFmtId="164" fontId="14" fillId="2" borderId="0" xfId="0" quotePrefix="1" applyFont="1" applyFill="1" applyAlignment="1">
      <alignment horizontal="center"/>
    </xf>
    <xf numFmtId="164" fontId="14" fillId="2" borderId="15" xfId="0" quotePrefix="1" applyFont="1" applyFill="1" applyBorder="1" applyAlignment="1">
      <alignment horizontal="center"/>
    </xf>
    <xf numFmtId="164" fontId="27" fillId="2" borderId="12" xfId="0" applyFont="1" applyFill="1" applyBorder="1" applyAlignment="1">
      <alignment horizontal="center"/>
    </xf>
    <xf numFmtId="164" fontId="27" fillId="2" borderId="13" xfId="0" applyFont="1" applyFill="1" applyBorder="1" applyAlignment="1">
      <alignment horizontal="center"/>
    </xf>
    <xf numFmtId="169" fontId="24" fillId="0" borderId="0" xfId="0" quotePrefix="1" applyNumberFormat="1" applyFont="1" applyAlignment="1">
      <alignment horizontal="left"/>
    </xf>
    <xf numFmtId="0" fontId="40" fillId="0" borderId="0" xfId="0" applyNumberFormat="1" applyFont="1" applyAlignment="1">
      <alignment horizontal="left"/>
    </xf>
    <xf numFmtId="164" fontId="23" fillId="0" borderId="0" xfId="0" applyFont="1" applyBorder="1" applyAlignment="1">
      <alignment horizontal="center"/>
    </xf>
    <xf numFmtId="0" fontId="24" fillId="0" borderId="0" xfId="0" applyNumberFormat="1" applyFont="1" applyAlignment="1">
      <alignment horizontal="left"/>
    </xf>
    <xf numFmtId="0" fontId="2" fillId="0" borderId="0" xfId="1" applyFont="1" applyFill="1"/>
    <xf numFmtId="164" fontId="14" fillId="2" borderId="19" xfId="0" quotePrefix="1" applyFont="1" applyFill="1" applyBorder="1" applyAlignment="1">
      <alignment horizontal="center"/>
    </xf>
    <xf numFmtId="164" fontId="14" fillId="2" borderId="19" xfId="0" applyFont="1" applyFill="1" applyBorder="1" applyAlignment="1">
      <alignment horizontal="center"/>
    </xf>
    <xf numFmtId="164" fontId="14" fillId="2" borderId="21" xfId="0" applyFont="1" applyFill="1" applyBorder="1" applyAlignment="1">
      <alignment horizontal="center"/>
    </xf>
    <xf numFmtId="164" fontId="14" fillId="2" borderId="14" xfId="0" applyFont="1" applyFill="1" applyBorder="1" applyAlignment="1">
      <alignment horizontal="center"/>
    </xf>
    <xf numFmtId="164" fontId="14" fillId="2" borderId="15" xfId="0" applyFont="1" applyFill="1" applyBorder="1" applyAlignment="1">
      <alignment horizontal="center"/>
    </xf>
    <xf numFmtId="164" fontId="13" fillId="2" borderId="4" xfId="0" applyFont="1" applyFill="1" applyBorder="1" applyAlignment="1">
      <alignment horizontal="center"/>
    </xf>
    <xf numFmtId="164" fontId="13" fillId="2" borderId="5" xfId="0" applyFont="1" applyFill="1" applyBorder="1" applyAlignment="1">
      <alignment horizontal="center"/>
    </xf>
    <xf numFmtId="164" fontId="13" fillId="2" borderId="6" xfId="0" applyFont="1" applyFill="1" applyBorder="1" applyAlignment="1">
      <alignment horizontal="center"/>
    </xf>
    <xf numFmtId="164" fontId="23" fillId="2" borderId="24" xfId="0" applyFont="1" applyFill="1" applyBorder="1" applyAlignment="1">
      <alignment horizontal="center"/>
    </xf>
    <xf numFmtId="164" fontId="23" fillId="2" borderId="25" xfId="0" applyFont="1" applyFill="1" applyBorder="1" applyAlignment="1">
      <alignment horizontal="center"/>
    </xf>
    <xf numFmtId="164" fontId="23" fillId="2" borderId="26" xfId="0" applyFont="1" applyFill="1" applyBorder="1" applyAlignment="1">
      <alignment horizontal="center"/>
    </xf>
    <xf numFmtId="164" fontId="27" fillId="2" borderId="11" xfId="0" applyFont="1" applyFill="1" applyBorder="1" applyAlignment="1">
      <alignment horizontal="center"/>
    </xf>
    <xf numFmtId="164" fontId="14" fillId="2" borderId="0" xfId="0" applyFont="1" applyFill="1" applyAlignment="1">
      <alignment horizontal="center"/>
    </xf>
    <xf numFmtId="164" fontId="14" fillId="2" borderId="14" xfId="0" quotePrefix="1" applyFont="1" applyFill="1" applyBorder="1" applyAlignment="1">
      <alignment horizontal="center"/>
    </xf>
    <xf numFmtId="164" fontId="14" fillId="2" borderId="0" xfId="0" quotePrefix="1" applyFont="1" applyFill="1" applyAlignment="1">
      <alignment horizontal="center"/>
    </xf>
    <xf numFmtId="164" fontId="14" fillId="2" borderId="15" xfId="0" quotePrefix="1" applyFont="1" applyFill="1" applyBorder="1" applyAlignment="1">
      <alignment horizontal="center"/>
    </xf>
    <xf numFmtId="164" fontId="27" fillId="2" borderId="12" xfId="0" applyFont="1" applyFill="1" applyBorder="1" applyAlignment="1">
      <alignment horizontal="center"/>
    </xf>
    <xf numFmtId="164" fontId="27" fillId="2" borderId="13" xfId="0" applyFont="1" applyFill="1" applyBorder="1" applyAlignment="1">
      <alignment horizontal="center"/>
    </xf>
    <xf numFmtId="169" fontId="24" fillId="0" borderId="0" xfId="0" quotePrefix="1" applyNumberFormat="1" applyFont="1" applyAlignment="1">
      <alignment horizontal="left"/>
    </xf>
    <xf numFmtId="0" fontId="24" fillId="0" borderId="0" xfId="0" applyNumberFormat="1" applyFont="1" applyAlignment="1">
      <alignment horizontal="left"/>
    </xf>
    <xf numFmtId="14" fontId="24" fillId="0" borderId="0" xfId="0" applyNumberFormat="1" applyFont="1" applyAlignment="1">
      <alignment horizontal="left"/>
    </xf>
    <xf numFmtId="164" fontId="61" fillId="0" borderId="0" xfId="0" applyFont="1" applyAlignment="1">
      <alignment horizontal="right"/>
    </xf>
    <xf numFmtId="164" fontId="61" fillId="0" borderId="28" xfId="0" applyFont="1" applyBorder="1" applyAlignment="1">
      <alignment horizontal="right"/>
    </xf>
    <xf numFmtId="14" fontId="39" fillId="0" borderId="0" xfId="0" applyNumberFormat="1" applyFont="1" applyAlignment="1">
      <alignment horizontal="center"/>
    </xf>
    <xf numFmtId="164" fontId="39" fillId="0" borderId="0" xfId="0" applyFont="1" applyAlignment="1">
      <alignment horizontal="center"/>
    </xf>
    <xf numFmtId="170" fontId="10" fillId="0" borderId="0" xfId="0" applyNumberFormat="1" applyFont="1" applyAlignment="1">
      <alignment horizontal="center"/>
    </xf>
    <xf numFmtId="164" fontId="10" fillId="0" borderId="0" xfId="0" applyFont="1" applyAlignment="1">
      <alignment horizontal="center"/>
    </xf>
    <xf numFmtId="168" fontId="24" fillId="0" borderId="0" xfId="0" applyNumberFormat="1" applyFont="1" applyAlignment="1">
      <alignment horizontal="center"/>
    </xf>
    <xf numFmtId="164" fontId="37" fillId="0" borderId="10" xfId="0" applyFont="1" applyBorder="1" applyAlignment="1">
      <alignment horizontal="center"/>
    </xf>
    <xf numFmtId="164" fontId="10" fillId="0" borderId="0" xfId="0" quotePrefix="1" applyFont="1" applyAlignment="1">
      <alignment horizontal="center"/>
    </xf>
    <xf numFmtId="168" fontId="24" fillId="0" borderId="0" xfId="0" applyNumberFormat="1" applyFont="1" applyBorder="1" applyAlignment="1">
      <alignment horizontal="center"/>
    </xf>
    <xf numFmtId="2" fontId="10" fillId="0" borderId="0" xfId="0" applyNumberFormat="1" applyFont="1" applyAlignment="1">
      <alignment horizontal="center"/>
    </xf>
    <xf numFmtId="164" fontId="23" fillId="0" borderId="10" xfId="0" applyFont="1" applyBorder="1" applyAlignment="1">
      <alignment horizontal="center"/>
    </xf>
    <xf numFmtId="164" fontId="23" fillId="0" borderId="0" xfId="0" applyFont="1" applyBorder="1" applyAlignment="1">
      <alignment horizontal="center"/>
    </xf>
    <xf numFmtId="164" fontId="12" fillId="0" borderId="0" xfId="0" applyFont="1" applyAlignment="1">
      <alignment horizontal="center"/>
    </xf>
    <xf numFmtId="164" fontId="23" fillId="2" borderId="16" xfId="0" applyFont="1" applyFill="1" applyBorder="1" applyAlignment="1">
      <alignment horizontal="center"/>
    </xf>
    <xf numFmtId="164" fontId="23" fillId="2" borderId="17" xfId="0" applyFont="1" applyFill="1" applyBorder="1" applyAlignment="1">
      <alignment horizontal="center"/>
    </xf>
    <xf numFmtId="164" fontId="23" fillId="2" borderId="18" xfId="0" applyFont="1" applyFill="1" applyBorder="1" applyAlignment="1">
      <alignment horizontal="center"/>
    </xf>
    <xf numFmtId="164" fontId="14" fillId="2" borderId="0" xfId="0" applyFont="1" applyFill="1" applyBorder="1" applyAlignment="1">
      <alignment horizontal="center"/>
    </xf>
    <xf numFmtId="169" fontId="40" fillId="0" borderId="0" xfId="0" applyNumberFormat="1" applyFont="1" applyAlignment="1">
      <alignment horizontal="left"/>
    </xf>
    <xf numFmtId="0" fontId="40" fillId="0" borderId="0" xfId="0" applyNumberFormat="1" applyFont="1" applyAlignment="1">
      <alignment horizontal="left"/>
    </xf>
    <xf numFmtId="49" fontId="40" fillId="0" borderId="0" xfId="0" applyNumberFormat="1" applyFont="1" applyAlignment="1">
      <alignment horizontal="left"/>
    </xf>
    <xf numFmtId="0" fontId="1" fillId="0" borderId="0" xfId="1" applyFont="1" applyFill="1"/>
  </cellXfs>
  <cellStyles count="5">
    <cellStyle name="Normal" xfId="0" builtinId="0"/>
    <cellStyle name="Normal 2" xfId="1"/>
    <cellStyle name="Normal 2 2" xfId="3"/>
    <cellStyle name="Normal 2 2 2" xfId="4"/>
    <cellStyle name="Normal 3" xfId="2"/>
  </cellStyles>
  <dxfs count="88">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numFmt numFmtId="19" formatCode="m/d/yyyy"/>
      <fill>
        <patternFill patternType="none">
          <fgColor indexed="64"/>
          <bgColor indexed="65"/>
        </patternFill>
      </fill>
    </dxf>
    <dxf>
      <numFmt numFmtId="19" formatCode="m/d/yyyy"/>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color theme="0"/>
      </font>
    </dxf>
    <dxf>
      <font>
        <strike val="0"/>
        <color theme="0"/>
      </font>
    </dxf>
    <dxf>
      <font>
        <strike val="0"/>
        <color theme="0"/>
      </font>
    </dxf>
    <dxf>
      <font>
        <strike val="0"/>
        <color theme="0"/>
      </font>
    </dxf>
    <dxf>
      <font>
        <strike val="0"/>
        <color theme="0"/>
      </font>
    </dxf>
    <dxf>
      <font>
        <strike val="0"/>
        <color theme="0"/>
      </font>
    </dxf>
    <dxf>
      <font>
        <strike val="0"/>
        <color theme="0"/>
      </font>
    </dxf>
    <dxf>
      <font>
        <color theme="0"/>
      </font>
    </dxf>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CCCFF"/>
      <color rgb="FFCC66FF"/>
      <color rgb="FF227B3D"/>
      <color rgb="FF2CA1D7"/>
      <color rgb="FF7B7B7B"/>
      <color rgb="FF867B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doughnutChart>
        <c:varyColors val="1"/>
        <c:ser>
          <c:idx val="0"/>
          <c:order val="0"/>
          <c:dPt>
            <c:idx val="0"/>
            <c:spPr>
              <a:noFill/>
              <a:ln w="19050">
                <a:noFill/>
              </a:ln>
              <a:effectLst/>
            </c:spPr>
            <c:extLst xmlns:c16r2="http://schemas.microsoft.com/office/drawing/2015/06/chart">
              <c:ext xmlns:c16="http://schemas.microsoft.com/office/drawing/2014/chart" uri="{C3380CC4-5D6E-409C-BE32-E72D297353CC}">
                <c16:uniqueId val="{00000001-6E26-4362-9295-CF2E8026FE14}"/>
              </c:ext>
            </c:extLst>
          </c:dPt>
          <c:dPt>
            <c:idx val="1"/>
            <c:spPr>
              <a:solidFill>
                <a:schemeClr val="accent1">
                  <a:lumMod val="75000"/>
                </a:schemeClr>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3-6E26-4362-9295-CF2E8026FE14}"/>
              </c:ext>
            </c:extLst>
          </c:dPt>
          <c:dPt>
            <c:idx val="2"/>
            <c:spPr>
              <a:solidFill>
                <a:srgbClr val="FFFF00"/>
              </a:solidFill>
              <a:ln w="19050">
                <a:solidFill>
                  <a:schemeClr val="lt1"/>
                </a:solidFill>
              </a:ln>
              <a:effectLst/>
            </c:spPr>
            <c:extLst xmlns:c16r2="http://schemas.microsoft.com/office/drawing/2015/06/chart">
              <c:ext xmlns:c16="http://schemas.microsoft.com/office/drawing/2014/chart" uri="{C3380CC4-5D6E-409C-BE32-E72D297353CC}">
                <c16:uniqueId val="{00000005-6E26-4362-9295-CF2E8026FE14}"/>
              </c:ext>
            </c:extLst>
          </c:dPt>
          <c:dPt>
            <c:idx val="3"/>
            <c:spPr>
              <a:solidFill>
                <a:schemeClr val="accent1">
                  <a:lumMod val="60000"/>
                  <a:lumOff val="40000"/>
                </a:schemeClr>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7-6E26-4362-9295-CF2E8026FE14}"/>
              </c:ext>
            </c:extLst>
          </c:dPt>
          <c:dPt>
            <c:idx val="4"/>
            <c:spPr>
              <a:solidFill>
                <a:srgbClr val="FF0000"/>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9-6E26-4362-9295-CF2E8026FE14}"/>
              </c:ext>
            </c:extLst>
          </c:dPt>
          <c:val>
            <c:numRef>
              <c:f>Yard01!$CZ$49:$CZ$53</c:f>
              <c:numCache>
                <c:formatCode>General_)</c:formatCode>
                <c:ptCount val="5"/>
                <c:pt idx="0">
                  <c:v>180</c:v>
                </c:pt>
                <c:pt idx="1">
                  <c:v>60</c:v>
                </c:pt>
                <c:pt idx="3">
                  <c:v>60</c:v>
                </c:pt>
                <c:pt idx="4">
                  <c:v>60</c:v>
                </c:pt>
              </c:numCache>
            </c:numRef>
          </c:val>
          <c:extLst xmlns:c16r2="http://schemas.microsoft.com/office/drawing/2015/06/chart">
            <c:ext xmlns:c16="http://schemas.microsoft.com/office/drawing/2014/chart" uri="{C3380CC4-5D6E-409C-BE32-E72D297353CC}">
              <c16:uniqueId val="{0000000A-6E26-4362-9295-CF2E8026FE14}"/>
            </c:ext>
          </c:extLst>
        </c:ser>
        <c:dLbls/>
        <c:firstSliceAng val="90"/>
        <c:holeSize val="60"/>
      </c:doughnutChart>
      <c:spPr>
        <a:noFill/>
        <a:ln>
          <a:noFill/>
        </a:ln>
        <a:effectLst/>
      </c:spPr>
    </c:plotArea>
    <c:plotVisOnly val="1"/>
    <c:dispBlanksAs val="zero"/>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4"/>
  <c:chart>
    <c:autoTitleDeleted val="1"/>
    <c:plotArea>
      <c:layout/>
      <c:barChart>
        <c:barDir val="bar"/>
        <c:grouping val="clustered"/>
        <c:ser>
          <c:idx val="0"/>
          <c:order val="0"/>
          <c:spPr>
            <a:solidFill>
              <a:srgbClr val="2CA1D7"/>
            </a:solidFill>
            <a:ln w="9525" cap="flat" cmpd="sng" algn="ctr">
              <a:solidFill>
                <a:schemeClr val="accent2">
                  <a:shade val="95000"/>
                </a:schemeClr>
              </a:solidFill>
              <a:round/>
            </a:ln>
            <a:effectLst>
              <a:outerShdw blurRad="40000" dist="20000" dir="5400000" rotWithShape="0">
                <a:srgbClr val="000000">
                  <a:alpha val="38000"/>
                </a:srgbClr>
              </a:outerShdw>
            </a:effectLst>
          </c:spPr>
          <c:dLbls>
            <c:delete val="1"/>
          </c:dLbls>
          <c:cat>
            <c:strRef>
              <c:f>Yard02!$CT$16:$CT$28</c:f>
              <c:strCache>
                <c:ptCount val="13"/>
                <c:pt idx="0">
                  <c:v>Na</c:v>
                </c:pt>
                <c:pt idx="1">
                  <c:v>Mg</c:v>
                </c:pt>
                <c:pt idx="2">
                  <c:v>Ca</c:v>
                </c:pt>
                <c:pt idx="3">
                  <c:v>Fe</c:v>
                </c:pt>
                <c:pt idx="4">
                  <c:v>Cu</c:v>
                </c:pt>
                <c:pt idx="5">
                  <c:v>Mn</c:v>
                </c:pt>
                <c:pt idx="6">
                  <c:v>Zn</c:v>
                </c:pt>
                <c:pt idx="7">
                  <c:v>B</c:v>
                </c:pt>
                <c:pt idx="8">
                  <c:v>S</c:v>
                </c:pt>
                <c:pt idx="9">
                  <c:v>K</c:v>
                </c:pt>
                <c:pt idx="10">
                  <c:v>P</c:v>
                </c:pt>
                <c:pt idx="11">
                  <c:v>NH4-N</c:v>
                </c:pt>
                <c:pt idx="12">
                  <c:v>NO3-N</c:v>
                </c:pt>
              </c:strCache>
            </c:strRef>
          </c:cat>
          <c:val>
            <c:numRef>
              <c:f>Yard02!$CU$16:$CU$28</c:f>
              <c:numCache>
                <c:formatCode>0.0_)</c:formatCode>
                <c:ptCount val="13"/>
                <c:pt idx="0" formatCode="General">
                  <c:v>1.0971786833855801</c:v>
                </c:pt>
                <c:pt idx="1">
                  <c:v>2.6748768472906401</c:v>
                </c:pt>
                <c:pt idx="2">
                  <c:v>1.4203612479474552</c:v>
                </c:pt>
                <c:pt idx="3" formatCode="General">
                  <c:v>1.125</c:v>
                </c:pt>
                <c:pt idx="4" formatCode="General">
                  <c:v>1.0454545454545454</c:v>
                </c:pt>
                <c:pt idx="5" formatCode="General">
                  <c:v>1.3166666666666667</c:v>
                </c:pt>
                <c:pt idx="6" formatCode="General">
                  <c:v>1.2142857142857142</c:v>
                </c:pt>
                <c:pt idx="7" formatCode="General">
                  <c:v>1.4</c:v>
                </c:pt>
                <c:pt idx="8" formatCode="General">
                  <c:v>1.04</c:v>
                </c:pt>
                <c:pt idx="9" formatCode="General">
                  <c:v>2.1559999999999997</c:v>
                </c:pt>
                <c:pt idx="10" formatCode="General">
                  <c:v>1.2250000000000001</c:v>
                </c:pt>
                <c:pt idx="11" formatCode="General">
                  <c:v>1.2215384615384615</c:v>
                </c:pt>
                <c:pt idx="12" formatCode="General">
                  <c:v>1.0676923076923077</c:v>
                </c:pt>
              </c:numCache>
            </c:numRef>
          </c:val>
          <c:extLst xmlns:c16r2="http://schemas.microsoft.com/office/drawing/2015/06/chart">
            <c:ext xmlns:c16="http://schemas.microsoft.com/office/drawing/2014/chart" uri="{C3380CC4-5D6E-409C-BE32-E72D297353CC}">
              <c16:uniqueId val="{00000000-F7E7-4989-A1F0-76055ADDFF82}"/>
            </c:ext>
          </c:extLst>
        </c:ser>
        <c:dLbls>
          <c:showVal val="1"/>
        </c:dLbls>
        <c:gapWidth val="100"/>
        <c:axId val="113837952"/>
        <c:axId val="113839488"/>
      </c:barChart>
      <c:catAx>
        <c:axId val="11383795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3839488"/>
        <c:crosses val="autoZero"/>
        <c:auto val="1"/>
        <c:lblAlgn val="ctr"/>
        <c:lblOffset val="100"/>
      </c:catAx>
      <c:valAx>
        <c:axId val="113839488"/>
        <c:scaling>
          <c:orientation val="minMax"/>
          <c:max val="3"/>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tickLblPos val="none"/>
        <c:crossAx val="113837952"/>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doughnutChart>
        <c:varyColors val="1"/>
        <c:ser>
          <c:idx val="0"/>
          <c:order val="0"/>
          <c:dPt>
            <c:idx val="0"/>
            <c:spPr>
              <a:noFill/>
              <a:ln w="19050">
                <a:noFill/>
              </a:ln>
              <a:effectLst/>
            </c:spPr>
            <c:extLst xmlns:c16r2="http://schemas.microsoft.com/office/drawing/2015/06/chart">
              <c:ext xmlns:c16="http://schemas.microsoft.com/office/drawing/2014/chart" uri="{C3380CC4-5D6E-409C-BE32-E72D297353CC}">
                <c16:uniqueId val="{00000001-37FC-4E51-B5BF-FF029E6A22FD}"/>
              </c:ext>
            </c:extLst>
          </c:dPt>
          <c:dPt>
            <c:idx val="1"/>
            <c:spPr>
              <a:solidFill>
                <a:schemeClr val="accent1">
                  <a:lumMod val="75000"/>
                </a:schemeClr>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3-37FC-4E51-B5BF-FF029E6A22FD}"/>
              </c:ext>
            </c:extLst>
          </c:dPt>
          <c:dPt>
            <c:idx val="2"/>
            <c:spPr>
              <a:solidFill>
                <a:srgbClr val="FFFF00"/>
              </a:solidFill>
              <a:ln w="19050">
                <a:solidFill>
                  <a:schemeClr val="lt1"/>
                </a:solidFill>
              </a:ln>
              <a:effectLst/>
            </c:spPr>
            <c:extLst xmlns:c16r2="http://schemas.microsoft.com/office/drawing/2015/06/chart">
              <c:ext xmlns:c16="http://schemas.microsoft.com/office/drawing/2014/chart" uri="{C3380CC4-5D6E-409C-BE32-E72D297353CC}">
                <c16:uniqueId val="{00000005-37FC-4E51-B5BF-FF029E6A22FD}"/>
              </c:ext>
            </c:extLst>
          </c:dPt>
          <c:dPt>
            <c:idx val="3"/>
            <c:spPr>
              <a:solidFill>
                <a:schemeClr val="accent1">
                  <a:lumMod val="60000"/>
                  <a:lumOff val="40000"/>
                </a:schemeClr>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7-37FC-4E51-B5BF-FF029E6A22FD}"/>
              </c:ext>
            </c:extLst>
          </c:dPt>
          <c:dPt>
            <c:idx val="4"/>
            <c:spPr>
              <a:solidFill>
                <a:srgbClr val="FF0000"/>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9-37FC-4E51-B5BF-FF029E6A22FD}"/>
              </c:ext>
            </c:extLst>
          </c:dPt>
          <c:val>
            <c:numRef>
              <c:f>Yard03!$CZ$49:$CZ$53</c:f>
              <c:numCache>
                <c:formatCode>General_)</c:formatCode>
                <c:ptCount val="5"/>
                <c:pt idx="0">
                  <c:v>180</c:v>
                </c:pt>
                <c:pt idx="1">
                  <c:v>60</c:v>
                </c:pt>
                <c:pt idx="3">
                  <c:v>60</c:v>
                </c:pt>
                <c:pt idx="4">
                  <c:v>60</c:v>
                </c:pt>
              </c:numCache>
            </c:numRef>
          </c:val>
          <c:extLst xmlns:c16r2="http://schemas.microsoft.com/office/drawing/2015/06/chart">
            <c:ext xmlns:c16="http://schemas.microsoft.com/office/drawing/2014/chart" uri="{C3380CC4-5D6E-409C-BE32-E72D297353CC}">
              <c16:uniqueId val="{0000000A-37FC-4E51-B5BF-FF029E6A22FD}"/>
            </c:ext>
          </c:extLst>
        </c:ser>
        <c:dLbls/>
        <c:firstSliceAng val="90"/>
        <c:holeSize val="60"/>
      </c:doughnutChart>
      <c:spPr>
        <a:noFill/>
        <a:ln>
          <a:noFill/>
        </a:ln>
        <a:effectLst/>
      </c:spPr>
    </c:plotArea>
    <c:plotVisOnly val="1"/>
    <c:dispBlanksAs val="zero"/>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2646896990721155"/>
          <c:y val="8.1555157550771376E-2"/>
          <c:w val="0.57978958836948025"/>
          <c:h val="0.87037037037037046"/>
        </c:manualLayout>
      </c:layout>
      <c:scatterChart>
        <c:scatterStyle val="lineMarker"/>
        <c:ser>
          <c:idx val="0"/>
          <c:order val="0"/>
          <c:spPr>
            <a:ln w="38100" cap="rnd">
              <a:solidFill>
                <a:schemeClr val="tx1"/>
              </a:solidFill>
              <a:round/>
            </a:ln>
            <a:effectLst/>
          </c:spPr>
          <c:marker>
            <c:symbol val="none"/>
          </c:marker>
          <c:xVal>
            <c:numRef>
              <c:f>Yard03!$CT$51:$CT$53</c:f>
              <c:numCache>
                <c:formatCode>0.0000</c:formatCode>
                <c:ptCount val="3"/>
                <c:pt idx="0">
                  <c:v>0</c:v>
                </c:pt>
                <c:pt idx="1">
                  <c:v>-0.46403829662794838</c:v>
                </c:pt>
                <c:pt idx="2">
                  <c:v>0</c:v>
                </c:pt>
              </c:numCache>
            </c:numRef>
          </c:xVal>
          <c:yVal>
            <c:numRef>
              <c:f>Yard03!$CU$51:$CU$53</c:f>
              <c:numCache>
                <c:formatCode>0.0000</c:formatCode>
                <c:ptCount val="3"/>
                <c:pt idx="0">
                  <c:v>0</c:v>
                </c:pt>
                <c:pt idx="1">
                  <c:v>0.88581513831195735</c:v>
                </c:pt>
                <c:pt idx="2">
                  <c:v>0</c:v>
                </c:pt>
              </c:numCache>
            </c:numRef>
          </c:yVal>
          <c:extLst xmlns:c16r2="http://schemas.microsoft.com/office/drawing/2015/06/chart">
            <c:ext xmlns:c16="http://schemas.microsoft.com/office/drawing/2014/chart" uri="{C3380CC4-5D6E-409C-BE32-E72D297353CC}">
              <c16:uniqueId val="{00000000-F3C2-46D1-A705-0A59DAC5971E}"/>
            </c:ext>
          </c:extLst>
        </c:ser>
        <c:dLbls/>
        <c:axId val="114060672"/>
        <c:axId val="114082944"/>
      </c:scatterChart>
      <c:valAx>
        <c:axId val="114060672"/>
        <c:scaling>
          <c:orientation val="minMax"/>
          <c:max val="1"/>
          <c:min val="-1"/>
        </c:scaling>
        <c:delete val="1"/>
        <c:axPos val="b"/>
        <c:numFmt formatCode="0.0000" sourceLinked="1"/>
        <c:majorTickMark val="none"/>
        <c:tickLblPos val="none"/>
        <c:crossAx val="114082944"/>
        <c:crossesAt val="0"/>
        <c:crossBetween val="midCat"/>
      </c:valAx>
      <c:valAx>
        <c:axId val="114082944"/>
        <c:scaling>
          <c:orientation val="minMax"/>
          <c:max val="1"/>
          <c:min val="-1"/>
        </c:scaling>
        <c:delete val="1"/>
        <c:axPos val="l"/>
        <c:numFmt formatCode="0.0000" sourceLinked="1"/>
        <c:majorTickMark val="none"/>
        <c:tickLblPos val="none"/>
        <c:crossAx val="114060672"/>
        <c:crossesAt val="0"/>
        <c:crossBetween val="midCat"/>
      </c:valAx>
      <c:spPr>
        <a:noFill/>
        <a:ln w="25400">
          <a:noFill/>
        </a:ln>
        <a:effectLst/>
      </c:spPr>
    </c:plotArea>
    <c:plotVisOnly val="1"/>
    <c:dispBlanksAs val="gap"/>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doughnutChart>
        <c:varyColors val="1"/>
        <c:ser>
          <c:idx val="0"/>
          <c:order val="0"/>
          <c:spPr>
            <a:solidFill>
              <a:srgbClr val="FFC000"/>
            </a:solidFill>
            <a:ln>
              <a:noFill/>
            </a:ln>
          </c:spPr>
          <c:dPt>
            <c:idx val="0"/>
            <c:spPr>
              <a:noFill/>
              <a:ln w="19050">
                <a:noFill/>
              </a:ln>
              <a:effectLst/>
            </c:spPr>
            <c:extLst xmlns:c16r2="http://schemas.microsoft.com/office/drawing/2015/06/chart">
              <c:ext xmlns:c16="http://schemas.microsoft.com/office/drawing/2014/chart" uri="{C3380CC4-5D6E-409C-BE32-E72D297353CC}">
                <c16:uniqueId val="{00000001-5A44-427B-9FBA-67C9AA2F4AD1}"/>
              </c:ext>
            </c:extLst>
          </c:dPt>
          <c:dPt>
            <c:idx val="1"/>
            <c:spPr>
              <a:solidFill>
                <a:srgbClr val="FF0000"/>
              </a:solidFill>
              <a:ln w="19050">
                <a:solidFill>
                  <a:schemeClr val="tx1"/>
                </a:solidFill>
              </a:ln>
              <a:effectLst/>
            </c:spPr>
            <c:extLst xmlns:c16r2="http://schemas.microsoft.com/office/drawing/2015/06/chart">
              <c:ext xmlns:c16="http://schemas.microsoft.com/office/drawing/2014/chart" uri="{C3380CC4-5D6E-409C-BE32-E72D297353CC}">
                <c16:uniqueId val="{00000003-5A44-427B-9FBA-67C9AA2F4AD1}"/>
              </c:ext>
            </c:extLst>
          </c:dPt>
          <c:dPt>
            <c:idx val="2"/>
            <c:spPr>
              <a:gradFill>
                <a:gsLst>
                  <a:gs pos="65000">
                    <a:srgbClr val="CCFFCC"/>
                  </a:gs>
                  <a:gs pos="46000">
                    <a:srgbClr val="CCFFCC"/>
                  </a:gs>
                  <a:gs pos="0">
                    <a:srgbClr val="0070C0"/>
                  </a:gs>
                  <a:gs pos="100000">
                    <a:srgbClr val="FF0000"/>
                  </a:gs>
                </a:gsLst>
                <a:lin ang="10200000" scaled="0"/>
              </a:gradFill>
              <a:ln w="19050">
                <a:solidFill>
                  <a:schemeClr val="tx1"/>
                </a:solidFill>
              </a:ln>
              <a:effectLst/>
            </c:spPr>
            <c:extLst xmlns:c16r2="http://schemas.microsoft.com/office/drawing/2015/06/chart">
              <c:ext xmlns:c16="http://schemas.microsoft.com/office/drawing/2014/chart" uri="{C3380CC4-5D6E-409C-BE32-E72D297353CC}">
                <c16:uniqueId val="{00000005-5A44-427B-9FBA-67C9AA2F4AD1}"/>
              </c:ext>
            </c:extLst>
          </c:dPt>
          <c:dPt>
            <c:idx val="3"/>
            <c:spPr>
              <a:solidFill>
                <a:srgbClr val="0070C0"/>
              </a:solidFill>
              <a:ln w="19050">
                <a:solidFill>
                  <a:schemeClr val="tx1"/>
                </a:solidFill>
              </a:ln>
              <a:effectLst/>
            </c:spPr>
            <c:extLst xmlns:c16r2="http://schemas.microsoft.com/office/drawing/2015/06/chart">
              <c:ext xmlns:c16="http://schemas.microsoft.com/office/drawing/2014/chart" uri="{C3380CC4-5D6E-409C-BE32-E72D297353CC}">
                <c16:uniqueId val="{00000007-5A44-427B-9FBA-67C9AA2F4AD1}"/>
              </c:ext>
            </c:extLst>
          </c:dPt>
          <c:dPt>
            <c:idx val="4"/>
            <c:spPr>
              <a:gradFill flip="none" rotWithShape="1">
                <a:gsLst>
                  <a:gs pos="0">
                    <a:srgbClr val="0070C0"/>
                  </a:gs>
                  <a:gs pos="62000">
                    <a:srgbClr val="00B050"/>
                  </a:gs>
                </a:gsLst>
                <a:lin ang="10800000" scaled="1"/>
                <a:tileRect/>
              </a:gradFill>
              <a:ln>
                <a:noFill/>
              </a:ln>
            </c:spPr>
            <c:extLst xmlns:c16r2="http://schemas.microsoft.com/office/drawing/2015/06/chart">
              <c:ext xmlns:c16="http://schemas.microsoft.com/office/drawing/2014/chart" uri="{C3380CC4-5D6E-409C-BE32-E72D297353CC}">
                <c16:uniqueId val="{00000009-5A44-427B-9FBA-67C9AA2F4AD1}"/>
              </c:ext>
            </c:extLst>
          </c:dPt>
          <c:dPt>
            <c:idx val="5"/>
            <c:spPr>
              <a:solidFill>
                <a:srgbClr val="0070C0"/>
              </a:solidFill>
              <a:ln>
                <a:noFill/>
              </a:ln>
            </c:spPr>
            <c:extLst xmlns:c16r2="http://schemas.microsoft.com/office/drawing/2015/06/chart">
              <c:ext xmlns:c16="http://schemas.microsoft.com/office/drawing/2014/chart" uri="{C3380CC4-5D6E-409C-BE32-E72D297353CC}">
                <c16:uniqueId val="{0000000B-5A44-427B-9FBA-67C9AA2F4AD1}"/>
              </c:ext>
            </c:extLst>
          </c:dPt>
          <c:val>
            <c:numRef>
              <c:f>Yard03!$CZ$57:$CZ$60</c:f>
              <c:numCache>
                <c:formatCode>General</c:formatCode>
                <c:ptCount val="4"/>
                <c:pt idx="0">
                  <c:v>180</c:v>
                </c:pt>
                <c:pt idx="1">
                  <c:v>65</c:v>
                </c:pt>
                <c:pt idx="2">
                  <c:v>42.9</c:v>
                </c:pt>
                <c:pt idx="3">
                  <c:v>72.099999999999994</c:v>
                </c:pt>
              </c:numCache>
            </c:numRef>
          </c:val>
          <c:extLst xmlns:c16r2="http://schemas.microsoft.com/office/drawing/2015/06/chart">
            <c:ext xmlns:c16="http://schemas.microsoft.com/office/drawing/2014/chart" uri="{C3380CC4-5D6E-409C-BE32-E72D297353CC}">
              <c16:uniqueId val="{0000000C-5A44-427B-9FBA-67C9AA2F4AD1}"/>
            </c:ext>
          </c:extLst>
        </c:ser>
        <c:dLbls/>
        <c:firstSliceAng val="90"/>
        <c:holeSize val="60"/>
      </c:doughnutChart>
      <c:spPr>
        <a:noFill/>
        <a:ln>
          <a:noFill/>
        </a:ln>
        <a:effectLst/>
      </c:spPr>
    </c:plotArea>
    <c:plotVisOnly val="1"/>
    <c:dispBlanksAs val="zero"/>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0647275225277026"/>
          <c:y val="0.12961439810776507"/>
          <c:w val="0.53333333333333333"/>
          <c:h val="0.87037037037037046"/>
        </c:manualLayout>
      </c:layout>
      <c:scatterChart>
        <c:scatterStyle val="lineMarker"/>
        <c:ser>
          <c:idx val="0"/>
          <c:order val="0"/>
          <c:spPr>
            <a:ln w="38100" cap="rnd">
              <a:solidFill>
                <a:schemeClr val="tx1"/>
              </a:solidFill>
              <a:round/>
            </a:ln>
            <a:effectLst/>
          </c:spPr>
          <c:marker>
            <c:symbol val="none"/>
          </c:marker>
          <c:xVal>
            <c:numRef>
              <c:f>Yard03!$CT$58:$CT$60</c:f>
              <c:numCache>
                <c:formatCode>General</c:formatCode>
                <c:ptCount val="3"/>
                <c:pt idx="0">
                  <c:v>0</c:v>
                </c:pt>
                <c:pt idx="1">
                  <c:v>0.13423326581765524</c:v>
                </c:pt>
                <c:pt idx="2">
                  <c:v>0</c:v>
                </c:pt>
              </c:numCache>
            </c:numRef>
          </c:xVal>
          <c:yVal>
            <c:numRef>
              <c:f>Yard03!$CU$58:$CU$60</c:f>
              <c:numCache>
                <c:formatCode>General</c:formatCode>
                <c:ptCount val="3"/>
                <c:pt idx="0">
                  <c:v>0</c:v>
                </c:pt>
                <c:pt idx="1">
                  <c:v>0.99094976176793481</c:v>
                </c:pt>
                <c:pt idx="2">
                  <c:v>0</c:v>
                </c:pt>
              </c:numCache>
            </c:numRef>
          </c:yVal>
          <c:extLst xmlns:c16r2="http://schemas.microsoft.com/office/drawing/2015/06/chart">
            <c:ext xmlns:c16="http://schemas.microsoft.com/office/drawing/2014/chart" uri="{C3380CC4-5D6E-409C-BE32-E72D297353CC}">
              <c16:uniqueId val="{00000000-12FA-4A11-941A-1844AE045737}"/>
            </c:ext>
          </c:extLst>
        </c:ser>
        <c:dLbls/>
        <c:axId val="114189440"/>
        <c:axId val="114190976"/>
      </c:scatterChart>
      <c:valAx>
        <c:axId val="114189440"/>
        <c:scaling>
          <c:orientation val="minMax"/>
          <c:max val="1"/>
          <c:min val="-1"/>
        </c:scaling>
        <c:delete val="1"/>
        <c:axPos val="b"/>
        <c:numFmt formatCode="General" sourceLinked="1"/>
        <c:majorTickMark val="none"/>
        <c:tickLblPos val="none"/>
        <c:crossAx val="114190976"/>
        <c:crossesAt val="0"/>
        <c:crossBetween val="midCat"/>
      </c:valAx>
      <c:valAx>
        <c:axId val="114190976"/>
        <c:scaling>
          <c:orientation val="minMax"/>
          <c:max val="1"/>
          <c:min val="-1"/>
        </c:scaling>
        <c:delete val="1"/>
        <c:axPos val="l"/>
        <c:numFmt formatCode="General" sourceLinked="1"/>
        <c:majorTickMark val="none"/>
        <c:tickLblPos val="none"/>
        <c:crossAx val="114189440"/>
        <c:crossesAt val="0"/>
        <c:crossBetween val="midCat"/>
      </c:valAx>
      <c:spPr>
        <a:noFill/>
        <a:ln w="25400">
          <a:noFill/>
        </a:ln>
        <a:effectLst/>
      </c:spPr>
    </c:plotArea>
    <c:plotVisOnly val="1"/>
    <c:dispBlanksAs val="gap"/>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style val="4"/>
  <c:chart>
    <c:autoTitleDeleted val="1"/>
    <c:plotArea>
      <c:layout/>
      <c:barChart>
        <c:barDir val="bar"/>
        <c:grouping val="clustered"/>
        <c:ser>
          <c:idx val="0"/>
          <c:order val="0"/>
          <c:spPr>
            <a:solidFill>
              <a:srgbClr val="2CA1D7"/>
            </a:solidFill>
            <a:ln w="9525" cap="flat" cmpd="sng" algn="ctr">
              <a:solidFill>
                <a:schemeClr val="accent2">
                  <a:shade val="95000"/>
                </a:schemeClr>
              </a:solidFill>
              <a:round/>
            </a:ln>
            <a:effectLst>
              <a:outerShdw blurRad="40000" dist="20000" dir="5400000" rotWithShape="0">
                <a:srgbClr val="000000">
                  <a:alpha val="38000"/>
                </a:srgbClr>
              </a:outerShdw>
            </a:effectLst>
          </c:spPr>
          <c:dLbls>
            <c:delete val="1"/>
          </c:dLbls>
          <c:cat>
            <c:strRef>
              <c:f>Yard03!$CT$16:$CT$28</c:f>
              <c:strCache>
                <c:ptCount val="13"/>
                <c:pt idx="0">
                  <c:v>Na</c:v>
                </c:pt>
                <c:pt idx="1">
                  <c:v>Mg</c:v>
                </c:pt>
                <c:pt idx="2">
                  <c:v>Ca</c:v>
                </c:pt>
                <c:pt idx="3">
                  <c:v>Fe</c:v>
                </c:pt>
                <c:pt idx="4">
                  <c:v>Cu</c:v>
                </c:pt>
                <c:pt idx="5">
                  <c:v>Mn</c:v>
                </c:pt>
                <c:pt idx="6">
                  <c:v>Zn</c:v>
                </c:pt>
                <c:pt idx="7">
                  <c:v>B</c:v>
                </c:pt>
                <c:pt idx="8">
                  <c:v>S</c:v>
                </c:pt>
                <c:pt idx="9">
                  <c:v>K</c:v>
                </c:pt>
                <c:pt idx="10">
                  <c:v>P</c:v>
                </c:pt>
                <c:pt idx="11">
                  <c:v>NH4-N</c:v>
                </c:pt>
                <c:pt idx="12">
                  <c:v>NO3-N</c:v>
                </c:pt>
              </c:strCache>
            </c:strRef>
          </c:cat>
          <c:val>
            <c:numRef>
              <c:f>Yard03!$CU$16:$CU$28</c:f>
              <c:numCache>
                <c:formatCode>0.0_)</c:formatCode>
                <c:ptCount val="13"/>
                <c:pt idx="0" formatCode="General">
                  <c:v>0.77272727272727282</c:v>
                </c:pt>
                <c:pt idx="1">
                  <c:v>1.3454545454545457</c:v>
                </c:pt>
                <c:pt idx="2">
                  <c:v>2.5</c:v>
                </c:pt>
                <c:pt idx="3" formatCode="General">
                  <c:v>1.875</c:v>
                </c:pt>
                <c:pt idx="4" formatCode="General">
                  <c:v>1.25</c:v>
                </c:pt>
                <c:pt idx="5" formatCode="General">
                  <c:v>1.6055555555555556</c:v>
                </c:pt>
                <c:pt idx="6" formatCode="General">
                  <c:v>1.2380952380952381</c:v>
                </c:pt>
                <c:pt idx="7" formatCode="General">
                  <c:v>1.04</c:v>
                </c:pt>
                <c:pt idx="8" formatCode="General">
                  <c:v>1.24</c:v>
                </c:pt>
                <c:pt idx="9" formatCode="General">
                  <c:v>1.3733333333333335</c:v>
                </c:pt>
                <c:pt idx="10" formatCode="General">
                  <c:v>1.2749999999999999</c:v>
                </c:pt>
                <c:pt idx="11" formatCode="General">
                  <c:v>1.0861538461538462</c:v>
                </c:pt>
                <c:pt idx="12" formatCode="General">
                  <c:v>1.0738461538461539</c:v>
                </c:pt>
              </c:numCache>
            </c:numRef>
          </c:val>
          <c:extLst xmlns:c16r2="http://schemas.microsoft.com/office/drawing/2015/06/chart">
            <c:ext xmlns:c16="http://schemas.microsoft.com/office/drawing/2014/chart" uri="{C3380CC4-5D6E-409C-BE32-E72D297353CC}">
              <c16:uniqueId val="{00000000-F8AD-4E98-9E01-622DF4388DD1}"/>
            </c:ext>
          </c:extLst>
        </c:ser>
        <c:dLbls>
          <c:showVal val="1"/>
        </c:dLbls>
        <c:gapWidth val="100"/>
        <c:axId val="115033216"/>
        <c:axId val="115034752"/>
      </c:barChart>
      <c:catAx>
        <c:axId val="11503321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5034752"/>
        <c:crosses val="autoZero"/>
        <c:auto val="1"/>
        <c:lblAlgn val="ctr"/>
        <c:lblOffset val="100"/>
      </c:catAx>
      <c:valAx>
        <c:axId val="115034752"/>
        <c:scaling>
          <c:orientation val="minMax"/>
          <c:max val="3"/>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tickLblPos val="none"/>
        <c:crossAx val="115033216"/>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2646896990721155"/>
          <c:y val="8.1555157550771376E-2"/>
          <c:w val="0.57978958836948025"/>
          <c:h val="0.87037037037037046"/>
        </c:manualLayout>
      </c:layout>
      <c:scatterChart>
        <c:scatterStyle val="lineMarker"/>
        <c:ser>
          <c:idx val="0"/>
          <c:order val="0"/>
          <c:spPr>
            <a:ln w="38100" cap="rnd">
              <a:solidFill>
                <a:schemeClr val="tx1"/>
              </a:solidFill>
              <a:round/>
            </a:ln>
            <a:effectLst/>
          </c:spPr>
          <c:marker>
            <c:symbol val="none"/>
          </c:marker>
          <c:xVal>
            <c:numRef>
              <c:f>Yard01!$CT$51:$CT$53</c:f>
              <c:numCache>
                <c:formatCode>0.0000</c:formatCode>
                <c:ptCount val="3"/>
                <c:pt idx="0">
                  <c:v>0</c:v>
                </c:pt>
                <c:pt idx="1">
                  <c:v>-0.50904141575037198</c:v>
                </c:pt>
                <c:pt idx="2">
                  <c:v>0</c:v>
                </c:pt>
              </c:numCache>
            </c:numRef>
          </c:xVal>
          <c:yVal>
            <c:numRef>
              <c:f>Yard01!$CU$51:$CU$53</c:f>
              <c:numCache>
                <c:formatCode>0.0000</c:formatCode>
                <c:ptCount val="3"/>
                <c:pt idx="0">
                  <c:v>0</c:v>
                </c:pt>
                <c:pt idx="1">
                  <c:v>0.8607420270039432</c:v>
                </c:pt>
                <c:pt idx="2">
                  <c:v>0</c:v>
                </c:pt>
              </c:numCache>
            </c:numRef>
          </c:yVal>
          <c:extLst xmlns:c16r2="http://schemas.microsoft.com/office/drawing/2015/06/chart">
            <c:ext xmlns:c16="http://schemas.microsoft.com/office/drawing/2014/chart" uri="{C3380CC4-5D6E-409C-BE32-E72D297353CC}">
              <c16:uniqueId val="{00000000-B4FD-44F5-83BA-EFEC3D5F5F4D}"/>
            </c:ext>
          </c:extLst>
        </c:ser>
        <c:dLbls/>
        <c:axId val="173262720"/>
        <c:axId val="173264256"/>
      </c:scatterChart>
      <c:valAx>
        <c:axId val="173262720"/>
        <c:scaling>
          <c:orientation val="minMax"/>
          <c:max val="1"/>
          <c:min val="-1"/>
        </c:scaling>
        <c:delete val="1"/>
        <c:axPos val="b"/>
        <c:numFmt formatCode="0.0000" sourceLinked="1"/>
        <c:majorTickMark val="none"/>
        <c:tickLblPos val="none"/>
        <c:crossAx val="173264256"/>
        <c:crossesAt val="0"/>
        <c:crossBetween val="midCat"/>
      </c:valAx>
      <c:valAx>
        <c:axId val="173264256"/>
        <c:scaling>
          <c:orientation val="minMax"/>
          <c:max val="1"/>
          <c:min val="-1"/>
        </c:scaling>
        <c:delete val="1"/>
        <c:axPos val="l"/>
        <c:numFmt formatCode="0.0000" sourceLinked="1"/>
        <c:majorTickMark val="none"/>
        <c:tickLblPos val="none"/>
        <c:crossAx val="173262720"/>
        <c:crossesAt val="0"/>
        <c:crossBetween val="midCat"/>
      </c:valAx>
      <c:spPr>
        <a:noFill/>
        <a:ln w="25400">
          <a:noFill/>
        </a:ln>
        <a:effectLst/>
      </c:spPr>
    </c:plotArea>
    <c:plotVisOnly val="1"/>
    <c:dispBlanksAs val="gap"/>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doughnutChart>
        <c:varyColors val="1"/>
        <c:ser>
          <c:idx val="0"/>
          <c:order val="0"/>
          <c:spPr>
            <a:solidFill>
              <a:srgbClr val="FFC000"/>
            </a:solidFill>
            <a:ln>
              <a:noFill/>
            </a:ln>
          </c:spPr>
          <c:dPt>
            <c:idx val="0"/>
            <c:spPr>
              <a:noFill/>
              <a:ln w="19050">
                <a:noFill/>
              </a:ln>
              <a:effectLst/>
            </c:spPr>
            <c:extLst xmlns:c16r2="http://schemas.microsoft.com/office/drawing/2015/06/chart">
              <c:ext xmlns:c16="http://schemas.microsoft.com/office/drawing/2014/chart" uri="{C3380CC4-5D6E-409C-BE32-E72D297353CC}">
                <c16:uniqueId val="{00000001-6537-4F1E-B5C5-51DF18D2FFB1}"/>
              </c:ext>
            </c:extLst>
          </c:dPt>
          <c:dPt>
            <c:idx val="1"/>
            <c:spPr>
              <a:solidFill>
                <a:srgbClr val="FF0000"/>
              </a:solidFill>
              <a:ln w="19050">
                <a:solidFill>
                  <a:schemeClr val="tx1"/>
                </a:solidFill>
              </a:ln>
              <a:effectLst/>
            </c:spPr>
            <c:extLst xmlns:c16r2="http://schemas.microsoft.com/office/drawing/2015/06/chart">
              <c:ext xmlns:c16="http://schemas.microsoft.com/office/drawing/2014/chart" uri="{C3380CC4-5D6E-409C-BE32-E72D297353CC}">
                <c16:uniqueId val="{00000003-6537-4F1E-B5C5-51DF18D2FFB1}"/>
              </c:ext>
            </c:extLst>
          </c:dPt>
          <c:dPt>
            <c:idx val="2"/>
            <c:spPr>
              <a:gradFill>
                <a:gsLst>
                  <a:gs pos="65000">
                    <a:srgbClr val="CCFFCC"/>
                  </a:gs>
                  <a:gs pos="46000">
                    <a:srgbClr val="CCFFCC"/>
                  </a:gs>
                  <a:gs pos="0">
                    <a:srgbClr val="0070C0"/>
                  </a:gs>
                  <a:gs pos="100000">
                    <a:srgbClr val="FF0000"/>
                  </a:gs>
                </a:gsLst>
                <a:lin ang="10200000" scaled="0"/>
              </a:gradFill>
              <a:ln w="19050">
                <a:solidFill>
                  <a:schemeClr val="tx1"/>
                </a:solidFill>
              </a:ln>
              <a:effectLst/>
            </c:spPr>
            <c:extLst xmlns:c16r2="http://schemas.microsoft.com/office/drawing/2015/06/chart">
              <c:ext xmlns:c16="http://schemas.microsoft.com/office/drawing/2014/chart" uri="{C3380CC4-5D6E-409C-BE32-E72D297353CC}">
                <c16:uniqueId val="{00000005-6537-4F1E-B5C5-51DF18D2FFB1}"/>
              </c:ext>
            </c:extLst>
          </c:dPt>
          <c:dPt>
            <c:idx val="3"/>
            <c:spPr>
              <a:solidFill>
                <a:srgbClr val="0070C0"/>
              </a:solidFill>
              <a:ln w="19050">
                <a:solidFill>
                  <a:schemeClr val="tx1"/>
                </a:solidFill>
              </a:ln>
              <a:effectLst/>
            </c:spPr>
            <c:extLst xmlns:c16r2="http://schemas.microsoft.com/office/drawing/2015/06/chart">
              <c:ext xmlns:c16="http://schemas.microsoft.com/office/drawing/2014/chart" uri="{C3380CC4-5D6E-409C-BE32-E72D297353CC}">
                <c16:uniqueId val="{00000007-6537-4F1E-B5C5-51DF18D2FFB1}"/>
              </c:ext>
            </c:extLst>
          </c:dPt>
          <c:dPt>
            <c:idx val="4"/>
            <c:spPr>
              <a:gradFill flip="none" rotWithShape="1">
                <a:gsLst>
                  <a:gs pos="0">
                    <a:srgbClr val="0070C0"/>
                  </a:gs>
                  <a:gs pos="62000">
                    <a:srgbClr val="00B050"/>
                  </a:gs>
                </a:gsLst>
                <a:lin ang="10800000" scaled="1"/>
                <a:tileRect/>
              </a:gradFill>
              <a:ln>
                <a:noFill/>
              </a:ln>
            </c:spPr>
            <c:extLst xmlns:c16r2="http://schemas.microsoft.com/office/drawing/2015/06/chart">
              <c:ext xmlns:c16="http://schemas.microsoft.com/office/drawing/2014/chart" uri="{C3380CC4-5D6E-409C-BE32-E72D297353CC}">
                <c16:uniqueId val="{00000009-6537-4F1E-B5C5-51DF18D2FFB1}"/>
              </c:ext>
            </c:extLst>
          </c:dPt>
          <c:dPt>
            <c:idx val="5"/>
            <c:spPr>
              <a:solidFill>
                <a:srgbClr val="0070C0"/>
              </a:solidFill>
              <a:ln>
                <a:noFill/>
              </a:ln>
            </c:spPr>
            <c:extLst xmlns:c16r2="http://schemas.microsoft.com/office/drawing/2015/06/chart">
              <c:ext xmlns:c16="http://schemas.microsoft.com/office/drawing/2014/chart" uri="{C3380CC4-5D6E-409C-BE32-E72D297353CC}">
                <c16:uniqueId val="{0000000B-6537-4F1E-B5C5-51DF18D2FFB1}"/>
              </c:ext>
            </c:extLst>
          </c:dPt>
          <c:val>
            <c:numRef>
              <c:f>Yard01!$CZ$57:$CZ$60</c:f>
              <c:numCache>
                <c:formatCode>General</c:formatCode>
                <c:ptCount val="4"/>
                <c:pt idx="0">
                  <c:v>180</c:v>
                </c:pt>
                <c:pt idx="1">
                  <c:v>65</c:v>
                </c:pt>
                <c:pt idx="2">
                  <c:v>42.9</c:v>
                </c:pt>
                <c:pt idx="3">
                  <c:v>72.099999999999994</c:v>
                </c:pt>
              </c:numCache>
            </c:numRef>
          </c:val>
          <c:extLst xmlns:c16r2="http://schemas.microsoft.com/office/drawing/2015/06/chart">
            <c:ext xmlns:c16="http://schemas.microsoft.com/office/drawing/2014/chart" uri="{C3380CC4-5D6E-409C-BE32-E72D297353CC}">
              <c16:uniqueId val="{0000000C-6537-4F1E-B5C5-51DF18D2FFB1}"/>
            </c:ext>
          </c:extLst>
        </c:ser>
        <c:dLbls/>
        <c:firstSliceAng val="90"/>
        <c:holeSize val="60"/>
      </c:doughnutChart>
      <c:spPr>
        <a:noFill/>
        <a:ln>
          <a:noFill/>
        </a:ln>
        <a:effectLst/>
      </c:spPr>
    </c:plotArea>
    <c:plotVisOnly val="1"/>
    <c:dispBlanksAs val="zero"/>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0647275225277026"/>
          <c:y val="0.12961439810776507"/>
          <c:w val="0.53333333333333333"/>
          <c:h val="0.87037037037037046"/>
        </c:manualLayout>
      </c:layout>
      <c:scatterChart>
        <c:scatterStyle val="lineMarker"/>
        <c:ser>
          <c:idx val="0"/>
          <c:order val="0"/>
          <c:spPr>
            <a:ln w="38100" cap="rnd">
              <a:solidFill>
                <a:schemeClr val="tx1"/>
              </a:solidFill>
              <a:round/>
            </a:ln>
            <a:effectLst/>
          </c:spPr>
          <c:marker>
            <c:symbol val="none"/>
          </c:marker>
          <c:xVal>
            <c:numRef>
              <c:f>Yard01!$CT$58:$CT$60</c:f>
              <c:numCache>
                <c:formatCode>General</c:formatCode>
                <c:ptCount val="3"/>
                <c:pt idx="0">
                  <c:v>0</c:v>
                </c:pt>
                <c:pt idx="1">
                  <c:v>8.9639308903432371E-2</c:v>
                </c:pt>
                <c:pt idx="2">
                  <c:v>0</c:v>
                </c:pt>
              </c:numCache>
            </c:numRef>
          </c:xVal>
          <c:yVal>
            <c:numRef>
              <c:f>Yard01!$CU$58:$CU$60</c:f>
              <c:numCache>
                <c:formatCode>General</c:formatCode>
                <c:ptCount val="3"/>
                <c:pt idx="0">
                  <c:v>0</c:v>
                </c:pt>
                <c:pt idx="1">
                  <c:v>0.99597429399523918</c:v>
                </c:pt>
                <c:pt idx="2">
                  <c:v>0</c:v>
                </c:pt>
              </c:numCache>
            </c:numRef>
          </c:yVal>
          <c:extLst xmlns:c16r2="http://schemas.microsoft.com/office/drawing/2015/06/chart">
            <c:ext xmlns:c16="http://schemas.microsoft.com/office/drawing/2014/chart" uri="{C3380CC4-5D6E-409C-BE32-E72D297353CC}">
              <c16:uniqueId val="{00000000-073A-4DD6-BF42-C9785963575A}"/>
            </c:ext>
          </c:extLst>
        </c:ser>
        <c:dLbls/>
        <c:axId val="111934080"/>
        <c:axId val="112722304"/>
      </c:scatterChart>
      <c:valAx>
        <c:axId val="111934080"/>
        <c:scaling>
          <c:orientation val="minMax"/>
          <c:max val="1"/>
          <c:min val="-1"/>
        </c:scaling>
        <c:delete val="1"/>
        <c:axPos val="b"/>
        <c:numFmt formatCode="General" sourceLinked="1"/>
        <c:majorTickMark val="none"/>
        <c:tickLblPos val="none"/>
        <c:crossAx val="112722304"/>
        <c:crossesAt val="0"/>
        <c:crossBetween val="midCat"/>
      </c:valAx>
      <c:valAx>
        <c:axId val="112722304"/>
        <c:scaling>
          <c:orientation val="minMax"/>
          <c:max val="1"/>
          <c:min val="-1"/>
        </c:scaling>
        <c:delete val="1"/>
        <c:axPos val="l"/>
        <c:numFmt formatCode="General" sourceLinked="1"/>
        <c:majorTickMark val="none"/>
        <c:tickLblPos val="none"/>
        <c:crossAx val="111934080"/>
        <c:crossesAt val="0"/>
        <c:crossBetween val="midCat"/>
      </c:valAx>
      <c:spPr>
        <a:noFill/>
        <a:ln w="25400">
          <a:noFill/>
        </a:ln>
        <a:effectLst/>
      </c:spPr>
    </c:plotArea>
    <c:plotVisOnly val="1"/>
    <c:dispBlanksAs val="gap"/>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4"/>
  <c:chart>
    <c:autoTitleDeleted val="1"/>
    <c:plotArea>
      <c:layout/>
      <c:barChart>
        <c:barDir val="bar"/>
        <c:grouping val="clustered"/>
        <c:ser>
          <c:idx val="0"/>
          <c:order val="0"/>
          <c:spPr>
            <a:solidFill>
              <a:srgbClr val="2CA1D7"/>
            </a:solidFill>
            <a:ln w="9525" cap="flat" cmpd="sng" algn="ctr">
              <a:solidFill>
                <a:schemeClr val="accent2">
                  <a:shade val="95000"/>
                </a:schemeClr>
              </a:solidFill>
              <a:round/>
            </a:ln>
            <a:effectLst>
              <a:outerShdw blurRad="40000" dist="20000" dir="5400000" rotWithShape="0">
                <a:srgbClr val="000000">
                  <a:alpha val="38000"/>
                </a:srgbClr>
              </a:outerShdw>
            </a:effectLst>
          </c:spPr>
          <c:dLbls>
            <c:delete val="1"/>
          </c:dLbls>
          <c:cat>
            <c:strRef>
              <c:f>Yard01!$CT$16:$CT$28</c:f>
              <c:strCache>
                <c:ptCount val="13"/>
                <c:pt idx="0">
                  <c:v>Na</c:v>
                </c:pt>
                <c:pt idx="1">
                  <c:v>Mg</c:v>
                </c:pt>
                <c:pt idx="2">
                  <c:v>Ca</c:v>
                </c:pt>
                <c:pt idx="3">
                  <c:v>Fe</c:v>
                </c:pt>
                <c:pt idx="4">
                  <c:v>Cu</c:v>
                </c:pt>
                <c:pt idx="5">
                  <c:v>Mn</c:v>
                </c:pt>
                <c:pt idx="6">
                  <c:v>Zn</c:v>
                </c:pt>
                <c:pt idx="7">
                  <c:v>B</c:v>
                </c:pt>
                <c:pt idx="8">
                  <c:v>S</c:v>
                </c:pt>
                <c:pt idx="9">
                  <c:v>K</c:v>
                </c:pt>
                <c:pt idx="10">
                  <c:v>P</c:v>
                </c:pt>
                <c:pt idx="11">
                  <c:v>NH4-N</c:v>
                </c:pt>
                <c:pt idx="12">
                  <c:v>NO3-N</c:v>
                </c:pt>
              </c:strCache>
            </c:strRef>
          </c:cat>
          <c:val>
            <c:numRef>
              <c:f>Yard01!$CU$16:$CU$28</c:f>
              <c:numCache>
                <c:formatCode>0.0_)</c:formatCode>
                <c:ptCount val="13"/>
                <c:pt idx="0" formatCode="General">
                  <c:v>1.0817031070195626</c:v>
                </c:pt>
                <c:pt idx="1">
                  <c:v>2.5822784810126578</c:v>
                </c:pt>
                <c:pt idx="2">
                  <c:v>0.98312236286919841</c:v>
                </c:pt>
                <c:pt idx="3" formatCode="General">
                  <c:v>1.2916666666666665</c:v>
                </c:pt>
                <c:pt idx="4" formatCode="General">
                  <c:v>1.1590909090909092</c:v>
                </c:pt>
                <c:pt idx="5" formatCode="General">
                  <c:v>1.4444444444444444</c:v>
                </c:pt>
                <c:pt idx="6" formatCode="General">
                  <c:v>1.5952380952380951</c:v>
                </c:pt>
                <c:pt idx="7" formatCode="General">
                  <c:v>1.5</c:v>
                </c:pt>
                <c:pt idx="8" formatCode="General">
                  <c:v>1.1199999999999999</c:v>
                </c:pt>
                <c:pt idx="9" formatCode="General">
                  <c:v>3</c:v>
                </c:pt>
                <c:pt idx="10" formatCode="General">
                  <c:v>1.55</c:v>
                </c:pt>
                <c:pt idx="11" formatCode="General">
                  <c:v>1.0676923076923077</c:v>
                </c:pt>
                <c:pt idx="12" formatCode="General">
                  <c:v>1.566153846153846</c:v>
                </c:pt>
              </c:numCache>
            </c:numRef>
          </c:val>
          <c:extLst xmlns:c16r2="http://schemas.microsoft.com/office/drawing/2015/06/chart">
            <c:ext xmlns:c16="http://schemas.microsoft.com/office/drawing/2014/chart" uri="{C3380CC4-5D6E-409C-BE32-E72D297353CC}">
              <c16:uniqueId val="{00000000-22D3-4D86-946F-AC8F1030ABA7}"/>
            </c:ext>
          </c:extLst>
        </c:ser>
        <c:dLbls>
          <c:showVal val="1"/>
        </c:dLbls>
        <c:gapWidth val="100"/>
        <c:axId val="113474176"/>
        <c:axId val="113480064"/>
      </c:barChart>
      <c:catAx>
        <c:axId val="11347417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3480064"/>
        <c:crosses val="autoZero"/>
        <c:auto val="1"/>
        <c:lblAlgn val="ctr"/>
        <c:lblOffset val="100"/>
      </c:catAx>
      <c:valAx>
        <c:axId val="113480064"/>
        <c:scaling>
          <c:orientation val="minMax"/>
          <c:max val="3"/>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tickLblPos val="none"/>
        <c:crossAx val="113474176"/>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doughnutChart>
        <c:varyColors val="1"/>
        <c:ser>
          <c:idx val="0"/>
          <c:order val="0"/>
          <c:dPt>
            <c:idx val="0"/>
            <c:spPr>
              <a:noFill/>
              <a:ln w="19050">
                <a:noFill/>
              </a:ln>
              <a:effectLst/>
            </c:spPr>
            <c:extLst xmlns:c16r2="http://schemas.microsoft.com/office/drawing/2015/06/chart">
              <c:ext xmlns:c16="http://schemas.microsoft.com/office/drawing/2014/chart" uri="{C3380CC4-5D6E-409C-BE32-E72D297353CC}">
                <c16:uniqueId val="{00000001-0FFA-4783-BC1E-E5290F36A677}"/>
              </c:ext>
            </c:extLst>
          </c:dPt>
          <c:dPt>
            <c:idx val="1"/>
            <c:spPr>
              <a:solidFill>
                <a:schemeClr val="accent1">
                  <a:lumMod val="75000"/>
                </a:schemeClr>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3-0FFA-4783-BC1E-E5290F36A677}"/>
              </c:ext>
            </c:extLst>
          </c:dPt>
          <c:dPt>
            <c:idx val="2"/>
            <c:spPr>
              <a:solidFill>
                <a:srgbClr val="FFFF00"/>
              </a:solidFill>
              <a:ln w="19050">
                <a:solidFill>
                  <a:schemeClr val="lt1"/>
                </a:solidFill>
              </a:ln>
              <a:effectLst/>
            </c:spPr>
            <c:extLst xmlns:c16r2="http://schemas.microsoft.com/office/drawing/2015/06/chart">
              <c:ext xmlns:c16="http://schemas.microsoft.com/office/drawing/2014/chart" uri="{C3380CC4-5D6E-409C-BE32-E72D297353CC}">
                <c16:uniqueId val="{00000005-0FFA-4783-BC1E-E5290F36A677}"/>
              </c:ext>
            </c:extLst>
          </c:dPt>
          <c:dPt>
            <c:idx val="3"/>
            <c:spPr>
              <a:solidFill>
                <a:schemeClr val="accent1">
                  <a:lumMod val="60000"/>
                  <a:lumOff val="40000"/>
                </a:schemeClr>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7-0FFA-4783-BC1E-E5290F36A677}"/>
              </c:ext>
            </c:extLst>
          </c:dPt>
          <c:dPt>
            <c:idx val="4"/>
            <c:spPr>
              <a:solidFill>
                <a:srgbClr val="FF0000"/>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9-0FFA-4783-BC1E-E5290F36A677}"/>
              </c:ext>
            </c:extLst>
          </c:dPt>
          <c:val>
            <c:numRef>
              <c:f>Yard02!$CZ$49:$CZ$53</c:f>
              <c:numCache>
                <c:formatCode>General_)</c:formatCode>
                <c:ptCount val="5"/>
                <c:pt idx="0">
                  <c:v>180</c:v>
                </c:pt>
                <c:pt idx="1">
                  <c:v>60</c:v>
                </c:pt>
                <c:pt idx="3">
                  <c:v>60</c:v>
                </c:pt>
                <c:pt idx="4">
                  <c:v>60</c:v>
                </c:pt>
              </c:numCache>
            </c:numRef>
          </c:val>
          <c:extLst xmlns:c16r2="http://schemas.microsoft.com/office/drawing/2015/06/chart">
            <c:ext xmlns:c16="http://schemas.microsoft.com/office/drawing/2014/chart" uri="{C3380CC4-5D6E-409C-BE32-E72D297353CC}">
              <c16:uniqueId val="{0000000A-0FFA-4783-BC1E-E5290F36A677}"/>
            </c:ext>
          </c:extLst>
        </c:ser>
        <c:dLbls/>
        <c:firstSliceAng val="90"/>
        <c:holeSize val="60"/>
      </c:doughnutChart>
      <c:spPr>
        <a:noFill/>
        <a:ln>
          <a:noFill/>
        </a:ln>
        <a:effectLst/>
      </c:spPr>
    </c:plotArea>
    <c:plotVisOnly val="1"/>
    <c:dispBlanksAs val="zero"/>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2646896990721155"/>
          <c:y val="8.1555157550771376E-2"/>
          <c:w val="0.57978958836948025"/>
          <c:h val="0.87037037037037046"/>
        </c:manualLayout>
      </c:layout>
      <c:scatterChart>
        <c:scatterStyle val="lineMarker"/>
        <c:ser>
          <c:idx val="0"/>
          <c:order val="0"/>
          <c:spPr>
            <a:ln w="38100" cap="rnd">
              <a:solidFill>
                <a:schemeClr val="tx1"/>
              </a:solidFill>
              <a:round/>
            </a:ln>
            <a:effectLst/>
          </c:spPr>
          <c:marker>
            <c:symbol val="none"/>
          </c:marker>
          <c:xVal>
            <c:numRef>
              <c:f>Yard02!$CT$51:$CT$53</c:f>
              <c:numCache>
                <c:formatCode>0.0000</c:formatCode>
                <c:ptCount val="3"/>
                <c:pt idx="0">
                  <c:v>0</c:v>
                </c:pt>
                <c:pt idx="1">
                  <c:v>-0.6753328081210247</c:v>
                </c:pt>
                <c:pt idx="2">
                  <c:v>0</c:v>
                </c:pt>
              </c:numCache>
            </c:numRef>
          </c:xVal>
          <c:yVal>
            <c:numRef>
              <c:f>Yard02!$CU$51:$CU$53</c:f>
              <c:numCache>
                <c:formatCode>0.0000</c:formatCode>
                <c:ptCount val="3"/>
                <c:pt idx="0">
                  <c:v>0</c:v>
                </c:pt>
                <c:pt idx="1">
                  <c:v>0.73751311735817371</c:v>
                </c:pt>
                <c:pt idx="2">
                  <c:v>0</c:v>
                </c:pt>
              </c:numCache>
            </c:numRef>
          </c:yVal>
          <c:extLst xmlns:c16r2="http://schemas.microsoft.com/office/drawing/2015/06/chart">
            <c:ext xmlns:c16="http://schemas.microsoft.com/office/drawing/2014/chart" uri="{C3380CC4-5D6E-409C-BE32-E72D297353CC}">
              <c16:uniqueId val="{00000000-3C30-496E-8600-D1E11AB722E8}"/>
            </c:ext>
          </c:extLst>
        </c:ser>
        <c:dLbls/>
        <c:axId val="113688960"/>
        <c:axId val="113690496"/>
      </c:scatterChart>
      <c:valAx>
        <c:axId val="113688960"/>
        <c:scaling>
          <c:orientation val="minMax"/>
          <c:max val="1"/>
          <c:min val="-1"/>
        </c:scaling>
        <c:delete val="1"/>
        <c:axPos val="b"/>
        <c:numFmt formatCode="0.0000" sourceLinked="1"/>
        <c:majorTickMark val="none"/>
        <c:tickLblPos val="none"/>
        <c:crossAx val="113690496"/>
        <c:crossesAt val="0"/>
        <c:crossBetween val="midCat"/>
      </c:valAx>
      <c:valAx>
        <c:axId val="113690496"/>
        <c:scaling>
          <c:orientation val="minMax"/>
          <c:max val="1"/>
          <c:min val="-1"/>
        </c:scaling>
        <c:delete val="1"/>
        <c:axPos val="l"/>
        <c:numFmt formatCode="0.0000" sourceLinked="1"/>
        <c:majorTickMark val="none"/>
        <c:tickLblPos val="none"/>
        <c:crossAx val="113688960"/>
        <c:crossesAt val="0"/>
        <c:crossBetween val="midCat"/>
      </c:valAx>
      <c:spPr>
        <a:noFill/>
        <a:ln w="25400">
          <a:noFill/>
        </a:ln>
        <a:effectLst/>
      </c:spPr>
    </c:plotArea>
    <c:plotVisOnly val="1"/>
    <c:dispBlanksAs val="gap"/>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doughnutChart>
        <c:varyColors val="1"/>
        <c:ser>
          <c:idx val="0"/>
          <c:order val="0"/>
          <c:spPr>
            <a:solidFill>
              <a:srgbClr val="FFC000"/>
            </a:solidFill>
            <a:ln>
              <a:noFill/>
            </a:ln>
          </c:spPr>
          <c:dPt>
            <c:idx val="0"/>
            <c:spPr>
              <a:noFill/>
              <a:ln w="19050">
                <a:noFill/>
              </a:ln>
              <a:effectLst/>
            </c:spPr>
            <c:extLst xmlns:c16r2="http://schemas.microsoft.com/office/drawing/2015/06/chart">
              <c:ext xmlns:c16="http://schemas.microsoft.com/office/drawing/2014/chart" uri="{C3380CC4-5D6E-409C-BE32-E72D297353CC}">
                <c16:uniqueId val="{00000001-E45A-4562-8DA4-9BE9F16D47F7}"/>
              </c:ext>
            </c:extLst>
          </c:dPt>
          <c:dPt>
            <c:idx val="1"/>
            <c:spPr>
              <a:solidFill>
                <a:srgbClr val="FF0000"/>
              </a:solidFill>
              <a:ln w="19050">
                <a:solidFill>
                  <a:schemeClr val="tx1"/>
                </a:solidFill>
              </a:ln>
              <a:effectLst/>
            </c:spPr>
            <c:extLst xmlns:c16r2="http://schemas.microsoft.com/office/drawing/2015/06/chart">
              <c:ext xmlns:c16="http://schemas.microsoft.com/office/drawing/2014/chart" uri="{C3380CC4-5D6E-409C-BE32-E72D297353CC}">
                <c16:uniqueId val="{00000003-E45A-4562-8DA4-9BE9F16D47F7}"/>
              </c:ext>
            </c:extLst>
          </c:dPt>
          <c:dPt>
            <c:idx val="2"/>
            <c:spPr>
              <a:gradFill>
                <a:gsLst>
                  <a:gs pos="65000">
                    <a:srgbClr val="CCFFCC"/>
                  </a:gs>
                  <a:gs pos="46000">
                    <a:srgbClr val="CCFFCC"/>
                  </a:gs>
                  <a:gs pos="0">
                    <a:srgbClr val="0070C0"/>
                  </a:gs>
                  <a:gs pos="100000">
                    <a:srgbClr val="FF0000"/>
                  </a:gs>
                </a:gsLst>
                <a:lin ang="10200000" scaled="0"/>
              </a:gradFill>
              <a:ln w="19050">
                <a:solidFill>
                  <a:schemeClr val="tx1"/>
                </a:solidFill>
              </a:ln>
              <a:effectLst/>
            </c:spPr>
            <c:extLst xmlns:c16r2="http://schemas.microsoft.com/office/drawing/2015/06/chart">
              <c:ext xmlns:c16="http://schemas.microsoft.com/office/drawing/2014/chart" uri="{C3380CC4-5D6E-409C-BE32-E72D297353CC}">
                <c16:uniqueId val="{00000005-E45A-4562-8DA4-9BE9F16D47F7}"/>
              </c:ext>
            </c:extLst>
          </c:dPt>
          <c:dPt>
            <c:idx val="3"/>
            <c:spPr>
              <a:solidFill>
                <a:srgbClr val="0070C0"/>
              </a:solidFill>
              <a:ln w="19050">
                <a:solidFill>
                  <a:schemeClr val="tx1"/>
                </a:solidFill>
              </a:ln>
              <a:effectLst/>
            </c:spPr>
            <c:extLst xmlns:c16r2="http://schemas.microsoft.com/office/drawing/2015/06/chart">
              <c:ext xmlns:c16="http://schemas.microsoft.com/office/drawing/2014/chart" uri="{C3380CC4-5D6E-409C-BE32-E72D297353CC}">
                <c16:uniqueId val="{00000007-E45A-4562-8DA4-9BE9F16D47F7}"/>
              </c:ext>
            </c:extLst>
          </c:dPt>
          <c:dPt>
            <c:idx val="4"/>
            <c:spPr>
              <a:gradFill flip="none" rotWithShape="1">
                <a:gsLst>
                  <a:gs pos="0">
                    <a:srgbClr val="0070C0"/>
                  </a:gs>
                  <a:gs pos="62000">
                    <a:srgbClr val="00B050"/>
                  </a:gs>
                </a:gsLst>
                <a:lin ang="10800000" scaled="1"/>
                <a:tileRect/>
              </a:gradFill>
              <a:ln>
                <a:noFill/>
              </a:ln>
            </c:spPr>
            <c:extLst xmlns:c16r2="http://schemas.microsoft.com/office/drawing/2015/06/chart">
              <c:ext xmlns:c16="http://schemas.microsoft.com/office/drawing/2014/chart" uri="{C3380CC4-5D6E-409C-BE32-E72D297353CC}">
                <c16:uniqueId val="{00000009-E45A-4562-8DA4-9BE9F16D47F7}"/>
              </c:ext>
            </c:extLst>
          </c:dPt>
          <c:dPt>
            <c:idx val="5"/>
            <c:spPr>
              <a:solidFill>
                <a:srgbClr val="0070C0"/>
              </a:solidFill>
              <a:ln>
                <a:noFill/>
              </a:ln>
            </c:spPr>
            <c:extLst xmlns:c16r2="http://schemas.microsoft.com/office/drawing/2015/06/chart">
              <c:ext xmlns:c16="http://schemas.microsoft.com/office/drawing/2014/chart" uri="{C3380CC4-5D6E-409C-BE32-E72D297353CC}">
                <c16:uniqueId val="{0000000B-E45A-4562-8DA4-9BE9F16D47F7}"/>
              </c:ext>
            </c:extLst>
          </c:dPt>
          <c:val>
            <c:numRef>
              <c:f>Yard02!$CZ$57:$CZ$60</c:f>
              <c:numCache>
                <c:formatCode>General</c:formatCode>
                <c:ptCount val="4"/>
                <c:pt idx="0">
                  <c:v>180</c:v>
                </c:pt>
                <c:pt idx="1">
                  <c:v>65</c:v>
                </c:pt>
                <c:pt idx="2">
                  <c:v>42.9</c:v>
                </c:pt>
                <c:pt idx="3">
                  <c:v>72.099999999999994</c:v>
                </c:pt>
              </c:numCache>
            </c:numRef>
          </c:val>
          <c:extLst xmlns:c16r2="http://schemas.microsoft.com/office/drawing/2015/06/chart">
            <c:ext xmlns:c16="http://schemas.microsoft.com/office/drawing/2014/chart" uri="{C3380CC4-5D6E-409C-BE32-E72D297353CC}">
              <c16:uniqueId val="{0000000C-E45A-4562-8DA4-9BE9F16D47F7}"/>
            </c:ext>
          </c:extLst>
        </c:ser>
        <c:dLbls/>
        <c:firstSliceAng val="90"/>
        <c:holeSize val="60"/>
      </c:doughnutChart>
      <c:spPr>
        <a:noFill/>
        <a:ln>
          <a:noFill/>
        </a:ln>
        <a:effectLst/>
      </c:spPr>
    </c:plotArea>
    <c:plotVisOnly val="1"/>
    <c:dispBlanksAs val="zero"/>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0647275225277026"/>
          <c:y val="0.12961439810776507"/>
          <c:w val="0.53333333333333333"/>
          <c:h val="0.87037037037037046"/>
        </c:manualLayout>
      </c:layout>
      <c:scatterChart>
        <c:scatterStyle val="lineMarker"/>
        <c:ser>
          <c:idx val="0"/>
          <c:order val="0"/>
          <c:spPr>
            <a:ln w="38100" cap="rnd">
              <a:solidFill>
                <a:schemeClr val="tx1"/>
              </a:solidFill>
              <a:round/>
            </a:ln>
            <a:effectLst/>
          </c:spPr>
          <c:marker>
            <c:symbol val="none"/>
          </c:marker>
          <c:xVal>
            <c:numRef>
              <c:f>Yard02!$CT$58:$CT$60</c:f>
              <c:numCache>
                <c:formatCode>General</c:formatCode>
                <c:ptCount val="3"/>
                <c:pt idx="0">
                  <c:v>0</c:v>
                </c:pt>
                <c:pt idx="1">
                  <c:v>0.4707039321653313</c:v>
                </c:pt>
                <c:pt idx="2">
                  <c:v>0</c:v>
                </c:pt>
              </c:numCache>
            </c:numRef>
          </c:xVal>
          <c:yVal>
            <c:numRef>
              <c:f>Yard02!$CU$58:$CU$60</c:f>
              <c:numCache>
                <c:formatCode>General</c:formatCode>
                <c:ptCount val="3"/>
                <c:pt idx="0">
                  <c:v>0</c:v>
                </c:pt>
                <c:pt idx="1">
                  <c:v>0.88229122643495395</c:v>
                </c:pt>
                <c:pt idx="2">
                  <c:v>0</c:v>
                </c:pt>
              </c:numCache>
            </c:numRef>
          </c:yVal>
          <c:extLst xmlns:c16r2="http://schemas.microsoft.com/office/drawing/2015/06/chart">
            <c:ext xmlns:c16="http://schemas.microsoft.com/office/drawing/2014/chart" uri="{C3380CC4-5D6E-409C-BE32-E72D297353CC}">
              <c16:uniqueId val="{00000000-1A62-4EB8-B6BC-C8FDA9B84246}"/>
            </c:ext>
          </c:extLst>
        </c:ser>
        <c:dLbls/>
        <c:axId val="113731456"/>
        <c:axId val="113732992"/>
      </c:scatterChart>
      <c:valAx>
        <c:axId val="113731456"/>
        <c:scaling>
          <c:orientation val="minMax"/>
          <c:max val="1"/>
          <c:min val="-1"/>
        </c:scaling>
        <c:delete val="1"/>
        <c:axPos val="b"/>
        <c:numFmt formatCode="General" sourceLinked="1"/>
        <c:majorTickMark val="none"/>
        <c:tickLblPos val="none"/>
        <c:crossAx val="113732992"/>
        <c:crossesAt val="0"/>
        <c:crossBetween val="midCat"/>
      </c:valAx>
      <c:valAx>
        <c:axId val="113732992"/>
        <c:scaling>
          <c:orientation val="minMax"/>
          <c:max val="1"/>
          <c:min val="-1"/>
        </c:scaling>
        <c:delete val="1"/>
        <c:axPos val="l"/>
        <c:numFmt formatCode="General" sourceLinked="1"/>
        <c:majorTickMark val="none"/>
        <c:tickLblPos val="none"/>
        <c:crossAx val="113731456"/>
        <c:crossesAt val="0"/>
        <c:crossBetween val="midCat"/>
      </c:valAx>
      <c:spPr>
        <a:noFill/>
        <a:ln w="25400">
          <a:noFill/>
        </a:ln>
        <a:effectLst/>
      </c:spPr>
    </c:plotArea>
    <c:plotVisOnly val="1"/>
    <c:dispBlanksAs val="gap"/>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5.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4.tiff"/><Relationship Id="rId5" Type="http://schemas.openxmlformats.org/officeDocument/2006/relationships/image" Target="../media/image5.sv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image" Target="../media/image5.jpeg"/><Relationship Id="rId5" Type="http://schemas.openxmlformats.org/officeDocument/2006/relationships/image" Target="../media/image2.png"/><Relationship Id="rId10" Type="http://schemas.openxmlformats.org/officeDocument/2006/relationships/image" Target="../media/image6.tiff"/><Relationship Id="rId4" Type="http://schemas.openxmlformats.org/officeDocument/2006/relationships/chart" Target="../charts/chart4.xml"/><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8.xml"/><Relationship Id="rId7" Type="http://schemas.openxmlformats.org/officeDocument/2006/relationships/image" Target="../media/image3.png"/><Relationship Id="rId12" Type="http://schemas.openxmlformats.org/officeDocument/2006/relationships/image" Target="../media/image1.jpe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3.svg"/><Relationship Id="rId11" Type="http://schemas.openxmlformats.org/officeDocument/2006/relationships/image" Target="../media/image5.jpeg"/><Relationship Id="rId5" Type="http://schemas.openxmlformats.org/officeDocument/2006/relationships/image" Target="../media/image2.png"/><Relationship Id="rId10" Type="http://schemas.openxmlformats.org/officeDocument/2006/relationships/image" Target="../media/image6.tiff"/><Relationship Id="rId4" Type="http://schemas.openxmlformats.org/officeDocument/2006/relationships/chart" Target="../charts/chart9.xml"/><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13.xml"/><Relationship Id="rId7" Type="http://schemas.openxmlformats.org/officeDocument/2006/relationships/image" Target="../media/image3.png"/><Relationship Id="rId12" Type="http://schemas.openxmlformats.org/officeDocument/2006/relationships/image" Target="../media/image1.jpeg"/><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3.svg"/><Relationship Id="rId11" Type="http://schemas.openxmlformats.org/officeDocument/2006/relationships/image" Target="../media/image5.jpeg"/><Relationship Id="rId5" Type="http://schemas.openxmlformats.org/officeDocument/2006/relationships/image" Target="../media/image2.png"/><Relationship Id="rId10" Type="http://schemas.openxmlformats.org/officeDocument/2006/relationships/image" Target="../media/image6.tiff"/><Relationship Id="rId4" Type="http://schemas.openxmlformats.org/officeDocument/2006/relationships/chart" Target="../charts/chart14.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1</xdr:col>
      <xdr:colOff>473429</xdr:colOff>
      <xdr:row>20</xdr:row>
      <xdr:rowOff>329139</xdr:rowOff>
    </xdr:from>
    <xdr:to>
      <xdr:col>3</xdr:col>
      <xdr:colOff>790575</xdr:colOff>
      <xdr:row>25</xdr:row>
      <xdr:rowOff>121405</xdr:rowOff>
    </xdr:to>
    <xdr:pic>
      <xdr:nvPicPr>
        <xdr:cNvPr id="38" name="Picture 37" descr="http://kuotestinglabs.com/project/uploads/2016/03/ALP-Logo.jpg">
          <a:extLst>
            <a:ext uri="{FF2B5EF4-FFF2-40B4-BE49-F238E27FC236}">
              <a16:creationId xmlns:a16="http://schemas.microsoft.com/office/drawing/2014/main" xmlns="" id="{F829CB53-E711-4B13-ABBF-6F51A0916C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521179" y="4615389"/>
          <a:ext cx="1428396" cy="169726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623455</xdr:colOff>
      <xdr:row>20</xdr:row>
      <xdr:rowOff>17317</xdr:rowOff>
    </xdr:from>
    <xdr:to>
      <xdr:col>20</xdr:col>
      <xdr:colOff>86523</xdr:colOff>
      <xdr:row>23</xdr:row>
      <xdr:rowOff>37698</xdr:rowOff>
    </xdr:to>
    <xdr:sp macro="" textlink="">
      <xdr:nvSpPr>
        <xdr:cNvPr id="44" name="TextBox 43">
          <a:extLst>
            <a:ext uri="{FF2B5EF4-FFF2-40B4-BE49-F238E27FC236}">
              <a16:creationId xmlns:a16="http://schemas.microsoft.com/office/drawing/2014/main" xmlns="" id="{F45A10A9-8B1E-4753-A897-0295965F008D}"/>
            </a:ext>
          </a:extLst>
        </xdr:cNvPr>
        <xdr:cNvSpPr txBox="1"/>
      </xdr:nvSpPr>
      <xdr:spPr bwMode="auto">
        <a:xfrm>
          <a:off x="6979228" y="5195453"/>
          <a:ext cx="10596062" cy="1073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tx1"/>
              </a:solidFill>
              <a:effectLst/>
              <a:latin typeface="Arial" panose="020B0604020202020204" pitchFamily="34" charset="0"/>
              <a:ea typeface="+mn-ea"/>
              <a:cs typeface="Arial" panose="020B0604020202020204" pitchFamily="34" charset="0"/>
            </a:rPr>
            <a:t>KTL</a:t>
          </a:r>
          <a:r>
            <a:rPr lang="en-US" sz="1400" baseline="0">
              <a:solidFill>
                <a:schemeClr val="tx1"/>
              </a:solidFill>
              <a:effectLst/>
              <a:latin typeface="Arial" panose="020B0604020202020204" pitchFamily="34" charset="0"/>
              <a:ea typeface="+mn-ea"/>
              <a:cs typeface="Arial" panose="020B0604020202020204" pitchFamily="34" charset="0"/>
            </a:rPr>
            <a:t> will make every effort to provide an accurate analysis. Liability is limited to the cost of the analysis</a:t>
          </a:r>
          <a:endParaRPr lang="en-US" sz="1400">
            <a:effectLst/>
            <a:latin typeface="Arial" panose="020B0604020202020204" pitchFamily="34" charset="0"/>
            <a:cs typeface="Arial" panose="020B0604020202020204" pitchFamily="34" charset="0"/>
          </a:endParaRPr>
        </a:p>
        <a:p>
          <a:pPr algn="ctr"/>
          <a:r>
            <a:rPr lang="en-US" sz="1400" baseline="0">
              <a:solidFill>
                <a:schemeClr val="tx1"/>
              </a:solidFill>
              <a:effectLst/>
              <a:latin typeface="Arial" panose="020B0604020202020204" pitchFamily="34" charset="0"/>
              <a:ea typeface="+mn-ea"/>
              <a:cs typeface="Arial" panose="020B0604020202020204" pitchFamily="34" charset="0"/>
            </a:rPr>
            <a:t>and no other warranties, expressed or implied are given. Recommendations serve only as a general guide and should</a:t>
          </a:r>
          <a:endParaRPr lang="en-US" sz="1400">
            <a:effectLst/>
            <a:latin typeface="Arial" panose="020B0604020202020204" pitchFamily="34" charset="0"/>
            <a:cs typeface="Arial" panose="020B0604020202020204" pitchFamily="34" charset="0"/>
          </a:endParaRPr>
        </a:p>
        <a:p>
          <a:pPr algn="ctr"/>
          <a:r>
            <a:rPr lang="en-US" sz="1400" baseline="0">
              <a:solidFill>
                <a:schemeClr val="tx1"/>
              </a:solidFill>
              <a:effectLst/>
              <a:latin typeface="Arial" panose="020B0604020202020204" pitchFamily="34" charset="0"/>
              <a:ea typeface="+mn-ea"/>
              <a:cs typeface="Arial" panose="020B0604020202020204" pitchFamily="34" charset="0"/>
            </a:rPr>
            <a:t>be adjusted to specific situations and conditions.</a:t>
          </a:r>
          <a:endParaRPr lang="en-US" sz="1400">
            <a:effectLst/>
            <a:latin typeface="Arial" panose="020B0604020202020204" pitchFamily="34" charset="0"/>
            <a:cs typeface="Arial" panose="020B0604020202020204" pitchFamily="34" charset="0"/>
          </a:endParaRPr>
        </a:p>
      </xdr:txBody>
    </xdr:sp>
    <xdr:clientData/>
  </xdr:twoCellAnchor>
  <xdr:twoCellAnchor editAs="oneCell">
    <xdr:from>
      <xdr:col>24</xdr:col>
      <xdr:colOff>806351</xdr:colOff>
      <xdr:row>20</xdr:row>
      <xdr:rowOff>130753</xdr:rowOff>
    </xdr:from>
    <xdr:to>
      <xdr:col>32</xdr:col>
      <xdr:colOff>553149</xdr:colOff>
      <xdr:row>24</xdr:row>
      <xdr:rowOff>187414</xdr:rowOff>
    </xdr:to>
    <xdr:grpSp>
      <xdr:nvGrpSpPr>
        <xdr:cNvPr id="45" name="Group 44">
          <a:extLst>
            <a:ext uri="{FF2B5EF4-FFF2-40B4-BE49-F238E27FC236}">
              <a16:creationId xmlns:a16="http://schemas.microsoft.com/office/drawing/2014/main" xmlns="" id="{6024D076-969C-4307-A4F9-9D8DE5202991}"/>
            </a:ext>
          </a:extLst>
        </xdr:cNvPr>
        <xdr:cNvGrpSpPr/>
      </xdr:nvGrpSpPr>
      <xdr:grpSpPr>
        <a:xfrm>
          <a:off x="25650726" y="6607753"/>
          <a:ext cx="7620798" cy="1580661"/>
          <a:chOff x="9040092" y="19027800"/>
          <a:chExt cx="7617335" cy="1445291"/>
        </a:xfrm>
      </xdr:grpSpPr>
      <xdr:sp macro="" textlink="">
        <xdr:nvSpPr>
          <xdr:cNvPr id="46" name="TextBox 45">
            <a:extLst>
              <a:ext uri="{FF2B5EF4-FFF2-40B4-BE49-F238E27FC236}">
                <a16:creationId xmlns:a16="http://schemas.microsoft.com/office/drawing/2014/main" xmlns="" id="{A742EF32-0AD9-428B-AA09-CEB8899681E2}"/>
              </a:ext>
            </a:extLst>
          </xdr:cNvPr>
          <xdr:cNvSpPr txBox="1"/>
        </xdr:nvSpPr>
        <xdr:spPr bwMode="auto">
          <a:xfrm>
            <a:off x="9040092" y="19027800"/>
            <a:ext cx="7617335" cy="1073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b="1" baseline="0">
                <a:latin typeface="Arial" panose="020B0604020202020204" pitchFamily="34" charset="0"/>
                <a:cs typeface="Arial" panose="020B0604020202020204" pitchFamily="34" charset="0"/>
              </a:rPr>
              <a:t>Main Office: 	119 E Main St., Othello, WA 99344</a:t>
            </a:r>
          </a:p>
          <a:p>
            <a:pPr algn="l">
              <a:lnSpc>
                <a:spcPct val="150000"/>
              </a:lnSpc>
            </a:pPr>
            <a:r>
              <a:rPr lang="en-US" sz="1800" b="1" baseline="0">
                <a:latin typeface="Arial" panose="020B0604020202020204" pitchFamily="34" charset="0"/>
                <a:cs typeface="Arial" panose="020B0604020202020204" pitchFamily="34" charset="0"/>
              </a:rPr>
              <a:t>Oregon Office: 	1300 Sixth St., Suite J, Umatilla, OR 97882</a:t>
            </a:r>
          </a:p>
          <a:p>
            <a:pPr algn="l"/>
            <a:r>
              <a:rPr lang="en-US" sz="1800" b="1" baseline="0">
                <a:latin typeface="Arial" panose="020B0604020202020204" pitchFamily="34" charset="0"/>
                <a:cs typeface="Arial" panose="020B0604020202020204" pitchFamily="34" charset="0"/>
              </a:rPr>
              <a:t>Pasco Office: 	1320 E Spokane St., Pasco, WA 99301</a:t>
            </a:r>
            <a:endParaRPr lang="en-US" sz="1800" b="1">
              <a:latin typeface="Arial" panose="020B0604020202020204" pitchFamily="34" charset="0"/>
              <a:cs typeface="Arial" panose="020B0604020202020204" pitchFamily="34" charset="0"/>
            </a:endParaRPr>
          </a:p>
        </xdr:txBody>
      </xdr:sp>
      <xdr:grpSp>
        <xdr:nvGrpSpPr>
          <xdr:cNvPr id="47" name="Group 46">
            <a:extLst>
              <a:ext uri="{FF2B5EF4-FFF2-40B4-BE49-F238E27FC236}">
                <a16:creationId xmlns:a16="http://schemas.microsoft.com/office/drawing/2014/main" xmlns="" id="{F56BC313-585B-4DE8-B827-EF3A355125B5}"/>
              </a:ext>
            </a:extLst>
          </xdr:cNvPr>
          <xdr:cNvGrpSpPr/>
        </xdr:nvGrpSpPr>
        <xdr:grpSpPr>
          <a:xfrm>
            <a:off x="9164208" y="20100084"/>
            <a:ext cx="5966222" cy="373007"/>
            <a:chOff x="8780460" y="8425964"/>
            <a:chExt cx="5800117" cy="373007"/>
          </a:xfrm>
        </xdr:grpSpPr>
        <xdr:grpSp>
          <xdr:nvGrpSpPr>
            <xdr:cNvPr id="48" name="Group 47">
              <a:extLst>
                <a:ext uri="{FF2B5EF4-FFF2-40B4-BE49-F238E27FC236}">
                  <a16:creationId xmlns:a16="http://schemas.microsoft.com/office/drawing/2014/main" xmlns="" id="{C1B77E3B-273C-4ACF-B534-DD27640B6BDE}"/>
                </a:ext>
              </a:extLst>
            </xdr:cNvPr>
            <xdr:cNvGrpSpPr/>
          </xdr:nvGrpSpPr>
          <xdr:grpSpPr>
            <a:xfrm>
              <a:off x="8780460" y="8425964"/>
              <a:ext cx="2906140" cy="367679"/>
              <a:chOff x="11095768" y="7795849"/>
              <a:chExt cx="2906140" cy="367679"/>
            </a:xfrm>
          </xdr:grpSpPr>
          <xdr:pic>
            <xdr:nvPicPr>
              <xdr:cNvPr id="52" name="Graphic 51" descr="Receiver">
                <a:extLst>
                  <a:ext uri="{FF2B5EF4-FFF2-40B4-BE49-F238E27FC236}">
                    <a16:creationId xmlns:a16="http://schemas.microsoft.com/office/drawing/2014/main" xmlns="" id="{00886409-CE40-4847-A62A-D4250C91593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 uri="{96DAC541-7B7A-43D3-8B79-37D633B846F1}">
                    <asvg:svgBlip xmlns:asvg="http://schemas.microsoft.com/office/drawing/2016/SVG/main" xmlns="" r:embed="rId3"/>
                  </a:ext>
                </a:extLst>
              </a:blip>
              <a:stretch>
                <a:fillRect/>
              </a:stretch>
            </xdr:blipFill>
            <xdr:spPr>
              <a:xfrm>
                <a:off x="11095768" y="7795849"/>
                <a:ext cx="320040" cy="320040"/>
              </a:xfrm>
              <a:prstGeom prst="rect">
                <a:avLst/>
              </a:prstGeom>
            </xdr:spPr>
          </xdr:pic>
          <xdr:sp macro="" textlink="">
            <xdr:nvSpPr>
              <xdr:cNvPr id="53" name="TextBox 52">
                <a:extLst>
                  <a:ext uri="{FF2B5EF4-FFF2-40B4-BE49-F238E27FC236}">
                    <a16:creationId xmlns:a16="http://schemas.microsoft.com/office/drawing/2014/main" xmlns="" id="{3A16C84C-C571-4180-A09C-D12E4562B0C0}"/>
                  </a:ext>
                </a:extLst>
              </xdr:cNvPr>
              <xdr:cNvSpPr txBox="1"/>
            </xdr:nvSpPr>
            <xdr:spPr bwMode="auto">
              <a:xfrm>
                <a:off x="11364215" y="7797182"/>
                <a:ext cx="2637693" cy="366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800" b="1">
                    <a:latin typeface="Arial" panose="020B0604020202020204" pitchFamily="34" charset="0"/>
                    <a:cs typeface="Arial" panose="020B0604020202020204" pitchFamily="34" charset="0"/>
                  </a:rPr>
                  <a:t>(509) 488-0112</a:t>
                </a:r>
              </a:p>
            </xdr:txBody>
          </xdr:sp>
        </xdr:grpSp>
        <xdr:grpSp>
          <xdr:nvGrpSpPr>
            <xdr:cNvPr id="49" name="Group 48">
              <a:extLst>
                <a:ext uri="{FF2B5EF4-FFF2-40B4-BE49-F238E27FC236}">
                  <a16:creationId xmlns:a16="http://schemas.microsoft.com/office/drawing/2014/main" xmlns="" id="{AFADD6C2-9A19-44B6-A89A-9C283511AEE0}"/>
                </a:ext>
              </a:extLst>
            </xdr:cNvPr>
            <xdr:cNvGrpSpPr/>
          </xdr:nvGrpSpPr>
          <xdr:grpSpPr>
            <a:xfrm>
              <a:off x="11276602" y="8428627"/>
              <a:ext cx="3303975" cy="370344"/>
              <a:chOff x="11276602" y="8428627"/>
              <a:chExt cx="3303975" cy="370344"/>
            </a:xfrm>
          </xdr:grpSpPr>
          <xdr:pic>
            <xdr:nvPicPr>
              <xdr:cNvPr id="50" name="Graphic 49" descr="Envelope">
                <a:extLst>
                  <a:ext uri="{FF2B5EF4-FFF2-40B4-BE49-F238E27FC236}">
                    <a16:creationId xmlns:a16="http://schemas.microsoft.com/office/drawing/2014/main" xmlns="" id="{66C1C400-1A12-4A1D-A785-2C5627A482E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 uri="{96DAC541-7B7A-43D3-8B79-37D633B846F1}">
                    <asvg:svgBlip xmlns:asvg="http://schemas.microsoft.com/office/drawing/2016/SVG/main" xmlns="" r:embed="rId5"/>
                  </a:ext>
                </a:extLst>
              </a:blip>
              <a:stretch>
                <a:fillRect/>
              </a:stretch>
            </xdr:blipFill>
            <xdr:spPr>
              <a:xfrm>
                <a:off x="11276602" y="8428627"/>
                <a:ext cx="320041" cy="320040"/>
              </a:xfrm>
              <a:prstGeom prst="rect">
                <a:avLst/>
              </a:prstGeom>
            </xdr:spPr>
          </xdr:pic>
          <xdr:sp macro="" textlink="">
            <xdr:nvSpPr>
              <xdr:cNvPr id="51" name="TextBox 50">
                <a:extLst>
                  <a:ext uri="{FF2B5EF4-FFF2-40B4-BE49-F238E27FC236}">
                    <a16:creationId xmlns:a16="http://schemas.microsoft.com/office/drawing/2014/main" xmlns="" id="{976F5151-677D-4CE0-9548-D9CD0A747B79}"/>
                  </a:ext>
                </a:extLst>
              </xdr:cNvPr>
              <xdr:cNvSpPr txBox="1"/>
            </xdr:nvSpPr>
            <xdr:spPr bwMode="auto">
              <a:xfrm>
                <a:off x="11561885" y="8432625"/>
                <a:ext cx="3018692" cy="366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800" b="1">
                    <a:latin typeface="Arial" panose="020B0604020202020204" pitchFamily="34" charset="0"/>
                    <a:cs typeface="Arial" panose="020B0604020202020204" pitchFamily="34" charset="0"/>
                  </a:rPr>
                  <a:t>info@kuotestinglabs.com</a:t>
                </a:r>
              </a:p>
            </xdr:txBody>
          </xdr:sp>
        </xdr:grpSp>
      </xdr:grpSp>
    </xdr:grpSp>
    <xdr:clientData/>
  </xdr:twoCellAnchor>
  <xdr:twoCellAnchor editAs="oneCell">
    <xdr:from>
      <xdr:col>10</xdr:col>
      <xdr:colOff>254004</xdr:colOff>
      <xdr:row>0</xdr:row>
      <xdr:rowOff>25400</xdr:rowOff>
    </xdr:from>
    <xdr:to>
      <xdr:col>16</xdr:col>
      <xdr:colOff>540152</xdr:colOff>
      <xdr:row>7</xdr:row>
      <xdr:rowOff>152400</xdr:rowOff>
    </xdr:to>
    <xdr:pic>
      <xdr:nvPicPr>
        <xdr:cNvPr id="4" name="Picture 3">
          <a:extLst>
            <a:ext uri="{FF2B5EF4-FFF2-40B4-BE49-F238E27FC236}">
              <a16:creationId xmlns:a16="http://schemas.microsoft.com/office/drawing/2014/main" xmlns="" id="{C49BA76E-E3D5-4CE6-B68F-984931A2DC0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13827129" y="25400"/>
          <a:ext cx="4699398" cy="2286000"/>
        </a:xfrm>
        <a:prstGeom prst="rect">
          <a:avLst/>
        </a:prstGeom>
      </xdr:spPr>
    </xdr:pic>
    <xdr:clientData/>
  </xdr:twoCellAnchor>
  <xdr:twoCellAnchor editAs="oneCell">
    <xdr:from>
      <xdr:col>0</xdr:col>
      <xdr:colOff>158750</xdr:colOff>
      <xdr:row>20</xdr:row>
      <xdr:rowOff>66675</xdr:rowOff>
    </xdr:from>
    <xdr:to>
      <xdr:col>1</xdr:col>
      <xdr:colOff>444500</xdr:colOff>
      <xdr:row>25</xdr:row>
      <xdr:rowOff>161925</xdr:rowOff>
    </xdr:to>
    <xdr:pic>
      <xdr:nvPicPr>
        <xdr:cNvPr id="5" name="Picture 4">
          <a:extLst>
            <a:ext uri="{FF2B5EF4-FFF2-40B4-BE49-F238E27FC236}">
              <a16:creationId xmlns:a16="http://schemas.microsoft.com/office/drawing/2014/main" xmlns="" id="{A39A386B-A93F-4E3F-B3F7-21D90E72790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xmlns="" val="0"/>
            </a:ext>
          </a:extLst>
        </a:blip>
        <a:stretch>
          <a:fillRect/>
        </a:stretch>
      </xdr:blipFill>
      <xdr:spPr>
        <a:xfrm>
          <a:off x="158750" y="4352925"/>
          <a:ext cx="1333500" cy="2000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73219</xdr:colOff>
      <xdr:row>24</xdr:row>
      <xdr:rowOff>57440</xdr:rowOff>
    </xdr:from>
    <xdr:to>
      <xdr:col>24</xdr:col>
      <xdr:colOff>361085</xdr:colOff>
      <xdr:row>63</xdr:row>
      <xdr:rowOff>148098</xdr:rowOff>
    </xdr:to>
    <xdr:grpSp>
      <xdr:nvGrpSpPr>
        <xdr:cNvPr id="2" name="Group 1">
          <a:extLst>
            <a:ext uri="{FF2B5EF4-FFF2-40B4-BE49-F238E27FC236}">
              <a16:creationId xmlns:a16="http://schemas.microsoft.com/office/drawing/2014/main" xmlns="" id="{78179344-2109-4A57-9525-47A6AD185E41}"/>
            </a:ext>
          </a:extLst>
        </xdr:cNvPr>
        <xdr:cNvGrpSpPr/>
      </xdr:nvGrpSpPr>
      <xdr:grpSpPr>
        <a:xfrm>
          <a:off x="12027094" y="7852065"/>
          <a:ext cx="9638241" cy="9520408"/>
          <a:chOff x="7707362" y="7175212"/>
          <a:chExt cx="7307502" cy="9459795"/>
        </a:xfrm>
      </xdr:grpSpPr>
      <xdr:grpSp>
        <xdr:nvGrpSpPr>
          <xdr:cNvPr id="3" name="Group 2">
            <a:extLst>
              <a:ext uri="{FF2B5EF4-FFF2-40B4-BE49-F238E27FC236}">
                <a16:creationId xmlns:a16="http://schemas.microsoft.com/office/drawing/2014/main" xmlns="" id="{6D8890B4-4427-4700-BC0B-B15E0C454334}"/>
              </a:ext>
            </a:extLst>
          </xdr:cNvPr>
          <xdr:cNvGrpSpPr/>
        </xdr:nvGrpSpPr>
        <xdr:grpSpPr>
          <a:xfrm>
            <a:off x="7707362" y="10901757"/>
            <a:ext cx="7307502" cy="5733250"/>
            <a:chOff x="4834493" y="2979506"/>
            <a:chExt cx="4436731" cy="2501445"/>
          </a:xfrm>
        </xdr:grpSpPr>
        <xdr:grpSp>
          <xdr:nvGrpSpPr>
            <xdr:cNvPr id="19" name="Group 18">
              <a:extLst>
                <a:ext uri="{FF2B5EF4-FFF2-40B4-BE49-F238E27FC236}">
                  <a16:creationId xmlns:a16="http://schemas.microsoft.com/office/drawing/2014/main" xmlns="" id="{C0CB8A24-F191-4DD1-9626-25E4DCE2A8DC}"/>
                </a:ext>
              </a:extLst>
            </xdr:cNvPr>
            <xdr:cNvGrpSpPr/>
          </xdr:nvGrpSpPr>
          <xdr:grpSpPr>
            <a:xfrm>
              <a:off x="4834493" y="2979506"/>
              <a:ext cx="4436731" cy="2501445"/>
              <a:chOff x="8818833" y="2452263"/>
              <a:chExt cx="4554064" cy="2725617"/>
            </a:xfrm>
          </xdr:grpSpPr>
          <xdr:grpSp>
            <xdr:nvGrpSpPr>
              <xdr:cNvPr id="23" name="Group 22">
                <a:extLst>
                  <a:ext uri="{FF2B5EF4-FFF2-40B4-BE49-F238E27FC236}">
                    <a16:creationId xmlns:a16="http://schemas.microsoft.com/office/drawing/2014/main" xmlns="" id="{24B20E5C-D39C-4BE2-9BEC-BEA0034769BD}"/>
                  </a:ext>
                </a:extLst>
              </xdr:cNvPr>
              <xdr:cNvGrpSpPr/>
            </xdr:nvGrpSpPr>
            <xdr:grpSpPr>
              <a:xfrm>
                <a:off x="8818833" y="2452263"/>
                <a:ext cx="4554064" cy="2725617"/>
                <a:chOff x="27497484" y="2038988"/>
                <a:chExt cx="4572000" cy="2809237"/>
              </a:xfrm>
            </xdr:grpSpPr>
            <xdr:graphicFrame macro="">
              <xdr:nvGraphicFramePr>
                <xdr:cNvPr id="25" name="Chart 24">
                  <a:extLst>
                    <a:ext uri="{FF2B5EF4-FFF2-40B4-BE49-F238E27FC236}">
                      <a16:creationId xmlns:a16="http://schemas.microsoft.com/office/drawing/2014/main" xmlns="" id="{EDE685E5-2BCC-4299-A524-BEEB57236B0A}"/>
                    </a:ext>
                  </a:extLst>
                </xdr:cNvPr>
                <xdr:cNvGraphicFramePr/>
              </xdr:nvGraphicFramePr>
              <xdr:xfrm>
                <a:off x="27497484" y="21050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6" name="Chart 25">
                  <a:extLst>
                    <a:ext uri="{FF2B5EF4-FFF2-40B4-BE49-F238E27FC236}">
                      <a16:creationId xmlns:a16="http://schemas.microsoft.com/office/drawing/2014/main" xmlns="" id="{954747DA-8B85-4D0D-A862-D321367F03AC}"/>
                    </a:ext>
                  </a:extLst>
                </xdr:cNvPr>
                <xdr:cNvGraphicFramePr/>
              </xdr:nvGraphicFramePr>
              <xdr:xfrm>
                <a:off x="27810065" y="2038988"/>
                <a:ext cx="3733040" cy="2743201"/>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24" name="TextBox 23">
                <a:extLst>
                  <a:ext uri="{FF2B5EF4-FFF2-40B4-BE49-F238E27FC236}">
                    <a16:creationId xmlns:a16="http://schemas.microsoft.com/office/drawing/2014/main" xmlns="" id="{6BDAA749-6028-4316-BD4C-902EED94A1F8}"/>
                  </a:ext>
                </a:extLst>
              </xdr:cNvPr>
              <xdr:cNvSpPr txBox="1"/>
            </xdr:nvSpPr>
            <xdr:spPr>
              <a:xfrm>
                <a:off x="10091898" y="3865846"/>
                <a:ext cx="2016862" cy="212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latin typeface="Arial" panose="020B0604020202020204" pitchFamily="34" charset="0"/>
                    <a:cs typeface="Arial" panose="020B0604020202020204" pitchFamily="34" charset="0"/>
                  </a:rPr>
                  <a:t>Soluble Salts (1:1)</a:t>
                </a:r>
              </a:p>
            </xdr:txBody>
          </xdr:sp>
        </xdr:grpSp>
        <xdr:sp macro="" textlink="">
          <xdr:nvSpPr>
            <xdr:cNvPr id="20" name="TextBox 19">
              <a:extLst>
                <a:ext uri="{FF2B5EF4-FFF2-40B4-BE49-F238E27FC236}">
                  <a16:creationId xmlns:a16="http://schemas.microsoft.com/office/drawing/2014/main" xmlns="" id="{EDA4D466-7468-4112-BD95-6DFA9BE0DDE9}"/>
                </a:ext>
              </a:extLst>
            </xdr:cNvPr>
            <xdr:cNvSpPr txBox="1"/>
          </xdr:nvSpPr>
          <xdr:spPr>
            <a:xfrm rot="18312035">
              <a:off x="5915339" y="3584140"/>
              <a:ext cx="668009" cy="280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solidFill>
                    <a:schemeClr val="bg1"/>
                  </a:solidFill>
                  <a:latin typeface="Arial" panose="020B0604020202020204" pitchFamily="34" charset="0"/>
                  <a:cs typeface="Arial" panose="020B0604020202020204" pitchFamily="34" charset="0"/>
                </a:rPr>
                <a:t>Excellent</a:t>
              </a:r>
            </a:p>
          </xdr:txBody>
        </xdr:sp>
        <xdr:sp macro="" textlink="">
          <xdr:nvSpPr>
            <xdr:cNvPr id="21" name="TextBox 20">
              <a:extLst>
                <a:ext uri="{FF2B5EF4-FFF2-40B4-BE49-F238E27FC236}">
                  <a16:creationId xmlns:a16="http://schemas.microsoft.com/office/drawing/2014/main" xmlns="" id="{1C572DED-15A3-4E0D-BD97-B38F3593CB4A}"/>
                </a:ext>
              </a:extLst>
            </xdr:cNvPr>
            <xdr:cNvSpPr txBox="1"/>
          </xdr:nvSpPr>
          <xdr:spPr>
            <a:xfrm>
              <a:off x="6698241" y="3262161"/>
              <a:ext cx="711636" cy="155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bg1"/>
                  </a:solidFill>
                  <a:latin typeface="Arial" panose="020B0604020202020204" pitchFamily="34" charset="0"/>
                  <a:cs typeface="Arial" panose="020B0604020202020204" pitchFamily="34" charset="0"/>
                </a:rPr>
                <a:t>Acceptable</a:t>
              </a:r>
            </a:p>
          </xdr:txBody>
        </xdr:sp>
        <xdr:sp macro="" textlink="">
          <xdr:nvSpPr>
            <xdr:cNvPr id="22" name="TextBox 21">
              <a:extLst>
                <a:ext uri="{FF2B5EF4-FFF2-40B4-BE49-F238E27FC236}">
                  <a16:creationId xmlns:a16="http://schemas.microsoft.com/office/drawing/2014/main" xmlns="" id="{E9E2D10B-6FC1-468E-8D24-2B4138888EB4}"/>
                </a:ext>
              </a:extLst>
            </xdr:cNvPr>
            <xdr:cNvSpPr txBox="1"/>
          </xdr:nvSpPr>
          <xdr:spPr>
            <a:xfrm rot="3453356">
              <a:off x="7693250" y="3693563"/>
              <a:ext cx="567771" cy="156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bg1"/>
                  </a:solidFill>
                  <a:latin typeface="Arial" panose="020B0604020202020204" pitchFamily="34" charset="0"/>
                  <a:cs typeface="Arial" panose="020B0604020202020204" pitchFamily="34" charset="0"/>
                </a:rPr>
                <a:t>Excessive</a:t>
              </a:r>
            </a:p>
          </xdr:txBody>
        </xdr:sp>
      </xdr:grpSp>
      <xdr:grpSp>
        <xdr:nvGrpSpPr>
          <xdr:cNvPr id="4" name="Group 3">
            <a:extLst>
              <a:ext uri="{FF2B5EF4-FFF2-40B4-BE49-F238E27FC236}">
                <a16:creationId xmlns:a16="http://schemas.microsoft.com/office/drawing/2014/main" xmlns="" id="{E95057EC-AB38-49CE-B237-5348A6512B19}"/>
              </a:ext>
            </a:extLst>
          </xdr:cNvPr>
          <xdr:cNvGrpSpPr/>
        </xdr:nvGrpSpPr>
        <xdr:grpSpPr>
          <a:xfrm>
            <a:off x="8531820" y="7175212"/>
            <a:ext cx="5832743" cy="5968489"/>
            <a:chOff x="8329794" y="8845715"/>
            <a:chExt cx="4556510" cy="2620281"/>
          </a:xfrm>
        </xdr:grpSpPr>
        <xdr:grpSp>
          <xdr:nvGrpSpPr>
            <xdr:cNvPr id="5" name="Group 4">
              <a:extLst>
                <a:ext uri="{FF2B5EF4-FFF2-40B4-BE49-F238E27FC236}">
                  <a16:creationId xmlns:a16="http://schemas.microsoft.com/office/drawing/2014/main" xmlns="" id="{AF478679-BD1D-401B-9428-DACD097445EC}"/>
                </a:ext>
              </a:extLst>
            </xdr:cNvPr>
            <xdr:cNvGrpSpPr/>
          </xdr:nvGrpSpPr>
          <xdr:grpSpPr>
            <a:xfrm>
              <a:off x="8329794" y="8845715"/>
              <a:ext cx="4556510" cy="2620281"/>
              <a:chOff x="8818835" y="2342616"/>
              <a:chExt cx="4657146" cy="2835260"/>
            </a:xfrm>
          </xdr:grpSpPr>
          <xdr:grpSp>
            <xdr:nvGrpSpPr>
              <xdr:cNvPr id="10" name="Group 9">
                <a:extLst>
                  <a:ext uri="{FF2B5EF4-FFF2-40B4-BE49-F238E27FC236}">
                    <a16:creationId xmlns:a16="http://schemas.microsoft.com/office/drawing/2014/main" xmlns="" id="{2FC6C5E6-A021-49C4-B331-F77445DB7BBC}"/>
                  </a:ext>
                </a:extLst>
              </xdr:cNvPr>
              <xdr:cNvGrpSpPr/>
            </xdr:nvGrpSpPr>
            <xdr:grpSpPr>
              <a:xfrm>
                <a:off x="8818835" y="2342616"/>
                <a:ext cx="4657146" cy="2835260"/>
                <a:chOff x="18623568" y="3864909"/>
                <a:chExt cx="4656976" cy="2808729"/>
              </a:xfrm>
            </xdr:grpSpPr>
            <xdr:grpSp>
              <xdr:nvGrpSpPr>
                <xdr:cNvPr id="12" name="Group 11">
                  <a:extLst>
                    <a:ext uri="{FF2B5EF4-FFF2-40B4-BE49-F238E27FC236}">
                      <a16:creationId xmlns:a16="http://schemas.microsoft.com/office/drawing/2014/main" xmlns="" id="{98111B77-FFD4-47FA-A6AC-BC01F67E3A05}"/>
                    </a:ext>
                  </a:extLst>
                </xdr:cNvPr>
                <xdr:cNvGrpSpPr/>
              </xdr:nvGrpSpPr>
              <xdr:grpSpPr>
                <a:xfrm>
                  <a:off x="18623568" y="3864909"/>
                  <a:ext cx="4656976" cy="2808729"/>
                  <a:chOff x="27497485" y="1925979"/>
                  <a:chExt cx="4675488" cy="2922245"/>
                </a:xfrm>
              </xdr:grpSpPr>
              <xdr:graphicFrame macro="">
                <xdr:nvGraphicFramePr>
                  <xdr:cNvPr id="17" name="Chart 16">
                    <a:extLst>
                      <a:ext uri="{FF2B5EF4-FFF2-40B4-BE49-F238E27FC236}">
                        <a16:creationId xmlns:a16="http://schemas.microsoft.com/office/drawing/2014/main" xmlns="" id="{B40C4AAF-13D8-4DF8-A11D-C74BF58C0A16}"/>
                      </a:ext>
                    </a:extLst>
                  </xdr:cNvPr>
                  <xdr:cNvGraphicFramePr/>
                </xdr:nvGraphicFramePr>
                <xdr:xfrm>
                  <a:off x="27497485" y="2105025"/>
                  <a:ext cx="4572000" cy="274319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8" name="Chart 17">
                    <a:extLst>
                      <a:ext uri="{FF2B5EF4-FFF2-40B4-BE49-F238E27FC236}">
                        <a16:creationId xmlns:a16="http://schemas.microsoft.com/office/drawing/2014/main" xmlns="" id="{55CB0538-F723-4D9D-882F-938B459BEA0A}"/>
                      </a:ext>
                    </a:extLst>
                  </xdr:cNvPr>
                  <xdr:cNvGraphicFramePr/>
                </xdr:nvGraphicFramePr>
                <xdr:xfrm>
                  <a:off x="27600972" y="1925979"/>
                  <a:ext cx="4572001" cy="274320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13" name="Group 12">
                  <a:extLst>
                    <a:ext uri="{FF2B5EF4-FFF2-40B4-BE49-F238E27FC236}">
                      <a16:creationId xmlns:a16="http://schemas.microsoft.com/office/drawing/2014/main" xmlns="" id="{B24201CD-74FC-46F9-A5E2-E461B905F593}"/>
                    </a:ext>
                  </a:extLst>
                </xdr:cNvPr>
                <xdr:cNvGrpSpPr/>
              </xdr:nvGrpSpPr>
              <xdr:grpSpPr>
                <a:xfrm>
                  <a:off x="19525411" y="4046592"/>
                  <a:ext cx="2585608" cy="1275176"/>
                  <a:chOff x="19525411" y="4046592"/>
                  <a:chExt cx="2585608" cy="1275176"/>
                </a:xfrm>
              </xdr:grpSpPr>
              <xdr:sp macro="" textlink="$DX$4">
                <xdr:nvSpPr>
                  <xdr:cNvPr id="14" name="TextBox 13">
                    <a:extLst>
                      <a:ext uri="{FF2B5EF4-FFF2-40B4-BE49-F238E27FC236}">
                        <a16:creationId xmlns:a16="http://schemas.microsoft.com/office/drawing/2014/main" xmlns="" id="{33D5CE8C-FCBB-46B2-9537-D1552FBE69CE}"/>
                      </a:ext>
                    </a:extLst>
                  </xdr:cNvPr>
                  <xdr:cNvSpPr txBox="1"/>
                </xdr:nvSpPr>
                <xdr:spPr>
                  <a:xfrm>
                    <a:off x="21960418" y="5154467"/>
                    <a:ext cx="150601" cy="167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4488E3F-C290-4C9D-8AD6-998298B335A9}" type="TxLink">
                      <a:rPr lang="en-US" sz="1800" b="1" i="0" u="none" strike="noStrike">
                        <a:solidFill>
                          <a:srgbClr val="000000"/>
                        </a:solidFill>
                        <a:latin typeface="Arial"/>
                        <a:cs typeface="Arial"/>
                      </a:rPr>
                      <a:pPr/>
                      <a:t> </a:t>
                    </a:fld>
                    <a:endParaRPr lang="en-US" sz="2400" b="1">
                      <a:latin typeface="Arial" panose="020B0604020202020204" pitchFamily="34" charset="0"/>
                      <a:cs typeface="Arial" panose="020B0604020202020204" pitchFamily="34" charset="0"/>
                    </a:endParaRPr>
                  </a:p>
                </xdr:txBody>
              </xdr:sp>
              <xdr:sp macro="" textlink="$DY$4">
                <xdr:nvSpPr>
                  <xdr:cNvPr id="15" name="TextBox 14">
                    <a:extLst>
                      <a:ext uri="{FF2B5EF4-FFF2-40B4-BE49-F238E27FC236}">
                        <a16:creationId xmlns:a16="http://schemas.microsoft.com/office/drawing/2014/main" xmlns="" id="{E0C27045-098F-4601-B0C4-B6F90FEDFA98}"/>
                      </a:ext>
                    </a:extLst>
                  </xdr:cNvPr>
                  <xdr:cNvSpPr txBox="1"/>
                </xdr:nvSpPr>
                <xdr:spPr>
                  <a:xfrm>
                    <a:off x="19525411" y="5154376"/>
                    <a:ext cx="150601" cy="167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EA671CF-CD20-403F-9A50-8ED7D2543331}" type="TxLink">
                      <a:rPr lang="en-US" sz="1800" b="1" i="0" u="none" strike="noStrike">
                        <a:solidFill>
                          <a:srgbClr val="000000"/>
                        </a:solidFill>
                        <a:latin typeface="Arial" panose="020B0604020202020204" pitchFamily="34" charset="0"/>
                        <a:cs typeface="Arial" panose="020B0604020202020204" pitchFamily="34" charset="0"/>
                      </a:rPr>
                      <a:pPr/>
                      <a:t> </a:t>
                    </a:fld>
                    <a:endParaRPr lang="en-US" sz="2400" b="1">
                      <a:latin typeface="Arial" panose="020B0604020202020204" pitchFamily="34" charset="0"/>
                      <a:cs typeface="Arial" panose="020B0604020202020204" pitchFamily="34" charset="0"/>
                    </a:endParaRPr>
                  </a:p>
                </xdr:txBody>
              </xdr:sp>
              <xdr:sp macro="" textlink="">
                <xdr:nvSpPr>
                  <xdr:cNvPr id="16" name="TextBox 15">
                    <a:extLst>
                      <a:ext uri="{FF2B5EF4-FFF2-40B4-BE49-F238E27FC236}">
                        <a16:creationId xmlns:a16="http://schemas.microsoft.com/office/drawing/2014/main" xmlns="" id="{7CC8D4E8-8518-4A5C-A537-4C0674818B61}"/>
                      </a:ext>
                    </a:extLst>
                  </xdr:cNvPr>
                  <xdr:cNvSpPr txBox="1"/>
                </xdr:nvSpPr>
                <xdr:spPr>
                  <a:xfrm>
                    <a:off x="19818304" y="4046592"/>
                    <a:ext cx="386387" cy="168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latin typeface="Arial" panose="020B0604020202020204" pitchFamily="34" charset="0"/>
                        <a:cs typeface="Arial" panose="020B0604020202020204" pitchFamily="34" charset="0"/>
                      </a:rPr>
                      <a:t>5</a:t>
                    </a:r>
                  </a:p>
                </xdr:txBody>
              </xdr:sp>
            </xdr:grpSp>
          </xdr:grpSp>
          <xdr:sp macro="" textlink="">
            <xdr:nvSpPr>
              <xdr:cNvPr id="11" name="TextBox 10">
                <a:extLst>
                  <a:ext uri="{FF2B5EF4-FFF2-40B4-BE49-F238E27FC236}">
                    <a16:creationId xmlns:a16="http://schemas.microsoft.com/office/drawing/2014/main" xmlns="" id="{92290418-1891-46AD-AACF-A2A527F29A04}"/>
                  </a:ext>
                </a:extLst>
              </xdr:cNvPr>
              <xdr:cNvSpPr txBox="1"/>
            </xdr:nvSpPr>
            <xdr:spPr>
              <a:xfrm>
                <a:off x="10356022" y="3889631"/>
                <a:ext cx="1271202" cy="210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a:latin typeface="Arial" panose="020B0604020202020204" pitchFamily="34" charset="0"/>
                    <a:cs typeface="Arial" panose="020B0604020202020204" pitchFamily="34" charset="0"/>
                  </a:rPr>
                  <a:t>Soil pH (1:2)</a:t>
                </a:r>
              </a:p>
            </xdr:txBody>
          </xdr:sp>
        </xdr:grpSp>
        <xdr:sp macro="" textlink="">
          <xdr:nvSpPr>
            <xdr:cNvPr id="6" name="TextBox 5">
              <a:extLst>
                <a:ext uri="{FF2B5EF4-FFF2-40B4-BE49-F238E27FC236}">
                  <a16:creationId xmlns:a16="http://schemas.microsoft.com/office/drawing/2014/main" xmlns="" id="{690BF942-D4E2-4B0D-B04C-3D0400B39498}"/>
                </a:ext>
              </a:extLst>
            </xdr:cNvPr>
            <xdr:cNvSpPr txBox="1"/>
          </xdr:nvSpPr>
          <xdr:spPr>
            <a:xfrm rot="2998136">
              <a:off x="11268340" y="9573731"/>
              <a:ext cx="774057" cy="288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latin typeface="Arial" panose="020B0604020202020204" pitchFamily="34" charset="0"/>
                  <a:cs typeface="Arial" panose="020B0604020202020204" pitchFamily="34" charset="0"/>
                </a:rPr>
                <a:t>Alkaline &gt;8.3</a:t>
              </a:r>
            </a:p>
          </xdr:txBody>
        </xdr:sp>
        <xdr:sp macro="" textlink="">
          <xdr:nvSpPr>
            <xdr:cNvPr id="7" name="TextBox 6">
              <a:extLst>
                <a:ext uri="{FF2B5EF4-FFF2-40B4-BE49-F238E27FC236}">
                  <a16:creationId xmlns:a16="http://schemas.microsoft.com/office/drawing/2014/main" xmlns="" id="{1CBC4DFB-9120-46B9-B47B-ED00BF513BDD}"/>
                </a:ext>
              </a:extLst>
            </xdr:cNvPr>
            <xdr:cNvSpPr txBox="1"/>
          </xdr:nvSpPr>
          <xdr:spPr>
            <a:xfrm rot="18463133">
              <a:off x="9196705" y="9541831"/>
              <a:ext cx="663442" cy="288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latin typeface="Arial" panose="020B0604020202020204" pitchFamily="34" charset="0"/>
                  <a:cs typeface="Arial" panose="020B0604020202020204" pitchFamily="34" charset="0"/>
                </a:rPr>
                <a:t>Acidic &lt;5</a:t>
              </a:r>
            </a:p>
          </xdr:txBody>
        </xdr:sp>
        <xdr:sp macro="" textlink="">
          <xdr:nvSpPr>
            <xdr:cNvPr id="8" name="TextBox 7">
              <a:extLst>
                <a:ext uri="{FF2B5EF4-FFF2-40B4-BE49-F238E27FC236}">
                  <a16:creationId xmlns:a16="http://schemas.microsoft.com/office/drawing/2014/main" xmlns="" id="{F29BEB9C-9781-42F5-9E93-73CF49E1F2E7}"/>
                </a:ext>
              </a:extLst>
            </xdr:cNvPr>
            <xdr:cNvSpPr txBox="1"/>
          </xdr:nvSpPr>
          <xdr:spPr>
            <a:xfrm>
              <a:off x="10410481" y="889612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latin typeface="Arial" panose="020B0604020202020204" pitchFamily="34" charset="0"/>
                  <a:cs typeface="Arial" panose="020B0604020202020204" pitchFamily="34" charset="0"/>
                </a:rPr>
                <a:t>7</a:t>
              </a:r>
            </a:p>
          </xdr:txBody>
        </xdr:sp>
        <xdr:sp macro="" textlink="">
          <xdr:nvSpPr>
            <xdr:cNvPr id="9" name="TextBox 8">
              <a:extLst>
                <a:ext uri="{FF2B5EF4-FFF2-40B4-BE49-F238E27FC236}">
                  <a16:creationId xmlns:a16="http://schemas.microsoft.com/office/drawing/2014/main" xmlns="" id="{3CCE8014-3B0A-4880-B589-259A64444918}"/>
                </a:ext>
              </a:extLst>
            </xdr:cNvPr>
            <xdr:cNvSpPr txBox="1"/>
          </xdr:nvSpPr>
          <xdr:spPr>
            <a:xfrm>
              <a:off x="11126573" y="8973855"/>
              <a:ext cx="4798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latin typeface="Arial" panose="020B0604020202020204" pitchFamily="34" charset="0"/>
                  <a:cs typeface="Arial" panose="020B0604020202020204" pitchFamily="34" charset="0"/>
                </a:rPr>
                <a:t>8.3</a:t>
              </a:r>
            </a:p>
          </xdr:txBody>
        </xdr:sp>
      </xdr:grpSp>
    </xdr:grpSp>
    <xdr:clientData/>
  </xdr:twoCellAnchor>
  <xdr:twoCellAnchor>
    <xdr:from>
      <xdr:col>18</xdr:col>
      <xdr:colOff>388725</xdr:colOff>
      <xdr:row>71</xdr:row>
      <xdr:rowOff>166860</xdr:rowOff>
    </xdr:from>
    <xdr:to>
      <xdr:col>24</xdr:col>
      <xdr:colOff>1450388</xdr:colOff>
      <xdr:row>79</xdr:row>
      <xdr:rowOff>93791</xdr:rowOff>
    </xdr:to>
    <xdr:grpSp>
      <xdr:nvGrpSpPr>
        <xdr:cNvPr id="27" name="Group 26">
          <a:extLst>
            <a:ext uri="{FF2B5EF4-FFF2-40B4-BE49-F238E27FC236}">
              <a16:creationId xmlns:a16="http://schemas.microsoft.com/office/drawing/2014/main" xmlns="" id="{B9DA2580-945E-4F37-88DF-0F28A004958E}"/>
            </a:ext>
          </a:extLst>
        </xdr:cNvPr>
        <xdr:cNvGrpSpPr/>
      </xdr:nvGrpSpPr>
      <xdr:grpSpPr>
        <a:xfrm>
          <a:off x="15708100" y="19677235"/>
          <a:ext cx="7046538" cy="1466806"/>
          <a:chOff x="9040093" y="19027800"/>
          <a:chExt cx="6402033" cy="1474599"/>
        </a:xfrm>
      </xdr:grpSpPr>
      <xdr:sp macro="" textlink="">
        <xdr:nvSpPr>
          <xdr:cNvPr id="28" name="TextBox 27">
            <a:extLst>
              <a:ext uri="{FF2B5EF4-FFF2-40B4-BE49-F238E27FC236}">
                <a16:creationId xmlns:a16="http://schemas.microsoft.com/office/drawing/2014/main" xmlns="" id="{3434DF35-3346-41E5-99B9-F06043857FCA}"/>
              </a:ext>
            </a:extLst>
          </xdr:cNvPr>
          <xdr:cNvSpPr txBox="1"/>
        </xdr:nvSpPr>
        <xdr:spPr bwMode="auto">
          <a:xfrm>
            <a:off x="9040093" y="19027800"/>
            <a:ext cx="6402033" cy="1073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b="1" baseline="0">
                <a:latin typeface="Arial" panose="020B0604020202020204" pitchFamily="34" charset="0"/>
                <a:cs typeface="Arial" panose="020B0604020202020204" pitchFamily="34" charset="0"/>
              </a:rPr>
              <a:t>Main Office: 	119 E Main St., Othello WA, 99344</a:t>
            </a:r>
          </a:p>
          <a:p>
            <a:pPr algn="l">
              <a:lnSpc>
                <a:spcPct val="150000"/>
              </a:lnSpc>
            </a:pPr>
            <a:r>
              <a:rPr lang="en-US" sz="1800" b="1" baseline="0">
                <a:latin typeface="Arial" panose="020B0604020202020204" pitchFamily="34" charset="0"/>
                <a:cs typeface="Arial" panose="020B0604020202020204" pitchFamily="34" charset="0"/>
              </a:rPr>
              <a:t>Oregon Office: 	1300 Sixth St., Suite J, Umatilla OR, 97882</a:t>
            </a:r>
          </a:p>
          <a:p>
            <a:pPr algn="l"/>
            <a:r>
              <a:rPr lang="en-US" sz="1800" b="1" baseline="0">
                <a:latin typeface="Arial" panose="020B0604020202020204" pitchFamily="34" charset="0"/>
                <a:cs typeface="Arial" panose="020B0604020202020204" pitchFamily="34" charset="0"/>
              </a:rPr>
              <a:t>Pasco Office: 	1320 E Spokane St., Pasco WA, 99301</a:t>
            </a:r>
            <a:endParaRPr lang="en-US" sz="1800" b="1">
              <a:latin typeface="Arial" panose="020B0604020202020204" pitchFamily="34" charset="0"/>
              <a:cs typeface="Arial" panose="020B0604020202020204" pitchFamily="34" charset="0"/>
            </a:endParaRPr>
          </a:p>
        </xdr:txBody>
      </xdr:sp>
      <xdr:grpSp>
        <xdr:nvGrpSpPr>
          <xdr:cNvPr id="29" name="Group 28">
            <a:extLst>
              <a:ext uri="{FF2B5EF4-FFF2-40B4-BE49-F238E27FC236}">
                <a16:creationId xmlns:a16="http://schemas.microsoft.com/office/drawing/2014/main" xmlns="" id="{B2AED6AF-E36F-4857-86C4-CE7944C6EE99}"/>
              </a:ext>
            </a:extLst>
          </xdr:cNvPr>
          <xdr:cNvGrpSpPr/>
        </xdr:nvGrpSpPr>
        <xdr:grpSpPr>
          <a:xfrm>
            <a:off x="9173373" y="20106745"/>
            <a:ext cx="5957065" cy="395654"/>
            <a:chOff x="8789365" y="8432625"/>
            <a:chExt cx="5791212" cy="395654"/>
          </a:xfrm>
        </xdr:grpSpPr>
        <xdr:grpSp>
          <xdr:nvGrpSpPr>
            <xdr:cNvPr id="30" name="Group 29">
              <a:extLst>
                <a:ext uri="{FF2B5EF4-FFF2-40B4-BE49-F238E27FC236}">
                  <a16:creationId xmlns:a16="http://schemas.microsoft.com/office/drawing/2014/main" xmlns="" id="{AF0993D1-11C2-469D-BA08-331B90892A07}"/>
                </a:ext>
              </a:extLst>
            </xdr:cNvPr>
            <xdr:cNvGrpSpPr/>
          </xdr:nvGrpSpPr>
          <xdr:grpSpPr>
            <a:xfrm>
              <a:off x="8789365" y="8443283"/>
              <a:ext cx="2388172" cy="384996"/>
              <a:chOff x="11104673" y="7813168"/>
              <a:chExt cx="2388172" cy="384996"/>
            </a:xfrm>
          </xdr:grpSpPr>
          <xdr:pic>
            <xdr:nvPicPr>
              <xdr:cNvPr id="34" name="Graphic 33" descr="Receiver">
                <a:extLst>
                  <a:ext uri="{FF2B5EF4-FFF2-40B4-BE49-F238E27FC236}">
                    <a16:creationId xmlns:a16="http://schemas.microsoft.com/office/drawing/2014/main" xmlns="" id="{C9857F50-3908-4EC1-8924-C1C723E36FD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 uri="{96DAC541-7B7A-43D3-8B79-37D633B846F1}">
                    <asvg:svgBlip xmlns:asvg="http://schemas.microsoft.com/office/drawing/2016/SVG/main" xmlns="" r:embed="rId6"/>
                  </a:ext>
                </a:extLst>
              </a:blip>
              <a:stretch>
                <a:fillRect/>
              </a:stretch>
            </xdr:blipFill>
            <xdr:spPr>
              <a:xfrm>
                <a:off x="11104673" y="7813168"/>
                <a:ext cx="320040" cy="320040"/>
              </a:xfrm>
              <a:prstGeom prst="rect">
                <a:avLst/>
              </a:prstGeom>
            </xdr:spPr>
          </xdr:pic>
          <xdr:sp macro="" textlink="">
            <xdr:nvSpPr>
              <xdr:cNvPr id="35" name="TextBox 34">
                <a:extLst>
                  <a:ext uri="{FF2B5EF4-FFF2-40B4-BE49-F238E27FC236}">
                    <a16:creationId xmlns:a16="http://schemas.microsoft.com/office/drawing/2014/main" xmlns="" id="{11B845CF-CAD6-4725-B0B6-ED0B2AC32E12}"/>
                  </a:ext>
                </a:extLst>
              </xdr:cNvPr>
              <xdr:cNvSpPr txBox="1"/>
            </xdr:nvSpPr>
            <xdr:spPr bwMode="auto">
              <a:xfrm>
                <a:off x="11419664" y="7819492"/>
                <a:ext cx="2073181" cy="378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800" b="1">
                    <a:latin typeface="Arial" panose="020B0604020202020204" pitchFamily="34" charset="0"/>
                    <a:cs typeface="Arial" panose="020B0604020202020204" pitchFamily="34" charset="0"/>
                  </a:rPr>
                  <a:t>(509) 488-0112</a:t>
                </a:r>
              </a:p>
            </xdr:txBody>
          </xdr:sp>
        </xdr:grpSp>
        <xdr:grpSp>
          <xdr:nvGrpSpPr>
            <xdr:cNvPr id="31" name="Group 30">
              <a:extLst>
                <a:ext uri="{FF2B5EF4-FFF2-40B4-BE49-F238E27FC236}">
                  <a16:creationId xmlns:a16="http://schemas.microsoft.com/office/drawing/2014/main" xmlns="" id="{02847F49-4D0D-4E3A-9374-0B2195901CA1}"/>
                </a:ext>
              </a:extLst>
            </xdr:cNvPr>
            <xdr:cNvGrpSpPr/>
          </xdr:nvGrpSpPr>
          <xdr:grpSpPr>
            <a:xfrm>
              <a:off x="11233121" y="8432625"/>
              <a:ext cx="3347456" cy="366346"/>
              <a:chOff x="11233121" y="8432625"/>
              <a:chExt cx="3347456" cy="366346"/>
            </a:xfrm>
          </xdr:grpSpPr>
          <xdr:pic>
            <xdr:nvPicPr>
              <xdr:cNvPr id="32" name="Graphic 31" descr="Envelope">
                <a:extLst>
                  <a:ext uri="{FF2B5EF4-FFF2-40B4-BE49-F238E27FC236}">
                    <a16:creationId xmlns:a16="http://schemas.microsoft.com/office/drawing/2014/main" xmlns="" id="{100EDCD7-7B30-4A65-9E48-0E34999A2E7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xmlns="" val="0"/>
                  </a:ext>
                  <a:ext uri="{96DAC541-7B7A-43D3-8B79-37D633B846F1}">
                    <asvg:svgBlip xmlns:asvg="http://schemas.microsoft.com/office/drawing/2016/SVG/main" xmlns="" r:embed="rId8"/>
                  </a:ext>
                </a:extLst>
              </a:blip>
              <a:stretch>
                <a:fillRect/>
              </a:stretch>
            </xdr:blipFill>
            <xdr:spPr>
              <a:xfrm>
                <a:off x="11233121" y="8445945"/>
                <a:ext cx="320040" cy="320040"/>
              </a:xfrm>
              <a:prstGeom prst="rect">
                <a:avLst/>
              </a:prstGeom>
            </xdr:spPr>
          </xdr:pic>
          <xdr:sp macro="" textlink="">
            <xdr:nvSpPr>
              <xdr:cNvPr id="33" name="TextBox 32">
                <a:extLst>
                  <a:ext uri="{FF2B5EF4-FFF2-40B4-BE49-F238E27FC236}">
                    <a16:creationId xmlns:a16="http://schemas.microsoft.com/office/drawing/2014/main" xmlns="" id="{8B134D1F-FCD2-4656-83C8-02F6E6547207}"/>
                  </a:ext>
                </a:extLst>
              </xdr:cNvPr>
              <xdr:cNvSpPr txBox="1"/>
            </xdr:nvSpPr>
            <xdr:spPr bwMode="auto">
              <a:xfrm>
                <a:off x="11561885" y="8432625"/>
                <a:ext cx="3018692" cy="366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800" b="1">
                    <a:latin typeface="Arial" panose="020B0604020202020204" pitchFamily="34" charset="0"/>
                    <a:cs typeface="Arial" panose="020B0604020202020204" pitchFamily="34" charset="0"/>
                  </a:rPr>
                  <a:t>info@kuotestinglabs.com</a:t>
                </a:r>
              </a:p>
            </xdr:txBody>
          </xdr:sp>
        </xdr:grpSp>
      </xdr:grpSp>
    </xdr:grpSp>
    <xdr:clientData/>
  </xdr:twoCellAnchor>
  <xdr:twoCellAnchor>
    <xdr:from>
      <xdr:col>0</xdr:col>
      <xdr:colOff>148648</xdr:colOff>
      <xdr:row>16</xdr:row>
      <xdr:rowOff>73519</xdr:rowOff>
    </xdr:from>
    <xdr:to>
      <xdr:col>7</xdr:col>
      <xdr:colOff>727076</xdr:colOff>
      <xdr:row>51</xdr:row>
      <xdr:rowOff>99291</xdr:rowOff>
    </xdr:to>
    <xdr:grpSp>
      <xdr:nvGrpSpPr>
        <xdr:cNvPr id="36" name="Group 35">
          <a:extLst>
            <a:ext uri="{FF2B5EF4-FFF2-40B4-BE49-F238E27FC236}">
              <a16:creationId xmlns:a16="http://schemas.microsoft.com/office/drawing/2014/main" xmlns="" id="{BDAF82FF-2F86-46B6-ACCF-D8F85736AE4E}"/>
            </a:ext>
          </a:extLst>
        </xdr:cNvPr>
        <xdr:cNvGrpSpPr>
          <a:grpSpLocks noChangeAspect="1"/>
        </xdr:cNvGrpSpPr>
      </xdr:nvGrpSpPr>
      <xdr:grpSpPr>
        <a:xfrm>
          <a:off x="148648" y="5185269"/>
          <a:ext cx="6976053" cy="9169772"/>
          <a:chOff x="5004955" y="5102717"/>
          <a:chExt cx="6909955" cy="9150147"/>
        </a:xfrm>
      </xdr:grpSpPr>
      <xdr:graphicFrame macro="">
        <xdr:nvGraphicFramePr>
          <xdr:cNvPr id="37" name="Chart 36">
            <a:extLst>
              <a:ext uri="{FF2B5EF4-FFF2-40B4-BE49-F238E27FC236}">
                <a16:creationId xmlns:a16="http://schemas.microsoft.com/office/drawing/2014/main" xmlns="" id="{B7712648-F857-4C88-B558-7B8598641416}"/>
              </a:ext>
            </a:extLst>
          </xdr:cNvPr>
          <xdr:cNvGraphicFramePr/>
        </xdr:nvGraphicFramePr>
        <xdr:xfrm>
          <a:off x="5004955" y="5512377"/>
          <a:ext cx="6909955" cy="8740487"/>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38" name="TextBox 37">
            <a:extLst>
              <a:ext uri="{FF2B5EF4-FFF2-40B4-BE49-F238E27FC236}">
                <a16:creationId xmlns:a16="http://schemas.microsoft.com/office/drawing/2014/main" xmlns="" id="{F3480CC8-E274-4490-91F7-4F82E1A81D9D}"/>
              </a:ext>
            </a:extLst>
          </xdr:cNvPr>
          <xdr:cNvSpPr txBox="1"/>
        </xdr:nvSpPr>
        <xdr:spPr>
          <a:xfrm>
            <a:off x="6312477" y="5102717"/>
            <a:ext cx="1827069" cy="528145"/>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0">
                <a:latin typeface="Arial" panose="020B0604020202020204" pitchFamily="34" charset="0"/>
                <a:cs typeface="Arial" panose="020B0604020202020204" pitchFamily="34" charset="0"/>
              </a:rPr>
              <a:t>LOW</a:t>
            </a:r>
          </a:p>
        </xdr:txBody>
      </xdr:sp>
      <xdr:sp macro="" textlink="">
        <xdr:nvSpPr>
          <xdr:cNvPr id="39" name="TextBox 38">
            <a:extLst>
              <a:ext uri="{FF2B5EF4-FFF2-40B4-BE49-F238E27FC236}">
                <a16:creationId xmlns:a16="http://schemas.microsoft.com/office/drawing/2014/main" xmlns="" id="{0AFAC504-4497-4186-8F63-42F4BDBA35B1}"/>
              </a:ext>
            </a:extLst>
          </xdr:cNvPr>
          <xdr:cNvSpPr txBox="1"/>
        </xdr:nvSpPr>
        <xdr:spPr>
          <a:xfrm>
            <a:off x="8141501" y="5102719"/>
            <a:ext cx="1827069" cy="528145"/>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0">
                <a:latin typeface="Arial" panose="020B0604020202020204" pitchFamily="34" charset="0"/>
                <a:cs typeface="Arial" panose="020B0604020202020204" pitchFamily="34" charset="0"/>
              </a:rPr>
              <a:t>MEDIUM</a:t>
            </a:r>
          </a:p>
        </xdr:txBody>
      </xdr:sp>
      <xdr:sp macro="" textlink="">
        <xdr:nvSpPr>
          <xdr:cNvPr id="40" name="TextBox 39">
            <a:extLst>
              <a:ext uri="{FF2B5EF4-FFF2-40B4-BE49-F238E27FC236}">
                <a16:creationId xmlns:a16="http://schemas.microsoft.com/office/drawing/2014/main" xmlns="" id="{7530A796-5842-4003-AA6B-8CF36FABD9DC}"/>
              </a:ext>
            </a:extLst>
          </xdr:cNvPr>
          <xdr:cNvSpPr txBox="1"/>
        </xdr:nvSpPr>
        <xdr:spPr>
          <a:xfrm>
            <a:off x="9960748" y="5102719"/>
            <a:ext cx="1827069" cy="528145"/>
          </a:xfrm>
          <a:prstGeom prst="rect">
            <a:avLst/>
          </a:prstGeom>
          <a:solidFill>
            <a:srgbClr val="7B7B7B"/>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0">
                <a:latin typeface="Arial" panose="020B0604020202020204" pitchFamily="34" charset="0"/>
                <a:cs typeface="Arial" panose="020B0604020202020204" pitchFamily="34" charset="0"/>
              </a:rPr>
              <a:t>HIGH</a:t>
            </a:r>
          </a:p>
        </xdr:txBody>
      </xdr:sp>
    </xdr:grpSp>
    <xdr:clientData/>
  </xdr:twoCellAnchor>
  <xdr:twoCellAnchor editAs="oneCell">
    <xdr:from>
      <xdr:col>6</xdr:col>
      <xdr:colOff>394857</xdr:colOff>
      <xdr:row>72</xdr:row>
      <xdr:rowOff>72153</xdr:rowOff>
    </xdr:from>
    <xdr:to>
      <xdr:col>16</xdr:col>
      <xdr:colOff>45605</xdr:colOff>
      <xdr:row>78</xdr:row>
      <xdr:rowOff>59919</xdr:rowOff>
    </xdr:to>
    <xdr:sp macro="" textlink="">
      <xdr:nvSpPr>
        <xdr:cNvPr id="41" name="TextBox 40">
          <a:extLst>
            <a:ext uri="{FF2B5EF4-FFF2-40B4-BE49-F238E27FC236}">
              <a16:creationId xmlns:a16="http://schemas.microsoft.com/office/drawing/2014/main" xmlns="" id="{6ECBAF6C-3C98-443D-A2C1-3B0EAB515A23}"/>
            </a:ext>
          </a:extLst>
        </xdr:cNvPr>
        <xdr:cNvSpPr txBox="1"/>
      </xdr:nvSpPr>
      <xdr:spPr bwMode="auto">
        <a:xfrm>
          <a:off x="5957457" y="19522203"/>
          <a:ext cx="7708898" cy="1130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tx1"/>
              </a:solidFill>
              <a:effectLst/>
              <a:latin typeface="Arial" panose="020B0604020202020204" pitchFamily="34" charset="0"/>
              <a:ea typeface="+mn-ea"/>
              <a:cs typeface="Arial" panose="020B0604020202020204" pitchFamily="34" charset="0"/>
            </a:rPr>
            <a:t>KTL</a:t>
          </a:r>
          <a:r>
            <a:rPr lang="en-US" sz="1400" baseline="0">
              <a:solidFill>
                <a:schemeClr val="tx1"/>
              </a:solidFill>
              <a:effectLst/>
              <a:latin typeface="Arial" panose="020B0604020202020204" pitchFamily="34" charset="0"/>
              <a:ea typeface="+mn-ea"/>
              <a:cs typeface="Arial" panose="020B0604020202020204" pitchFamily="34" charset="0"/>
            </a:rPr>
            <a:t> will make every effort to provide an accurate analysis. Liability is limited to the cost of the analysis and no other warranties, expressed or implied are given. Recommendations serve only as a general guide and should be adjusted to specific situations and conditions.</a:t>
          </a:r>
          <a:endParaRPr lang="en-US" sz="1400">
            <a:effectLst/>
            <a:latin typeface="Arial" panose="020B0604020202020204" pitchFamily="34" charset="0"/>
            <a:cs typeface="Arial" panose="020B0604020202020204" pitchFamily="34" charset="0"/>
          </a:endParaRPr>
        </a:p>
      </xdr:txBody>
    </xdr:sp>
    <xdr:clientData/>
  </xdr:twoCellAnchor>
  <xdr:twoCellAnchor editAs="oneCell">
    <xdr:from>
      <xdr:col>10</xdr:col>
      <xdr:colOff>260350</xdr:colOff>
      <xdr:row>0</xdr:row>
      <xdr:rowOff>25400</xdr:rowOff>
    </xdr:from>
    <xdr:to>
      <xdr:col>16</xdr:col>
      <xdr:colOff>371873</xdr:colOff>
      <xdr:row>7</xdr:row>
      <xdr:rowOff>158750</xdr:rowOff>
    </xdr:to>
    <xdr:pic>
      <xdr:nvPicPr>
        <xdr:cNvPr id="42" name="Picture 41">
          <a:extLst>
            <a:ext uri="{FF2B5EF4-FFF2-40B4-BE49-F238E27FC236}">
              <a16:creationId xmlns:a16="http://schemas.microsoft.com/office/drawing/2014/main" xmlns="" id="{0886B84E-FE56-42A8-9185-608EA30451F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xmlns="" val="0"/>
            </a:ext>
          </a:extLst>
        </a:blip>
        <a:stretch>
          <a:fillRect/>
        </a:stretch>
      </xdr:blipFill>
      <xdr:spPr>
        <a:xfrm>
          <a:off x="9137650" y="25400"/>
          <a:ext cx="4854973" cy="2371725"/>
        </a:xfrm>
        <a:prstGeom prst="rect">
          <a:avLst/>
        </a:prstGeom>
      </xdr:spPr>
    </xdr:pic>
    <xdr:clientData/>
  </xdr:twoCellAnchor>
  <xdr:twoCellAnchor editAs="oneCell">
    <xdr:from>
      <xdr:col>0</xdr:col>
      <xdr:colOff>155575</xdr:colOff>
      <xdr:row>71</xdr:row>
      <xdr:rowOff>82550</xdr:rowOff>
    </xdr:from>
    <xdr:to>
      <xdr:col>1</xdr:col>
      <xdr:colOff>447675</xdr:colOff>
      <xdr:row>81</xdr:row>
      <xdr:rowOff>25400</xdr:rowOff>
    </xdr:to>
    <xdr:pic>
      <xdr:nvPicPr>
        <xdr:cNvPr id="43" name="Picture 42">
          <a:extLst>
            <a:ext uri="{FF2B5EF4-FFF2-40B4-BE49-F238E27FC236}">
              <a16:creationId xmlns:a16="http://schemas.microsoft.com/office/drawing/2014/main" xmlns="" id="{D097C9ED-6A3F-48E8-9D3D-F8FEB61CC80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155575" y="19332575"/>
          <a:ext cx="1377950" cy="1857375"/>
        </a:xfrm>
        <a:prstGeom prst="rect">
          <a:avLst/>
        </a:prstGeom>
      </xdr:spPr>
    </xdr:pic>
    <xdr:clientData/>
  </xdr:twoCellAnchor>
  <xdr:twoCellAnchor editAs="oneCell">
    <xdr:from>
      <xdr:col>2</xdr:col>
      <xdr:colOff>0</xdr:colOff>
      <xdr:row>72</xdr:row>
      <xdr:rowOff>104775</xdr:rowOff>
    </xdr:from>
    <xdr:to>
      <xdr:col>3</xdr:col>
      <xdr:colOff>942621</xdr:colOff>
      <xdr:row>80</xdr:row>
      <xdr:rowOff>144691</xdr:rowOff>
    </xdr:to>
    <xdr:pic>
      <xdr:nvPicPr>
        <xdr:cNvPr id="44" name="Picture 43" descr="http://kuotestinglabs.com/project/uploads/2016/03/ALP-Logo.jpg">
          <a:extLst>
            <a:ext uri="{FF2B5EF4-FFF2-40B4-BE49-F238E27FC236}">
              <a16:creationId xmlns:a16="http://schemas.microsoft.com/office/drawing/2014/main" xmlns="" id="{B8F9AE88-1F58-4782-BDB6-8D2C5657D86B}"/>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xmlns="" val="0"/>
            </a:ext>
          </a:extLst>
        </a:blip>
        <a:srcRect/>
        <a:stretch>
          <a:fillRect/>
        </a:stretch>
      </xdr:blipFill>
      <xdr:spPr bwMode="auto">
        <a:xfrm>
          <a:off x="1581150" y="19554825"/>
          <a:ext cx="1437921" cy="156391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73219</xdr:colOff>
      <xdr:row>24</xdr:row>
      <xdr:rowOff>57440</xdr:rowOff>
    </xdr:from>
    <xdr:to>
      <xdr:col>24</xdr:col>
      <xdr:colOff>361085</xdr:colOff>
      <xdr:row>63</xdr:row>
      <xdr:rowOff>148098</xdr:rowOff>
    </xdr:to>
    <xdr:grpSp>
      <xdr:nvGrpSpPr>
        <xdr:cNvPr id="2" name="Group 1">
          <a:extLst>
            <a:ext uri="{FF2B5EF4-FFF2-40B4-BE49-F238E27FC236}">
              <a16:creationId xmlns:a16="http://schemas.microsoft.com/office/drawing/2014/main" xmlns="" id="{F739726D-EC7B-42B9-B152-E3516686C3A9}"/>
            </a:ext>
          </a:extLst>
        </xdr:cNvPr>
        <xdr:cNvGrpSpPr/>
      </xdr:nvGrpSpPr>
      <xdr:grpSpPr>
        <a:xfrm>
          <a:off x="12027094" y="7852065"/>
          <a:ext cx="9638241" cy="9520408"/>
          <a:chOff x="7707362" y="7175212"/>
          <a:chExt cx="7307502" cy="9459795"/>
        </a:xfrm>
      </xdr:grpSpPr>
      <xdr:grpSp>
        <xdr:nvGrpSpPr>
          <xdr:cNvPr id="3" name="Group 2">
            <a:extLst>
              <a:ext uri="{FF2B5EF4-FFF2-40B4-BE49-F238E27FC236}">
                <a16:creationId xmlns:a16="http://schemas.microsoft.com/office/drawing/2014/main" xmlns="" id="{39CA4632-AA78-4FE2-A196-A2B9803EC7B1}"/>
              </a:ext>
            </a:extLst>
          </xdr:cNvPr>
          <xdr:cNvGrpSpPr/>
        </xdr:nvGrpSpPr>
        <xdr:grpSpPr>
          <a:xfrm>
            <a:off x="7707362" y="10901757"/>
            <a:ext cx="7307502" cy="5733250"/>
            <a:chOff x="4834493" y="2979506"/>
            <a:chExt cx="4436731" cy="2501445"/>
          </a:xfrm>
        </xdr:grpSpPr>
        <xdr:grpSp>
          <xdr:nvGrpSpPr>
            <xdr:cNvPr id="19" name="Group 18">
              <a:extLst>
                <a:ext uri="{FF2B5EF4-FFF2-40B4-BE49-F238E27FC236}">
                  <a16:creationId xmlns:a16="http://schemas.microsoft.com/office/drawing/2014/main" xmlns="" id="{EB92F309-6DA1-499A-88E7-C9B648D99206}"/>
                </a:ext>
              </a:extLst>
            </xdr:cNvPr>
            <xdr:cNvGrpSpPr/>
          </xdr:nvGrpSpPr>
          <xdr:grpSpPr>
            <a:xfrm>
              <a:off x="4834493" y="2979506"/>
              <a:ext cx="4436731" cy="2501445"/>
              <a:chOff x="8818833" y="2452263"/>
              <a:chExt cx="4554064" cy="2725617"/>
            </a:xfrm>
          </xdr:grpSpPr>
          <xdr:grpSp>
            <xdr:nvGrpSpPr>
              <xdr:cNvPr id="23" name="Group 22">
                <a:extLst>
                  <a:ext uri="{FF2B5EF4-FFF2-40B4-BE49-F238E27FC236}">
                    <a16:creationId xmlns:a16="http://schemas.microsoft.com/office/drawing/2014/main" xmlns="" id="{A3E6070D-FCAF-4E26-9E25-E79B340BED1B}"/>
                  </a:ext>
                </a:extLst>
              </xdr:cNvPr>
              <xdr:cNvGrpSpPr/>
            </xdr:nvGrpSpPr>
            <xdr:grpSpPr>
              <a:xfrm>
                <a:off x="8818833" y="2452263"/>
                <a:ext cx="4554064" cy="2725617"/>
                <a:chOff x="27497484" y="2038988"/>
                <a:chExt cx="4572000" cy="2809237"/>
              </a:xfrm>
            </xdr:grpSpPr>
            <xdr:graphicFrame macro="">
              <xdr:nvGraphicFramePr>
                <xdr:cNvPr id="25" name="Chart 24">
                  <a:extLst>
                    <a:ext uri="{FF2B5EF4-FFF2-40B4-BE49-F238E27FC236}">
                      <a16:creationId xmlns:a16="http://schemas.microsoft.com/office/drawing/2014/main" xmlns="" id="{9DD9DBEE-62BE-4BA4-8783-60C4D9442A91}"/>
                    </a:ext>
                  </a:extLst>
                </xdr:cNvPr>
                <xdr:cNvGraphicFramePr/>
              </xdr:nvGraphicFramePr>
              <xdr:xfrm>
                <a:off x="27497484" y="21050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6" name="Chart 25">
                  <a:extLst>
                    <a:ext uri="{FF2B5EF4-FFF2-40B4-BE49-F238E27FC236}">
                      <a16:creationId xmlns:a16="http://schemas.microsoft.com/office/drawing/2014/main" xmlns="" id="{30B9E817-557A-44EC-A1D3-65E521692B11}"/>
                    </a:ext>
                  </a:extLst>
                </xdr:cNvPr>
                <xdr:cNvGraphicFramePr/>
              </xdr:nvGraphicFramePr>
              <xdr:xfrm>
                <a:off x="27810065" y="2038988"/>
                <a:ext cx="3733040" cy="2743201"/>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24" name="TextBox 23">
                <a:extLst>
                  <a:ext uri="{FF2B5EF4-FFF2-40B4-BE49-F238E27FC236}">
                    <a16:creationId xmlns:a16="http://schemas.microsoft.com/office/drawing/2014/main" xmlns="" id="{341C1E8B-BCE7-436F-91C9-11A4782F5788}"/>
                  </a:ext>
                </a:extLst>
              </xdr:cNvPr>
              <xdr:cNvSpPr txBox="1"/>
            </xdr:nvSpPr>
            <xdr:spPr>
              <a:xfrm>
                <a:off x="10091898" y="3865846"/>
                <a:ext cx="2016862" cy="212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latin typeface="Arial" panose="020B0604020202020204" pitchFamily="34" charset="0"/>
                    <a:cs typeface="Arial" panose="020B0604020202020204" pitchFamily="34" charset="0"/>
                  </a:rPr>
                  <a:t>Soluble Salts (1:1)</a:t>
                </a:r>
              </a:p>
            </xdr:txBody>
          </xdr:sp>
        </xdr:grpSp>
        <xdr:sp macro="" textlink="">
          <xdr:nvSpPr>
            <xdr:cNvPr id="20" name="TextBox 19">
              <a:extLst>
                <a:ext uri="{FF2B5EF4-FFF2-40B4-BE49-F238E27FC236}">
                  <a16:creationId xmlns:a16="http://schemas.microsoft.com/office/drawing/2014/main" xmlns="" id="{51698C17-57A2-4709-AF37-2DAD8A569130}"/>
                </a:ext>
              </a:extLst>
            </xdr:cNvPr>
            <xdr:cNvSpPr txBox="1"/>
          </xdr:nvSpPr>
          <xdr:spPr>
            <a:xfrm rot="18312035">
              <a:off x="5915339" y="3584140"/>
              <a:ext cx="668009" cy="280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solidFill>
                    <a:schemeClr val="bg1"/>
                  </a:solidFill>
                  <a:latin typeface="Arial" panose="020B0604020202020204" pitchFamily="34" charset="0"/>
                  <a:cs typeface="Arial" panose="020B0604020202020204" pitchFamily="34" charset="0"/>
                </a:rPr>
                <a:t>Excellent</a:t>
              </a:r>
            </a:p>
          </xdr:txBody>
        </xdr:sp>
        <xdr:sp macro="" textlink="">
          <xdr:nvSpPr>
            <xdr:cNvPr id="21" name="TextBox 20">
              <a:extLst>
                <a:ext uri="{FF2B5EF4-FFF2-40B4-BE49-F238E27FC236}">
                  <a16:creationId xmlns:a16="http://schemas.microsoft.com/office/drawing/2014/main" xmlns="" id="{D31E25C8-F6D6-4D73-94FA-17F27555CDB5}"/>
                </a:ext>
              </a:extLst>
            </xdr:cNvPr>
            <xdr:cNvSpPr txBox="1"/>
          </xdr:nvSpPr>
          <xdr:spPr>
            <a:xfrm>
              <a:off x="6698241" y="3262161"/>
              <a:ext cx="711636" cy="155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bg1"/>
                  </a:solidFill>
                  <a:latin typeface="Arial" panose="020B0604020202020204" pitchFamily="34" charset="0"/>
                  <a:cs typeface="Arial" panose="020B0604020202020204" pitchFamily="34" charset="0"/>
                </a:rPr>
                <a:t>Acceptable</a:t>
              </a:r>
            </a:p>
          </xdr:txBody>
        </xdr:sp>
        <xdr:sp macro="" textlink="">
          <xdr:nvSpPr>
            <xdr:cNvPr id="22" name="TextBox 21">
              <a:extLst>
                <a:ext uri="{FF2B5EF4-FFF2-40B4-BE49-F238E27FC236}">
                  <a16:creationId xmlns:a16="http://schemas.microsoft.com/office/drawing/2014/main" xmlns="" id="{6BC5664A-CE84-4323-89C0-FE1962E40763}"/>
                </a:ext>
              </a:extLst>
            </xdr:cNvPr>
            <xdr:cNvSpPr txBox="1"/>
          </xdr:nvSpPr>
          <xdr:spPr>
            <a:xfrm rot="3453356">
              <a:off x="7693250" y="3693563"/>
              <a:ext cx="567771" cy="156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bg1"/>
                  </a:solidFill>
                  <a:latin typeface="Arial" panose="020B0604020202020204" pitchFamily="34" charset="0"/>
                  <a:cs typeface="Arial" panose="020B0604020202020204" pitchFamily="34" charset="0"/>
                </a:rPr>
                <a:t>Excessive</a:t>
              </a:r>
            </a:p>
          </xdr:txBody>
        </xdr:sp>
      </xdr:grpSp>
      <xdr:grpSp>
        <xdr:nvGrpSpPr>
          <xdr:cNvPr id="4" name="Group 3">
            <a:extLst>
              <a:ext uri="{FF2B5EF4-FFF2-40B4-BE49-F238E27FC236}">
                <a16:creationId xmlns:a16="http://schemas.microsoft.com/office/drawing/2014/main" xmlns="" id="{13C38643-3455-4C6F-A951-250D8EF97045}"/>
              </a:ext>
            </a:extLst>
          </xdr:cNvPr>
          <xdr:cNvGrpSpPr/>
        </xdr:nvGrpSpPr>
        <xdr:grpSpPr>
          <a:xfrm>
            <a:off x="8531820" y="7175212"/>
            <a:ext cx="5832743" cy="5968489"/>
            <a:chOff x="8329794" y="8845715"/>
            <a:chExt cx="4556510" cy="2620281"/>
          </a:xfrm>
        </xdr:grpSpPr>
        <xdr:grpSp>
          <xdr:nvGrpSpPr>
            <xdr:cNvPr id="5" name="Group 4">
              <a:extLst>
                <a:ext uri="{FF2B5EF4-FFF2-40B4-BE49-F238E27FC236}">
                  <a16:creationId xmlns:a16="http://schemas.microsoft.com/office/drawing/2014/main" xmlns="" id="{41E8498D-1C9C-4A4F-AB40-099930E5FFFD}"/>
                </a:ext>
              </a:extLst>
            </xdr:cNvPr>
            <xdr:cNvGrpSpPr/>
          </xdr:nvGrpSpPr>
          <xdr:grpSpPr>
            <a:xfrm>
              <a:off x="8329794" y="8845715"/>
              <a:ext cx="4556510" cy="2620281"/>
              <a:chOff x="8818835" y="2342616"/>
              <a:chExt cx="4657146" cy="2835260"/>
            </a:xfrm>
          </xdr:grpSpPr>
          <xdr:grpSp>
            <xdr:nvGrpSpPr>
              <xdr:cNvPr id="10" name="Group 9">
                <a:extLst>
                  <a:ext uri="{FF2B5EF4-FFF2-40B4-BE49-F238E27FC236}">
                    <a16:creationId xmlns:a16="http://schemas.microsoft.com/office/drawing/2014/main" xmlns="" id="{F0356AE5-3121-4D89-AA99-9E2DCF311839}"/>
                  </a:ext>
                </a:extLst>
              </xdr:cNvPr>
              <xdr:cNvGrpSpPr/>
            </xdr:nvGrpSpPr>
            <xdr:grpSpPr>
              <a:xfrm>
                <a:off x="8818835" y="2342616"/>
                <a:ext cx="4657146" cy="2835260"/>
                <a:chOff x="18623568" y="3864909"/>
                <a:chExt cx="4656976" cy="2808729"/>
              </a:xfrm>
            </xdr:grpSpPr>
            <xdr:grpSp>
              <xdr:nvGrpSpPr>
                <xdr:cNvPr id="12" name="Group 11">
                  <a:extLst>
                    <a:ext uri="{FF2B5EF4-FFF2-40B4-BE49-F238E27FC236}">
                      <a16:creationId xmlns:a16="http://schemas.microsoft.com/office/drawing/2014/main" xmlns="" id="{591B499A-AC9E-498A-BC25-5298058D3257}"/>
                    </a:ext>
                  </a:extLst>
                </xdr:cNvPr>
                <xdr:cNvGrpSpPr/>
              </xdr:nvGrpSpPr>
              <xdr:grpSpPr>
                <a:xfrm>
                  <a:off x="18623568" y="3864909"/>
                  <a:ext cx="4656976" cy="2808729"/>
                  <a:chOff x="27497485" y="1925979"/>
                  <a:chExt cx="4675488" cy="2922245"/>
                </a:xfrm>
              </xdr:grpSpPr>
              <xdr:graphicFrame macro="">
                <xdr:nvGraphicFramePr>
                  <xdr:cNvPr id="17" name="Chart 16">
                    <a:extLst>
                      <a:ext uri="{FF2B5EF4-FFF2-40B4-BE49-F238E27FC236}">
                        <a16:creationId xmlns:a16="http://schemas.microsoft.com/office/drawing/2014/main" xmlns="" id="{1B353C1E-B516-48F1-9339-55CF97D2C937}"/>
                      </a:ext>
                    </a:extLst>
                  </xdr:cNvPr>
                  <xdr:cNvGraphicFramePr/>
                </xdr:nvGraphicFramePr>
                <xdr:xfrm>
                  <a:off x="27497485" y="2105025"/>
                  <a:ext cx="4572000" cy="274319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8" name="Chart 17">
                    <a:extLst>
                      <a:ext uri="{FF2B5EF4-FFF2-40B4-BE49-F238E27FC236}">
                        <a16:creationId xmlns:a16="http://schemas.microsoft.com/office/drawing/2014/main" xmlns="" id="{D00270AE-ED10-4ACF-97C1-83C4465AED56}"/>
                      </a:ext>
                    </a:extLst>
                  </xdr:cNvPr>
                  <xdr:cNvGraphicFramePr/>
                </xdr:nvGraphicFramePr>
                <xdr:xfrm>
                  <a:off x="27600972" y="1925979"/>
                  <a:ext cx="4572001" cy="274320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13" name="Group 12">
                  <a:extLst>
                    <a:ext uri="{FF2B5EF4-FFF2-40B4-BE49-F238E27FC236}">
                      <a16:creationId xmlns:a16="http://schemas.microsoft.com/office/drawing/2014/main" xmlns="" id="{EDA36A43-7E4B-4EB9-9CC1-D2759E38818F}"/>
                    </a:ext>
                  </a:extLst>
                </xdr:cNvPr>
                <xdr:cNvGrpSpPr/>
              </xdr:nvGrpSpPr>
              <xdr:grpSpPr>
                <a:xfrm>
                  <a:off x="19525411" y="4046592"/>
                  <a:ext cx="2585608" cy="1275176"/>
                  <a:chOff x="19525411" y="4046592"/>
                  <a:chExt cx="2585608" cy="1275176"/>
                </a:xfrm>
              </xdr:grpSpPr>
              <xdr:sp macro="" textlink="$DX$4">
                <xdr:nvSpPr>
                  <xdr:cNvPr id="14" name="TextBox 13">
                    <a:extLst>
                      <a:ext uri="{FF2B5EF4-FFF2-40B4-BE49-F238E27FC236}">
                        <a16:creationId xmlns:a16="http://schemas.microsoft.com/office/drawing/2014/main" xmlns="" id="{80FF2BF0-99F5-4DA4-B6A5-0CE0A2C8DE3C}"/>
                      </a:ext>
                    </a:extLst>
                  </xdr:cNvPr>
                  <xdr:cNvSpPr txBox="1"/>
                </xdr:nvSpPr>
                <xdr:spPr>
                  <a:xfrm>
                    <a:off x="21960418" y="5154467"/>
                    <a:ext cx="150601" cy="167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4488E3F-C290-4C9D-8AD6-998298B335A9}" type="TxLink">
                      <a:rPr lang="en-US" sz="1800" b="1" i="0" u="none" strike="noStrike">
                        <a:solidFill>
                          <a:srgbClr val="000000"/>
                        </a:solidFill>
                        <a:latin typeface="Arial"/>
                        <a:cs typeface="Arial"/>
                      </a:rPr>
                      <a:pPr/>
                      <a:t> </a:t>
                    </a:fld>
                    <a:endParaRPr lang="en-US" sz="2400" b="1">
                      <a:latin typeface="Arial" panose="020B0604020202020204" pitchFamily="34" charset="0"/>
                      <a:cs typeface="Arial" panose="020B0604020202020204" pitchFamily="34" charset="0"/>
                    </a:endParaRPr>
                  </a:p>
                </xdr:txBody>
              </xdr:sp>
              <xdr:sp macro="" textlink="$DY$4">
                <xdr:nvSpPr>
                  <xdr:cNvPr id="15" name="TextBox 14">
                    <a:extLst>
                      <a:ext uri="{FF2B5EF4-FFF2-40B4-BE49-F238E27FC236}">
                        <a16:creationId xmlns:a16="http://schemas.microsoft.com/office/drawing/2014/main" xmlns="" id="{ED5E5B4C-8D85-4D11-858B-4D4C72B0B276}"/>
                      </a:ext>
                    </a:extLst>
                  </xdr:cNvPr>
                  <xdr:cNvSpPr txBox="1"/>
                </xdr:nvSpPr>
                <xdr:spPr>
                  <a:xfrm>
                    <a:off x="19525411" y="5154376"/>
                    <a:ext cx="150601" cy="167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EA671CF-CD20-403F-9A50-8ED7D2543331}" type="TxLink">
                      <a:rPr lang="en-US" sz="1800" b="1" i="0" u="none" strike="noStrike">
                        <a:solidFill>
                          <a:srgbClr val="000000"/>
                        </a:solidFill>
                        <a:latin typeface="Arial" panose="020B0604020202020204" pitchFamily="34" charset="0"/>
                        <a:cs typeface="Arial" panose="020B0604020202020204" pitchFamily="34" charset="0"/>
                      </a:rPr>
                      <a:pPr/>
                      <a:t> </a:t>
                    </a:fld>
                    <a:endParaRPr lang="en-US" sz="2400" b="1">
                      <a:latin typeface="Arial" panose="020B0604020202020204" pitchFamily="34" charset="0"/>
                      <a:cs typeface="Arial" panose="020B0604020202020204" pitchFamily="34" charset="0"/>
                    </a:endParaRPr>
                  </a:p>
                </xdr:txBody>
              </xdr:sp>
              <xdr:sp macro="" textlink="">
                <xdr:nvSpPr>
                  <xdr:cNvPr id="16" name="TextBox 15">
                    <a:extLst>
                      <a:ext uri="{FF2B5EF4-FFF2-40B4-BE49-F238E27FC236}">
                        <a16:creationId xmlns:a16="http://schemas.microsoft.com/office/drawing/2014/main" xmlns="" id="{C4DFC44F-0739-4C92-95BE-0968BA6B7DBE}"/>
                      </a:ext>
                    </a:extLst>
                  </xdr:cNvPr>
                  <xdr:cNvSpPr txBox="1"/>
                </xdr:nvSpPr>
                <xdr:spPr>
                  <a:xfrm>
                    <a:off x="19818304" y="4046592"/>
                    <a:ext cx="386387" cy="168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latin typeface="Arial" panose="020B0604020202020204" pitchFamily="34" charset="0"/>
                        <a:cs typeface="Arial" panose="020B0604020202020204" pitchFamily="34" charset="0"/>
                      </a:rPr>
                      <a:t>5</a:t>
                    </a:r>
                  </a:p>
                </xdr:txBody>
              </xdr:sp>
            </xdr:grpSp>
          </xdr:grpSp>
          <xdr:sp macro="" textlink="">
            <xdr:nvSpPr>
              <xdr:cNvPr id="11" name="TextBox 10">
                <a:extLst>
                  <a:ext uri="{FF2B5EF4-FFF2-40B4-BE49-F238E27FC236}">
                    <a16:creationId xmlns:a16="http://schemas.microsoft.com/office/drawing/2014/main" xmlns="" id="{75A10DA3-8B4E-4855-9B7D-BBC08456D887}"/>
                  </a:ext>
                </a:extLst>
              </xdr:cNvPr>
              <xdr:cNvSpPr txBox="1"/>
            </xdr:nvSpPr>
            <xdr:spPr>
              <a:xfrm>
                <a:off x="10356022" y="3889631"/>
                <a:ext cx="1271202" cy="210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a:latin typeface="Arial" panose="020B0604020202020204" pitchFamily="34" charset="0"/>
                    <a:cs typeface="Arial" panose="020B0604020202020204" pitchFamily="34" charset="0"/>
                  </a:rPr>
                  <a:t>Soil pH (1:2)</a:t>
                </a:r>
              </a:p>
            </xdr:txBody>
          </xdr:sp>
        </xdr:grpSp>
        <xdr:sp macro="" textlink="">
          <xdr:nvSpPr>
            <xdr:cNvPr id="6" name="TextBox 5">
              <a:extLst>
                <a:ext uri="{FF2B5EF4-FFF2-40B4-BE49-F238E27FC236}">
                  <a16:creationId xmlns:a16="http://schemas.microsoft.com/office/drawing/2014/main" xmlns="" id="{5401C6C4-8614-405C-9481-A0816CF46338}"/>
                </a:ext>
              </a:extLst>
            </xdr:cNvPr>
            <xdr:cNvSpPr txBox="1"/>
          </xdr:nvSpPr>
          <xdr:spPr>
            <a:xfrm rot="2998136">
              <a:off x="11268340" y="9573731"/>
              <a:ext cx="774057" cy="288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latin typeface="Arial" panose="020B0604020202020204" pitchFamily="34" charset="0"/>
                  <a:cs typeface="Arial" panose="020B0604020202020204" pitchFamily="34" charset="0"/>
                </a:rPr>
                <a:t>Alkaline &gt;8.3</a:t>
              </a:r>
            </a:p>
          </xdr:txBody>
        </xdr:sp>
        <xdr:sp macro="" textlink="">
          <xdr:nvSpPr>
            <xdr:cNvPr id="7" name="TextBox 6">
              <a:extLst>
                <a:ext uri="{FF2B5EF4-FFF2-40B4-BE49-F238E27FC236}">
                  <a16:creationId xmlns:a16="http://schemas.microsoft.com/office/drawing/2014/main" xmlns="" id="{C91DCE30-77B9-4315-8132-521210A0C519}"/>
                </a:ext>
              </a:extLst>
            </xdr:cNvPr>
            <xdr:cNvSpPr txBox="1"/>
          </xdr:nvSpPr>
          <xdr:spPr>
            <a:xfrm rot="18463133">
              <a:off x="9196705" y="9541831"/>
              <a:ext cx="663442" cy="288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latin typeface="Arial" panose="020B0604020202020204" pitchFamily="34" charset="0"/>
                  <a:cs typeface="Arial" panose="020B0604020202020204" pitchFamily="34" charset="0"/>
                </a:rPr>
                <a:t>Acidic &lt;5</a:t>
              </a:r>
            </a:p>
          </xdr:txBody>
        </xdr:sp>
        <xdr:sp macro="" textlink="">
          <xdr:nvSpPr>
            <xdr:cNvPr id="8" name="TextBox 7">
              <a:extLst>
                <a:ext uri="{FF2B5EF4-FFF2-40B4-BE49-F238E27FC236}">
                  <a16:creationId xmlns:a16="http://schemas.microsoft.com/office/drawing/2014/main" xmlns="" id="{2493F6A1-523B-4547-8FED-6D86E039BFB3}"/>
                </a:ext>
              </a:extLst>
            </xdr:cNvPr>
            <xdr:cNvSpPr txBox="1"/>
          </xdr:nvSpPr>
          <xdr:spPr>
            <a:xfrm>
              <a:off x="10410481" y="889612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latin typeface="Arial" panose="020B0604020202020204" pitchFamily="34" charset="0"/>
                  <a:cs typeface="Arial" panose="020B0604020202020204" pitchFamily="34" charset="0"/>
                </a:rPr>
                <a:t>7</a:t>
              </a:r>
            </a:p>
          </xdr:txBody>
        </xdr:sp>
        <xdr:sp macro="" textlink="">
          <xdr:nvSpPr>
            <xdr:cNvPr id="9" name="TextBox 8">
              <a:extLst>
                <a:ext uri="{FF2B5EF4-FFF2-40B4-BE49-F238E27FC236}">
                  <a16:creationId xmlns:a16="http://schemas.microsoft.com/office/drawing/2014/main" xmlns="" id="{8A53BF90-4250-4D9B-89A6-07D72FEB0050}"/>
                </a:ext>
              </a:extLst>
            </xdr:cNvPr>
            <xdr:cNvSpPr txBox="1"/>
          </xdr:nvSpPr>
          <xdr:spPr>
            <a:xfrm>
              <a:off x="11126573" y="8973855"/>
              <a:ext cx="4798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latin typeface="Arial" panose="020B0604020202020204" pitchFamily="34" charset="0"/>
                  <a:cs typeface="Arial" panose="020B0604020202020204" pitchFamily="34" charset="0"/>
                </a:rPr>
                <a:t>8.3</a:t>
              </a:r>
            </a:p>
          </xdr:txBody>
        </xdr:sp>
      </xdr:grpSp>
    </xdr:grpSp>
    <xdr:clientData/>
  </xdr:twoCellAnchor>
  <xdr:twoCellAnchor>
    <xdr:from>
      <xdr:col>18</xdr:col>
      <xdr:colOff>388725</xdr:colOff>
      <xdr:row>71</xdr:row>
      <xdr:rowOff>166860</xdr:rowOff>
    </xdr:from>
    <xdr:to>
      <xdr:col>24</xdr:col>
      <xdr:colOff>1450388</xdr:colOff>
      <xdr:row>79</xdr:row>
      <xdr:rowOff>93791</xdr:rowOff>
    </xdr:to>
    <xdr:grpSp>
      <xdr:nvGrpSpPr>
        <xdr:cNvPr id="27" name="Group 26">
          <a:extLst>
            <a:ext uri="{FF2B5EF4-FFF2-40B4-BE49-F238E27FC236}">
              <a16:creationId xmlns:a16="http://schemas.microsoft.com/office/drawing/2014/main" xmlns="" id="{A7DA37B6-54C9-476A-AD29-D972B562FB14}"/>
            </a:ext>
          </a:extLst>
        </xdr:cNvPr>
        <xdr:cNvGrpSpPr/>
      </xdr:nvGrpSpPr>
      <xdr:grpSpPr>
        <a:xfrm>
          <a:off x="15708100" y="19677235"/>
          <a:ext cx="7046538" cy="1466806"/>
          <a:chOff x="9040093" y="19027800"/>
          <a:chExt cx="6402033" cy="1474599"/>
        </a:xfrm>
      </xdr:grpSpPr>
      <xdr:sp macro="" textlink="">
        <xdr:nvSpPr>
          <xdr:cNvPr id="28" name="TextBox 27">
            <a:extLst>
              <a:ext uri="{FF2B5EF4-FFF2-40B4-BE49-F238E27FC236}">
                <a16:creationId xmlns:a16="http://schemas.microsoft.com/office/drawing/2014/main" xmlns="" id="{E89582F3-DE08-4226-878D-628ADC703981}"/>
              </a:ext>
            </a:extLst>
          </xdr:cNvPr>
          <xdr:cNvSpPr txBox="1"/>
        </xdr:nvSpPr>
        <xdr:spPr bwMode="auto">
          <a:xfrm>
            <a:off x="9040093" y="19027800"/>
            <a:ext cx="6402033" cy="1073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b="1" baseline="0">
                <a:latin typeface="Arial" panose="020B0604020202020204" pitchFamily="34" charset="0"/>
                <a:cs typeface="Arial" panose="020B0604020202020204" pitchFamily="34" charset="0"/>
              </a:rPr>
              <a:t>Main Office: 	119 E Main St., Othello WA, 99344</a:t>
            </a:r>
          </a:p>
          <a:p>
            <a:pPr algn="l">
              <a:lnSpc>
                <a:spcPct val="150000"/>
              </a:lnSpc>
            </a:pPr>
            <a:r>
              <a:rPr lang="en-US" sz="1800" b="1" baseline="0">
                <a:latin typeface="Arial" panose="020B0604020202020204" pitchFamily="34" charset="0"/>
                <a:cs typeface="Arial" panose="020B0604020202020204" pitchFamily="34" charset="0"/>
              </a:rPr>
              <a:t>Oregon Office: 	1300 Sixth St., Suite J, Umatilla OR, 97882</a:t>
            </a:r>
          </a:p>
          <a:p>
            <a:pPr algn="l"/>
            <a:r>
              <a:rPr lang="en-US" sz="1800" b="1" baseline="0">
                <a:latin typeface="Arial" panose="020B0604020202020204" pitchFamily="34" charset="0"/>
                <a:cs typeface="Arial" panose="020B0604020202020204" pitchFamily="34" charset="0"/>
              </a:rPr>
              <a:t>Pasco Office: 	1320 E Spokane St., Pasco WA, 99301</a:t>
            </a:r>
            <a:endParaRPr lang="en-US" sz="1800" b="1">
              <a:latin typeface="Arial" panose="020B0604020202020204" pitchFamily="34" charset="0"/>
              <a:cs typeface="Arial" panose="020B0604020202020204" pitchFamily="34" charset="0"/>
            </a:endParaRPr>
          </a:p>
        </xdr:txBody>
      </xdr:sp>
      <xdr:grpSp>
        <xdr:nvGrpSpPr>
          <xdr:cNvPr id="29" name="Group 28">
            <a:extLst>
              <a:ext uri="{FF2B5EF4-FFF2-40B4-BE49-F238E27FC236}">
                <a16:creationId xmlns:a16="http://schemas.microsoft.com/office/drawing/2014/main" xmlns="" id="{00E9A1DA-4CCA-4239-BB27-99C45A33E65F}"/>
              </a:ext>
            </a:extLst>
          </xdr:cNvPr>
          <xdr:cNvGrpSpPr/>
        </xdr:nvGrpSpPr>
        <xdr:grpSpPr>
          <a:xfrm>
            <a:off x="9173373" y="20106745"/>
            <a:ext cx="5957065" cy="395654"/>
            <a:chOff x="8789365" y="8432625"/>
            <a:chExt cx="5791212" cy="395654"/>
          </a:xfrm>
        </xdr:grpSpPr>
        <xdr:grpSp>
          <xdr:nvGrpSpPr>
            <xdr:cNvPr id="30" name="Group 29">
              <a:extLst>
                <a:ext uri="{FF2B5EF4-FFF2-40B4-BE49-F238E27FC236}">
                  <a16:creationId xmlns:a16="http://schemas.microsoft.com/office/drawing/2014/main" xmlns="" id="{5B803A99-7E45-4FC2-8BBB-4C233C7C2F0E}"/>
                </a:ext>
              </a:extLst>
            </xdr:cNvPr>
            <xdr:cNvGrpSpPr/>
          </xdr:nvGrpSpPr>
          <xdr:grpSpPr>
            <a:xfrm>
              <a:off x="8789365" y="8443283"/>
              <a:ext cx="2388172" cy="384996"/>
              <a:chOff x="11104673" y="7813168"/>
              <a:chExt cx="2388172" cy="384996"/>
            </a:xfrm>
          </xdr:grpSpPr>
          <xdr:pic>
            <xdr:nvPicPr>
              <xdr:cNvPr id="34" name="Graphic 33" descr="Receiver">
                <a:extLst>
                  <a:ext uri="{FF2B5EF4-FFF2-40B4-BE49-F238E27FC236}">
                    <a16:creationId xmlns:a16="http://schemas.microsoft.com/office/drawing/2014/main" xmlns="" id="{E7A70FBC-8FF0-41BD-AEF9-D488E67A32A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 uri="{96DAC541-7B7A-43D3-8B79-37D633B846F1}">
                    <asvg:svgBlip xmlns:asvg="http://schemas.microsoft.com/office/drawing/2016/SVG/main" xmlns="" r:embed="rId6"/>
                  </a:ext>
                </a:extLst>
              </a:blip>
              <a:stretch>
                <a:fillRect/>
              </a:stretch>
            </xdr:blipFill>
            <xdr:spPr>
              <a:xfrm>
                <a:off x="11104673" y="7813168"/>
                <a:ext cx="320040" cy="320040"/>
              </a:xfrm>
              <a:prstGeom prst="rect">
                <a:avLst/>
              </a:prstGeom>
            </xdr:spPr>
          </xdr:pic>
          <xdr:sp macro="" textlink="">
            <xdr:nvSpPr>
              <xdr:cNvPr id="35" name="TextBox 34">
                <a:extLst>
                  <a:ext uri="{FF2B5EF4-FFF2-40B4-BE49-F238E27FC236}">
                    <a16:creationId xmlns:a16="http://schemas.microsoft.com/office/drawing/2014/main" xmlns="" id="{216979BA-66CD-4D84-A4E2-261A6FEBEBF5}"/>
                  </a:ext>
                </a:extLst>
              </xdr:cNvPr>
              <xdr:cNvSpPr txBox="1"/>
            </xdr:nvSpPr>
            <xdr:spPr bwMode="auto">
              <a:xfrm>
                <a:off x="11419664" y="7819492"/>
                <a:ext cx="2073181" cy="378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800" b="1">
                    <a:latin typeface="Arial" panose="020B0604020202020204" pitchFamily="34" charset="0"/>
                    <a:cs typeface="Arial" panose="020B0604020202020204" pitchFamily="34" charset="0"/>
                  </a:rPr>
                  <a:t>(509) 488-0112</a:t>
                </a:r>
              </a:p>
            </xdr:txBody>
          </xdr:sp>
        </xdr:grpSp>
        <xdr:grpSp>
          <xdr:nvGrpSpPr>
            <xdr:cNvPr id="31" name="Group 30">
              <a:extLst>
                <a:ext uri="{FF2B5EF4-FFF2-40B4-BE49-F238E27FC236}">
                  <a16:creationId xmlns:a16="http://schemas.microsoft.com/office/drawing/2014/main" xmlns="" id="{E5FC6EE6-BF89-4209-9F89-0E7690234569}"/>
                </a:ext>
              </a:extLst>
            </xdr:cNvPr>
            <xdr:cNvGrpSpPr/>
          </xdr:nvGrpSpPr>
          <xdr:grpSpPr>
            <a:xfrm>
              <a:off x="11233121" y="8432625"/>
              <a:ext cx="3347456" cy="366346"/>
              <a:chOff x="11233121" y="8432625"/>
              <a:chExt cx="3347456" cy="366346"/>
            </a:xfrm>
          </xdr:grpSpPr>
          <xdr:pic>
            <xdr:nvPicPr>
              <xdr:cNvPr id="32" name="Graphic 31" descr="Envelope">
                <a:extLst>
                  <a:ext uri="{FF2B5EF4-FFF2-40B4-BE49-F238E27FC236}">
                    <a16:creationId xmlns:a16="http://schemas.microsoft.com/office/drawing/2014/main" xmlns="" id="{7812A2FF-E1FC-444D-A6BF-EA34DAEDCCA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xmlns="" val="0"/>
                  </a:ext>
                  <a:ext uri="{96DAC541-7B7A-43D3-8B79-37D633B846F1}">
                    <asvg:svgBlip xmlns:asvg="http://schemas.microsoft.com/office/drawing/2016/SVG/main" xmlns="" r:embed="rId8"/>
                  </a:ext>
                </a:extLst>
              </a:blip>
              <a:stretch>
                <a:fillRect/>
              </a:stretch>
            </xdr:blipFill>
            <xdr:spPr>
              <a:xfrm>
                <a:off x="11233121" y="8445945"/>
                <a:ext cx="320040" cy="320040"/>
              </a:xfrm>
              <a:prstGeom prst="rect">
                <a:avLst/>
              </a:prstGeom>
            </xdr:spPr>
          </xdr:pic>
          <xdr:sp macro="" textlink="">
            <xdr:nvSpPr>
              <xdr:cNvPr id="33" name="TextBox 32">
                <a:extLst>
                  <a:ext uri="{FF2B5EF4-FFF2-40B4-BE49-F238E27FC236}">
                    <a16:creationId xmlns:a16="http://schemas.microsoft.com/office/drawing/2014/main" xmlns="" id="{329F6E03-25AE-4668-BAF7-4B1894E48BB9}"/>
                  </a:ext>
                </a:extLst>
              </xdr:cNvPr>
              <xdr:cNvSpPr txBox="1"/>
            </xdr:nvSpPr>
            <xdr:spPr bwMode="auto">
              <a:xfrm>
                <a:off x="11561885" y="8432625"/>
                <a:ext cx="3018692" cy="366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800" b="1">
                    <a:latin typeface="Arial" panose="020B0604020202020204" pitchFamily="34" charset="0"/>
                    <a:cs typeface="Arial" panose="020B0604020202020204" pitchFamily="34" charset="0"/>
                  </a:rPr>
                  <a:t>info@kuotestinglabs.com</a:t>
                </a:r>
              </a:p>
            </xdr:txBody>
          </xdr:sp>
        </xdr:grpSp>
      </xdr:grpSp>
    </xdr:grpSp>
    <xdr:clientData/>
  </xdr:twoCellAnchor>
  <xdr:twoCellAnchor>
    <xdr:from>
      <xdr:col>0</xdr:col>
      <xdr:colOff>148648</xdr:colOff>
      <xdr:row>16</xdr:row>
      <xdr:rowOff>73519</xdr:rowOff>
    </xdr:from>
    <xdr:to>
      <xdr:col>7</xdr:col>
      <xdr:colOff>727076</xdr:colOff>
      <xdr:row>51</xdr:row>
      <xdr:rowOff>99291</xdr:rowOff>
    </xdr:to>
    <xdr:grpSp>
      <xdr:nvGrpSpPr>
        <xdr:cNvPr id="36" name="Group 35">
          <a:extLst>
            <a:ext uri="{FF2B5EF4-FFF2-40B4-BE49-F238E27FC236}">
              <a16:creationId xmlns:a16="http://schemas.microsoft.com/office/drawing/2014/main" xmlns="" id="{5C73F44F-F598-4B6F-9B63-5316B88F009C}"/>
            </a:ext>
          </a:extLst>
        </xdr:cNvPr>
        <xdr:cNvGrpSpPr>
          <a:grpSpLocks noChangeAspect="1"/>
        </xdr:cNvGrpSpPr>
      </xdr:nvGrpSpPr>
      <xdr:grpSpPr>
        <a:xfrm>
          <a:off x="148648" y="5185269"/>
          <a:ext cx="6976053" cy="9169772"/>
          <a:chOff x="5004955" y="5102717"/>
          <a:chExt cx="6909955" cy="9150147"/>
        </a:xfrm>
      </xdr:grpSpPr>
      <xdr:graphicFrame macro="">
        <xdr:nvGraphicFramePr>
          <xdr:cNvPr id="37" name="Chart 36">
            <a:extLst>
              <a:ext uri="{FF2B5EF4-FFF2-40B4-BE49-F238E27FC236}">
                <a16:creationId xmlns:a16="http://schemas.microsoft.com/office/drawing/2014/main" xmlns="" id="{C4006737-7AC8-4579-AC71-7265497F39EE}"/>
              </a:ext>
            </a:extLst>
          </xdr:cNvPr>
          <xdr:cNvGraphicFramePr/>
        </xdr:nvGraphicFramePr>
        <xdr:xfrm>
          <a:off x="5004955" y="5512377"/>
          <a:ext cx="6909955" cy="8740487"/>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38" name="TextBox 37">
            <a:extLst>
              <a:ext uri="{FF2B5EF4-FFF2-40B4-BE49-F238E27FC236}">
                <a16:creationId xmlns:a16="http://schemas.microsoft.com/office/drawing/2014/main" xmlns="" id="{246B7145-DE37-43EC-8B4B-A3C09079B6DB}"/>
              </a:ext>
            </a:extLst>
          </xdr:cNvPr>
          <xdr:cNvSpPr txBox="1"/>
        </xdr:nvSpPr>
        <xdr:spPr>
          <a:xfrm>
            <a:off x="6312477" y="5102717"/>
            <a:ext cx="1827069" cy="528145"/>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0">
                <a:latin typeface="Arial" panose="020B0604020202020204" pitchFamily="34" charset="0"/>
                <a:cs typeface="Arial" panose="020B0604020202020204" pitchFamily="34" charset="0"/>
              </a:rPr>
              <a:t>LOW</a:t>
            </a:r>
          </a:p>
        </xdr:txBody>
      </xdr:sp>
      <xdr:sp macro="" textlink="">
        <xdr:nvSpPr>
          <xdr:cNvPr id="39" name="TextBox 38">
            <a:extLst>
              <a:ext uri="{FF2B5EF4-FFF2-40B4-BE49-F238E27FC236}">
                <a16:creationId xmlns:a16="http://schemas.microsoft.com/office/drawing/2014/main" xmlns="" id="{45FA3F3D-AB70-4CC9-80CD-EB00AE0C9696}"/>
              </a:ext>
            </a:extLst>
          </xdr:cNvPr>
          <xdr:cNvSpPr txBox="1"/>
        </xdr:nvSpPr>
        <xdr:spPr>
          <a:xfrm>
            <a:off x="8141501" y="5102719"/>
            <a:ext cx="1827069" cy="528145"/>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0">
                <a:latin typeface="Arial" panose="020B0604020202020204" pitchFamily="34" charset="0"/>
                <a:cs typeface="Arial" panose="020B0604020202020204" pitchFamily="34" charset="0"/>
              </a:rPr>
              <a:t>MEDIUM</a:t>
            </a:r>
          </a:p>
        </xdr:txBody>
      </xdr:sp>
      <xdr:sp macro="" textlink="">
        <xdr:nvSpPr>
          <xdr:cNvPr id="40" name="TextBox 39">
            <a:extLst>
              <a:ext uri="{FF2B5EF4-FFF2-40B4-BE49-F238E27FC236}">
                <a16:creationId xmlns:a16="http://schemas.microsoft.com/office/drawing/2014/main" xmlns="" id="{2F11904B-5098-4679-A8EB-6BF9FEAA3C43}"/>
              </a:ext>
            </a:extLst>
          </xdr:cNvPr>
          <xdr:cNvSpPr txBox="1"/>
        </xdr:nvSpPr>
        <xdr:spPr>
          <a:xfrm>
            <a:off x="9960748" y="5102719"/>
            <a:ext cx="1827069" cy="528145"/>
          </a:xfrm>
          <a:prstGeom prst="rect">
            <a:avLst/>
          </a:prstGeom>
          <a:solidFill>
            <a:srgbClr val="7B7B7B"/>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0">
                <a:latin typeface="Arial" panose="020B0604020202020204" pitchFamily="34" charset="0"/>
                <a:cs typeface="Arial" panose="020B0604020202020204" pitchFamily="34" charset="0"/>
              </a:rPr>
              <a:t>HIGH</a:t>
            </a:r>
          </a:p>
        </xdr:txBody>
      </xdr:sp>
    </xdr:grpSp>
    <xdr:clientData/>
  </xdr:twoCellAnchor>
  <xdr:twoCellAnchor editAs="oneCell">
    <xdr:from>
      <xdr:col>6</xdr:col>
      <xdr:colOff>394857</xdr:colOff>
      <xdr:row>72</xdr:row>
      <xdr:rowOff>72153</xdr:rowOff>
    </xdr:from>
    <xdr:to>
      <xdr:col>16</xdr:col>
      <xdr:colOff>45605</xdr:colOff>
      <xdr:row>78</xdr:row>
      <xdr:rowOff>59919</xdr:rowOff>
    </xdr:to>
    <xdr:sp macro="" textlink="">
      <xdr:nvSpPr>
        <xdr:cNvPr id="41" name="TextBox 40">
          <a:extLst>
            <a:ext uri="{FF2B5EF4-FFF2-40B4-BE49-F238E27FC236}">
              <a16:creationId xmlns:a16="http://schemas.microsoft.com/office/drawing/2014/main" xmlns="" id="{E288A67B-DF8E-46EB-B789-DEECF656F001}"/>
            </a:ext>
          </a:extLst>
        </xdr:cNvPr>
        <xdr:cNvSpPr txBox="1"/>
      </xdr:nvSpPr>
      <xdr:spPr bwMode="auto">
        <a:xfrm>
          <a:off x="5957457" y="19522203"/>
          <a:ext cx="7708898" cy="1130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tx1"/>
              </a:solidFill>
              <a:effectLst/>
              <a:latin typeface="Arial" panose="020B0604020202020204" pitchFamily="34" charset="0"/>
              <a:ea typeface="+mn-ea"/>
              <a:cs typeface="Arial" panose="020B0604020202020204" pitchFamily="34" charset="0"/>
            </a:rPr>
            <a:t>KTL</a:t>
          </a:r>
          <a:r>
            <a:rPr lang="en-US" sz="1400" baseline="0">
              <a:solidFill>
                <a:schemeClr val="tx1"/>
              </a:solidFill>
              <a:effectLst/>
              <a:latin typeface="Arial" panose="020B0604020202020204" pitchFamily="34" charset="0"/>
              <a:ea typeface="+mn-ea"/>
              <a:cs typeface="Arial" panose="020B0604020202020204" pitchFamily="34" charset="0"/>
            </a:rPr>
            <a:t> will make every effort to provide an accurate analysis. Liability is limited to the cost of the analysis and no other warranties, expressed or implied are given. Recommendations serve only as a general guide and should be adjusted to specific situations and conditions.</a:t>
          </a:r>
          <a:endParaRPr lang="en-US" sz="1400">
            <a:effectLst/>
            <a:latin typeface="Arial" panose="020B0604020202020204" pitchFamily="34" charset="0"/>
            <a:cs typeface="Arial" panose="020B0604020202020204" pitchFamily="34" charset="0"/>
          </a:endParaRPr>
        </a:p>
      </xdr:txBody>
    </xdr:sp>
    <xdr:clientData/>
  </xdr:twoCellAnchor>
  <xdr:twoCellAnchor editAs="oneCell">
    <xdr:from>
      <xdr:col>10</xdr:col>
      <xdr:colOff>260350</xdr:colOff>
      <xdr:row>0</xdr:row>
      <xdr:rowOff>25400</xdr:rowOff>
    </xdr:from>
    <xdr:to>
      <xdr:col>16</xdr:col>
      <xdr:colOff>371873</xdr:colOff>
      <xdr:row>7</xdr:row>
      <xdr:rowOff>158750</xdr:rowOff>
    </xdr:to>
    <xdr:pic>
      <xdr:nvPicPr>
        <xdr:cNvPr id="42" name="Picture 41">
          <a:extLst>
            <a:ext uri="{FF2B5EF4-FFF2-40B4-BE49-F238E27FC236}">
              <a16:creationId xmlns:a16="http://schemas.microsoft.com/office/drawing/2014/main" xmlns="" id="{34373843-849D-47A6-996A-A9285912C78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xmlns="" val="0"/>
            </a:ext>
          </a:extLst>
        </a:blip>
        <a:stretch>
          <a:fillRect/>
        </a:stretch>
      </xdr:blipFill>
      <xdr:spPr>
        <a:xfrm>
          <a:off x="9137650" y="25400"/>
          <a:ext cx="4854973" cy="2371725"/>
        </a:xfrm>
        <a:prstGeom prst="rect">
          <a:avLst/>
        </a:prstGeom>
      </xdr:spPr>
    </xdr:pic>
    <xdr:clientData/>
  </xdr:twoCellAnchor>
  <xdr:twoCellAnchor editAs="oneCell">
    <xdr:from>
      <xdr:col>0</xdr:col>
      <xdr:colOff>155575</xdr:colOff>
      <xdr:row>71</xdr:row>
      <xdr:rowOff>82550</xdr:rowOff>
    </xdr:from>
    <xdr:to>
      <xdr:col>1</xdr:col>
      <xdr:colOff>447675</xdr:colOff>
      <xdr:row>81</xdr:row>
      <xdr:rowOff>25400</xdr:rowOff>
    </xdr:to>
    <xdr:pic>
      <xdr:nvPicPr>
        <xdr:cNvPr id="43" name="Picture 42">
          <a:extLst>
            <a:ext uri="{FF2B5EF4-FFF2-40B4-BE49-F238E27FC236}">
              <a16:creationId xmlns:a16="http://schemas.microsoft.com/office/drawing/2014/main" xmlns="" id="{34735387-5637-4765-AD26-1C90A58DA35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155575" y="19332575"/>
          <a:ext cx="1377950" cy="1857375"/>
        </a:xfrm>
        <a:prstGeom prst="rect">
          <a:avLst/>
        </a:prstGeom>
      </xdr:spPr>
    </xdr:pic>
    <xdr:clientData/>
  </xdr:twoCellAnchor>
  <xdr:twoCellAnchor editAs="oneCell">
    <xdr:from>
      <xdr:col>2</xdr:col>
      <xdr:colOff>0</xdr:colOff>
      <xdr:row>72</xdr:row>
      <xdr:rowOff>104775</xdr:rowOff>
    </xdr:from>
    <xdr:to>
      <xdr:col>3</xdr:col>
      <xdr:colOff>942621</xdr:colOff>
      <xdr:row>80</xdr:row>
      <xdr:rowOff>144691</xdr:rowOff>
    </xdr:to>
    <xdr:pic>
      <xdr:nvPicPr>
        <xdr:cNvPr id="44" name="Picture 43" descr="http://kuotestinglabs.com/project/uploads/2016/03/ALP-Logo.jpg">
          <a:extLst>
            <a:ext uri="{FF2B5EF4-FFF2-40B4-BE49-F238E27FC236}">
              <a16:creationId xmlns:a16="http://schemas.microsoft.com/office/drawing/2014/main" xmlns="" id="{357F780C-9173-461F-B2F6-79D1D6C2E464}"/>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xmlns="" val="0"/>
            </a:ext>
          </a:extLst>
        </a:blip>
        <a:srcRect/>
        <a:stretch>
          <a:fillRect/>
        </a:stretch>
      </xdr:blipFill>
      <xdr:spPr bwMode="auto">
        <a:xfrm>
          <a:off x="1581150" y="19554825"/>
          <a:ext cx="1437921" cy="156391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73219</xdr:colOff>
      <xdr:row>24</xdr:row>
      <xdr:rowOff>57440</xdr:rowOff>
    </xdr:from>
    <xdr:to>
      <xdr:col>24</xdr:col>
      <xdr:colOff>361085</xdr:colOff>
      <xdr:row>63</xdr:row>
      <xdr:rowOff>148098</xdr:rowOff>
    </xdr:to>
    <xdr:grpSp>
      <xdr:nvGrpSpPr>
        <xdr:cNvPr id="2" name="Group 1">
          <a:extLst>
            <a:ext uri="{FF2B5EF4-FFF2-40B4-BE49-F238E27FC236}">
              <a16:creationId xmlns:a16="http://schemas.microsoft.com/office/drawing/2014/main" xmlns="" id="{0A975D2F-E1F1-4B44-987B-58E4684FA487}"/>
            </a:ext>
          </a:extLst>
        </xdr:cNvPr>
        <xdr:cNvGrpSpPr/>
      </xdr:nvGrpSpPr>
      <xdr:grpSpPr>
        <a:xfrm>
          <a:off x="12027094" y="7852065"/>
          <a:ext cx="9638241" cy="9520408"/>
          <a:chOff x="7707362" y="7175212"/>
          <a:chExt cx="7307502" cy="9459795"/>
        </a:xfrm>
      </xdr:grpSpPr>
      <xdr:grpSp>
        <xdr:nvGrpSpPr>
          <xdr:cNvPr id="3" name="Group 2">
            <a:extLst>
              <a:ext uri="{FF2B5EF4-FFF2-40B4-BE49-F238E27FC236}">
                <a16:creationId xmlns:a16="http://schemas.microsoft.com/office/drawing/2014/main" xmlns="" id="{39C9A8EC-98AF-472B-A549-48B879A9C93C}"/>
              </a:ext>
            </a:extLst>
          </xdr:cNvPr>
          <xdr:cNvGrpSpPr/>
        </xdr:nvGrpSpPr>
        <xdr:grpSpPr>
          <a:xfrm>
            <a:off x="7707362" y="10901757"/>
            <a:ext cx="7307502" cy="5733250"/>
            <a:chOff x="4834493" y="2979506"/>
            <a:chExt cx="4436731" cy="2501445"/>
          </a:xfrm>
        </xdr:grpSpPr>
        <xdr:grpSp>
          <xdr:nvGrpSpPr>
            <xdr:cNvPr id="19" name="Group 18">
              <a:extLst>
                <a:ext uri="{FF2B5EF4-FFF2-40B4-BE49-F238E27FC236}">
                  <a16:creationId xmlns:a16="http://schemas.microsoft.com/office/drawing/2014/main" xmlns="" id="{16384955-7283-4DE4-9C24-FBAA5E4C8264}"/>
                </a:ext>
              </a:extLst>
            </xdr:cNvPr>
            <xdr:cNvGrpSpPr/>
          </xdr:nvGrpSpPr>
          <xdr:grpSpPr>
            <a:xfrm>
              <a:off x="4834493" y="2979506"/>
              <a:ext cx="4436731" cy="2501445"/>
              <a:chOff x="8818833" y="2452263"/>
              <a:chExt cx="4554064" cy="2725617"/>
            </a:xfrm>
          </xdr:grpSpPr>
          <xdr:grpSp>
            <xdr:nvGrpSpPr>
              <xdr:cNvPr id="23" name="Group 22">
                <a:extLst>
                  <a:ext uri="{FF2B5EF4-FFF2-40B4-BE49-F238E27FC236}">
                    <a16:creationId xmlns:a16="http://schemas.microsoft.com/office/drawing/2014/main" xmlns="" id="{BBAD4C93-2520-4C26-A596-F08AEED09A02}"/>
                  </a:ext>
                </a:extLst>
              </xdr:cNvPr>
              <xdr:cNvGrpSpPr/>
            </xdr:nvGrpSpPr>
            <xdr:grpSpPr>
              <a:xfrm>
                <a:off x="8818833" y="2452263"/>
                <a:ext cx="4554064" cy="2725617"/>
                <a:chOff x="27497484" y="2038988"/>
                <a:chExt cx="4572000" cy="2809237"/>
              </a:xfrm>
            </xdr:grpSpPr>
            <xdr:graphicFrame macro="">
              <xdr:nvGraphicFramePr>
                <xdr:cNvPr id="25" name="Chart 24">
                  <a:extLst>
                    <a:ext uri="{FF2B5EF4-FFF2-40B4-BE49-F238E27FC236}">
                      <a16:creationId xmlns:a16="http://schemas.microsoft.com/office/drawing/2014/main" xmlns="" id="{ABD7B198-02A0-43FD-B7AA-AAA36313D367}"/>
                    </a:ext>
                  </a:extLst>
                </xdr:cNvPr>
                <xdr:cNvGraphicFramePr/>
              </xdr:nvGraphicFramePr>
              <xdr:xfrm>
                <a:off x="27497484" y="21050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6" name="Chart 25">
                  <a:extLst>
                    <a:ext uri="{FF2B5EF4-FFF2-40B4-BE49-F238E27FC236}">
                      <a16:creationId xmlns:a16="http://schemas.microsoft.com/office/drawing/2014/main" xmlns="" id="{69EC2180-2933-4533-8F96-0C5D70BDC3A3}"/>
                    </a:ext>
                  </a:extLst>
                </xdr:cNvPr>
                <xdr:cNvGraphicFramePr/>
              </xdr:nvGraphicFramePr>
              <xdr:xfrm>
                <a:off x="27810065" y="2038988"/>
                <a:ext cx="3733040" cy="2743201"/>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24" name="TextBox 23">
                <a:extLst>
                  <a:ext uri="{FF2B5EF4-FFF2-40B4-BE49-F238E27FC236}">
                    <a16:creationId xmlns:a16="http://schemas.microsoft.com/office/drawing/2014/main" xmlns="" id="{5D018579-07F1-469A-AD52-0553A1717E73}"/>
                  </a:ext>
                </a:extLst>
              </xdr:cNvPr>
              <xdr:cNvSpPr txBox="1"/>
            </xdr:nvSpPr>
            <xdr:spPr>
              <a:xfrm>
                <a:off x="10091898" y="3865846"/>
                <a:ext cx="2016862" cy="212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latin typeface="Arial" panose="020B0604020202020204" pitchFamily="34" charset="0"/>
                    <a:cs typeface="Arial" panose="020B0604020202020204" pitchFamily="34" charset="0"/>
                  </a:rPr>
                  <a:t>Soluble Salts (1:1)</a:t>
                </a:r>
              </a:p>
            </xdr:txBody>
          </xdr:sp>
        </xdr:grpSp>
        <xdr:sp macro="" textlink="">
          <xdr:nvSpPr>
            <xdr:cNvPr id="20" name="TextBox 19">
              <a:extLst>
                <a:ext uri="{FF2B5EF4-FFF2-40B4-BE49-F238E27FC236}">
                  <a16:creationId xmlns:a16="http://schemas.microsoft.com/office/drawing/2014/main" xmlns="" id="{AA8B44E5-1BC4-43F4-AC07-AF68165BB4E6}"/>
                </a:ext>
              </a:extLst>
            </xdr:cNvPr>
            <xdr:cNvSpPr txBox="1"/>
          </xdr:nvSpPr>
          <xdr:spPr>
            <a:xfrm rot="18312035">
              <a:off x="5915339" y="3584140"/>
              <a:ext cx="668009" cy="280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solidFill>
                    <a:schemeClr val="bg1"/>
                  </a:solidFill>
                  <a:latin typeface="Arial" panose="020B0604020202020204" pitchFamily="34" charset="0"/>
                  <a:cs typeface="Arial" panose="020B0604020202020204" pitchFamily="34" charset="0"/>
                </a:rPr>
                <a:t>Excellent</a:t>
              </a:r>
            </a:p>
          </xdr:txBody>
        </xdr:sp>
        <xdr:sp macro="" textlink="">
          <xdr:nvSpPr>
            <xdr:cNvPr id="21" name="TextBox 20">
              <a:extLst>
                <a:ext uri="{FF2B5EF4-FFF2-40B4-BE49-F238E27FC236}">
                  <a16:creationId xmlns:a16="http://schemas.microsoft.com/office/drawing/2014/main" xmlns="" id="{1BF9417A-4D55-4249-8415-6A89B09EC030}"/>
                </a:ext>
              </a:extLst>
            </xdr:cNvPr>
            <xdr:cNvSpPr txBox="1"/>
          </xdr:nvSpPr>
          <xdr:spPr>
            <a:xfrm>
              <a:off x="6698241" y="3262161"/>
              <a:ext cx="711636" cy="155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bg1"/>
                  </a:solidFill>
                  <a:latin typeface="Arial" panose="020B0604020202020204" pitchFamily="34" charset="0"/>
                  <a:cs typeface="Arial" panose="020B0604020202020204" pitchFamily="34" charset="0"/>
                </a:rPr>
                <a:t>Acceptable</a:t>
              </a:r>
            </a:p>
          </xdr:txBody>
        </xdr:sp>
        <xdr:sp macro="" textlink="">
          <xdr:nvSpPr>
            <xdr:cNvPr id="22" name="TextBox 21">
              <a:extLst>
                <a:ext uri="{FF2B5EF4-FFF2-40B4-BE49-F238E27FC236}">
                  <a16:creationId xmlns:a16="http://schemas.microsoft.com/office/drawing/2014/main" xmlns="" id="{D677D1C9-6A5E-457A-8BC7-5070A6881603}"/>
                </a:ext>
              </a:extLst>
            </xdr:cNvPr>
            <xdr:cNvSpPr txBox="1"/>
          </xdr:nvSpPr>
          <xdr:spPr>
            <a:xfrm rot="3453356">
              <a:off x="7693250" y="3693563"/>
              <a:ext cx="567771" cy="156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bg1"/>
                  </a:solidFill>
                  <a:latin typeface="Arial" panose="020B0604020202020204" pitchFamily="34" charset="0"/>
                  <a:cs typeface="Arial" panose="020B0604020202020204" pitchFamily="34" charset="0"/>
                </a:rPr>
                <a:t>Excessive</a:t>
              </a:r>
            </a:p>
          </xdr:txBody>
        </xdr:sp>
      </xdr:grpSp>
      <xdr:grpSp>
        <xdr:nvGrpSpPr>
          <xdr:cNvPr id="4" name="Group 3">
            <a:extLst>
              <a:ext uri="{FF2B5EF4-FFF2-40B4-BE49-F238E27FC236}">
                <a16:creationId xmlns:a16="http://schemas.microsoft.com/office/drawing/2014/main" xmlns="" id="{167BED86-7127-465E-A5AE-2E369BE4D3CA}"/>
              </a:ext>
            </a:extLst>
          </xdr:cNvPr>
          <xdr:cNvGrpSpPr/>
        </xdr:nvGrpSpPr>
        <xdr:grpSpPr>
          <a:xfrm>
            <a:off x="8531820" y="7175212"/>
            <a:ext cx="5832743" cy="5968489"/>
            <a:chOff x="8329794" y="8845715"/>
            <a:chExt cx="4556510" cy="2620281"/>
          </a:xfrm>
        </xdr:grpSpPr>
        <xdr:grpSp>
          <xdr:nvGrpSpPr>
            <xdr:cNvPr id="5" name="Group 4">
              <a:extLst>
                <a:ext uri="{FF2B5EF4-FFF2-40B4-BE49-F238E27FC236}">
                  <a16:creationId xmlns:a16="http://schemas.microsoft.com/office/drawing/2014/main" xmlns="" id="{DEE677D9-35D1-4B6C-B79B-D294E75813E5}"/>
                </a:ext>
              </a:extLst>
            </xdr:cNvPr>
            <xdr:cNvGrpSpPr/>
          </xdr:nvGrpSpPr>
          <xdr:grpSpPr>
            <a:xfrm>
              <a:off x="8329794" y="8845715"/>
              <a:ext cx="4556510" cy="2620281"/>
              <a:chOff x="8818835" y="2342616"/>
              <a:chExt cx="4657146" cy="2835260"/>
            </a:xfrm>
          </xdr:grpSpPr>
          <xdr:grpSp>
            <xdr:nvGrpSpPr>
              <xdr:cNvPr id="10" name="Group 9">
                <a:extLst>
                  <a:ext uri="{FF2B5EF4-FFF2-40B4-BE49-F238E27FC236}">
                    <a16:creationId xmlns:a16="http://schemas.microsoft.com/office/drawing/2014/main" xmlns="" id="{B91953FD-0A3B-4165-A7CA-57618D7AC557}"/>
                  </a:ext>
                </a:extLst>
              </xdr:cNvPr>
              <xdr:cNvGrpSpPr/>
            </xdr:nvGrpSpPr>
            <xdr:grpSpPr>
              <a:xfrm>
                <a:off x="8818835" y="2342616"/>
                <a:ext cx="4657146" cy="2835260"/>
                <a:chOff x="18623568" y="3864909"/>
                <a:chExt cx="4656976" cy="2808729"/>
              </a:xfrm>
            </xdr:grpSpPr>
            <xdr:grpSp>
              <xdr:nvGrpSpPr>
                <xdr:cNvPr id="12" name="Group 11">
                  <a:extLst>
                    <a:ext uri="{FF2B5EF4-FFF2-40B4-BE49-F238E27FC236}">
                      <a16:creationId xmlns:a16="http://schemas.microsoft.com/office/drawing/2014/main" xmlns="" id="{1B2080D8-654A-47CD-9C62-58011A74B9D0}"/>
                    </a:ext>
                  </a:extLst>
                </xdr:cNvPr>
                <xdr:cNvGrpSpPr/>
              </xdr:nvGrpSpPr>
              <xdr:grpSpPr>
                <a:xfrm>
                  <a:off x="18623568" y="3864909"/>
                  <a:ext cx="4656976" cy="2808729"/>
                  <a:chOff x="27497485" y="1925979"/>
                  <a:chExt cx="4675488" cy="2922245"/>
                </a:xfrm>
              </xdr:grpSpPr>
              <xdr:graphicFrame macro="">
                <xdr:nvGraphicFramePr>
                  <xdr:cNvPr id="17" name="Chart 16">
                    <a:extLst>
                      <a:ext uri="{FF2B5EF4-FFF2-40B4-BE49-F238E27FC236}">
                        <a16:creationId xmlns:a16="http://schemas.microsoft.com/office/drawing/2014/main" xmlns="" id="{748A06C6-3232-4869-B9D1-E0FCD76C41BC}"/>
                      </a:ext>
                    </a:extLst>
                  </xdr:cNvPr>
                  <xdr:cNvGraphicFramePr/>
                </xdr:nvGraphicFramePr>
                <xdr:xfrm>
                  <a:off x="27497485" y="2105025"/>
                  <a:ext cx="4572000" cy="274319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8" name="Chart 17">
                    <a:extLst>
                      <a:ext uri="{FF2B5EF4-FFF2-40B4-BE49-F238E27FC236}">
                        <a16:creationId xmlns:a16="http://schemas.microsoft.com/office/drawing/2014/main" xmlns="" id="{1BE4A5FD-6798-443A-A731-A1621F63BA74}"/>
                      </a:ext>
                    </a:extLst>
                  </xdr:cNvPr>
                  <xdr:cNvGraphicFramePr/>
                </xdr:nvGraphicFramePr>
                <xdr:xfrm>
                  <a:off x="27600972" y="1925979"/>
                  <a:ext cx="4572001" cy="274320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13" name="Group 12">
                  <a:extLst>
                    <a:ext uri="{FF2B5EF4-FFF2-40B4-BE49-F238E27FC236}">
                      <a16:creationId xmlns:a16="http://schemas.microsoft.com/office/drawing/2014/main" xmlns="" id="{B00FABE3-DE28-4F52-B4E6-443861563D35}"/>
                    </a:ext>
                  </a:extLst>
                </xdr:cNvPr>
                <xdr:cNvGrpSpPr/>
              </xdr:nvGrpSpPr>
              <xdr:grpSpPr>
                <a:xfrm>
                  <a:off x="19525411" y="4046592"/>
                  <a:ext cx="2585608" cy="1275176"/>
                  <a:chOff x="19525411" y="4046592"/>
                  <a:chExt cx="2585608" cy="1275176"/>
                </a:xfrm>
              </xdr:grpSpPr>
              <xdr:sp macro="" textlink="$DX$4">
                <xdr:nvSpPr>
                  <xdr:cNvPr id="14" name="TextBox 13">
                    <a:extLst>
                      <a:ext uri="{FF2B5EF4-FFF2-40B4-BE49-F238E27FC236}">
                        <a16:creationId xmlns:a16="http://schemas.microsoft.com/office/drawing/2014/main" xmlns="" id="{98BA19BD-6775-471A-A213-35C8737BBC40}"/>
                      </a:ext>
                    </a:extLst>
                  </xdr:cNvPr>
                  <xdr:cNvSpPr txBox="1"/>
                </xdr:nvSpPr>
                <xdr:spPr>
                  <a:xfrm>
                    <a:off x="21960418" y="5154467"/>
                    <a:ext cx="150601" cy="167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4488E3F-C290-4C9D-8AD6-998298B335A9}" type="TxLink">
                      <a:rPr lang="en-US" sz="1800" b="1" i="0" u="none" strike="noStrike">
                        <a:solidFill>
                          <a:srgbClr val="000000"/>
                        </a:solidFill>
                        <a:latin typeface="Arial"/>
                        <a:cs typeface="Arial"/>
                      </a:rPr>
                      <a:pPr/>
                      <a:t> </a:t>
                    </a:fld>
                    <a:endParaRPr lang="en-US" sz="2400" b="1">
                      <a:latin typeface="Arial" panose="020B0604020202020204" pitchFamily="34" charset="0"/>
                      <a:cs typeface="Arial" panose="020B0604020202020204" pitchFamily="34" charset="0"/>
                    </a:endParaRPr>
                  </a:p>
                </xdr:txBody>
              </xdr:sp>
              <xdr:sp macro="" textlink="$DY$4">
                <xdr:nvSpPr>
                  <xdr:cNvPr id="15" name="TextBox 14">
                    <a:extLst>
                      <a:ext uri="{FF2B5EF4-FFF2-40B4-BE49-F238E27FC236}">
                        <a16:creationId xmlns:a16="http://schemas.microsoft.com/office/drawing/2014/main" xmlns="" id="{0C1E98CE-45E6-41BC-817C-5EBB55587CE2}"/>
                      </a:ext>
                    </a:extLst>
                  </xdr:cNvPr>
                  <xdr:cNvSpPr txBox="1"/>
                </xdr:nvSpPr>
                <xdr:spPr>
                  <a:xfrm>
                    <a:off x="19525411" y="5154376"/>
                    <a:ext cx="150601" cy="167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EA671CF-CD20-403F-9A50-8ED7D2543331}" type="TxLink">
                      <a:rPr lang="en-US" sz="1800" b="1" i="0" u="none" strike="noStrike">
                        <a:solidFill>
                          <a:srgbClr val="000000"/>
                        </a:solidFill>
                        <a:latin typeface="Arial" panose="020B0604020202020204" pitchFamily="34" charset="0"/>
                        <a:cs typeface="Arial" panose="020B0604020202020204" pitchFamily="34" charset="0"/>
                      </a:rPr>
                      <a:pPr/>
                      <a:t> </a:t>
                    </a:fld>
                    <a:endParaRPr lang="en-US" sz="2400" b="1">
                      <a:latin typeface="Arial" panose="020B0604020202020204" pitchFamily="34" charset="0"/>
                      <a:cs typeface="Arial" panose="020B0604020202020204" pitchFamily="34" charset="0"/>
                    </a:endParaRPr>
                  </a:p>
                </xdr:txBody>
              </xdr:sp>
              <xdr:sp macro="" textlink="">
                <xdr:nvSpPr>
                  <xdr:cNvPr id="16" name="TextBox 15">
                    <a:extLst>
                      <a:ext uri="{FF2B5EF4-FFF2-40B4-BE49-F238E27FC236}">
                        <a16:creationId xmlns:a16="http://schemas.microsoft.com/office/drawing/2014/main" xmlns="" id="{606CBA9A-0EB6-424F-9B55-4795A72469CA}"/>
                      </a:ext>
                    </a:extLst>
                  </xdr:cNvPr>
                  <xdr:cNvSpPr txBox="1"/>
                </xdr:nvSpPr>
                <xdr:spPr>
                  <a:xfrm>
                    <a:off x="19818304" y="4046592"/>
                    <a:ext cx="386387" cy="168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latin typeface="Arial" panose="020B0604020202020204" pitchFamily="34" charset="0"/>
                        <a:cs typeface="Arial" panose="020B0604020202020204" pitchFamily="34" charset="0"/>
                      </a:rPr>
                      <a:t>5</a:t>
                    </a:r>
                  </a:p>
                </xdr:txBody>
              </xdr:sp>
            </xdr:grpSp>
          </xdr:grpSp>
          <xdr:sp macro="" textlink="">
            <xdr:nvSpPr>
              <xdr:cNvPr id="11" name="TextBox 10">
                <a:extLst>
                  <a:ext uri="{FF2B5EF4-FFF2-40B4-BE49-F238E27FC236}">
                    <a16:creationId xmlns:a16="http://schemas.microsoft.com/office/drawing/2014/main" xmlns="" id="{BDD66263-AF90-40A2-BECA-EA7B9BA50366}"/>
                  </a:ext>
                </a:extLst>
              </xdr:cNvPr>
              <xdr:cNvSpPr txBox="1"/>
            </xdr:nvSpPr>
            <xdr:spPr>
              <a:xfrm>
                <a:off x="10356022" y="3889631"/>
                <a:ext cx="1271202" cy="210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a:latin typeface="Arial" panose="020B0604020202020204" pitchFamily="34" charset="0"/>
                    <a:cs typeface="Arial" panose="020B0604020202020204" pitchFamily="34" charset="0"/>
                  </a:rPr>
                  <a:t>Soil pH (1:2)</a:t>
                </a:r>
              </a:p>
            </xdr:txBody>
          </xdr:sp>
        </xdr:grpSp>
        <xdr:sp macro="" textlink="">
          <xdr:nvSpPr>
            <xdr:cNvPr id="6" name="TextBox 5">
              <a:extLst>
                <a:ext uri="{FF2B5EF4-FFF2-40B4-BE49-F238E27FC236}">
                  <a16:creationId xmlns:a16="http://schemas.microsoft.com/office/drawing/2014/main" xmlns="" id="{071B7CAC-6ABA-4F7B-A880-83DA2A7E90FF}"/>
                </a:ext>
              </a:extLst>
            </xdr:cNvPr>
            <xdr:cNvSpPr txBox="1"/>
          </xdr:nvSpPr>
          <xdr:spPr>
            <a:xfrm rot="2998136">
              <a:off x="11268340" y="9573731"/>
              <a:ext cx="774057" cy="288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latin typeface="Arial" panose="020B0604020202020204" pitchFamily="34" charset="0"/>
                  <a:cs typeface="Arial" panose="020B0604020202020204" pitchFamily="34" charset="0"/>
                </a:rPr>
                <a:t>Alkaline &gt;8.3</a:t>
              </a:r>
            </a:p>
          </xdr:txBody>
        </xdr:sp>
        <xdr:sp macro="" textlink="">
          <xdr:nvSpPr>
            <xdr:cNvPr id="7" name="TextBox 6">
              <a:extLst>
                <a:ext uri="{FF2B5EF4-FFF2-40B4-BE49-F238E27FC236}">
                  <a16:creationId xmlns:a16="http://schemas.microsoft.com/office/drawing/2014/main" xmlns="" id="{8EE7C237-377A-4C25-816D-79C990BE6AD3}"/>
                </a:ext>
              </a:extLst>
            </xdr:cNvPr>
            <xdr:cNvSpPr txBox="1"/>
          </xdr:nvSpPr>
          <xdr:spPr>
            <a:xfrm rot="18463133">
              <a:off x="9196705" y="9541831"/>
              <a:ext cx="663442" cy="288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latin typeface="Arial" panose="020B0604020202020204" pitchFamily="34" charset="0"/>
                  <a:cs typeface="Arial" panose="020B0604020202020204" pitchFamily="34" charset="0"/>
                </a:rPr>
                <a:t>Acidic &lt;5</a:t>
              </a:r>
            </a:p>
          </xdr:txBody>
        </xdr:sp>
        <xdr:sp macro="" textlink="">
          <xdr:nvSpPr>
            <xdr:cNvPr id="8" name="TextBox 7">
              <a:extLst>
                <a:ext uri="{FF2B5EF4-FFF2-40B4-BE49-F238E27FC236}">
                  <a16:creationId xmlns:a16="http://schemas.microsoft.com/office/drawing/2014/main" xmlns="" id="{63324336-1EF2-4E5C-A2DB-7D1B1A250A30}"/>
                </a:ext>
              </a:extLst>
            </xdr:cNvPr>
            <xdr:cNvSpPr txBox="1"/>
          </xdr:nvSpPr>
          <xdr:spPr>
            <a:xfrm>
              <a:off x="10410481" y="889612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latin typeface="Arial" panose="020B0604020202020204" pitchFamily="34" charset="0"/>
                  <a:cs typeface="Arial" panose="020B0604020202020204" pitchFamily="34" charset="0"/>
                </a:rPr>
                <a:t>7</a:t>
              </a:r>
            </a:p>
          </xdr:txBody>
        </xdr:sp>
        <xdr:sp macro="" textlink="">
          <xdr:nvSpPr>
            <xdr:cNvPr id="9" name="TextBox 8">
              <a:extLst>
                <a:ext uri="{FF2B5EF4-FFF2-40B4-BE49-F238E27FC236}">
                  <a16:creationId xmlns:a16="http://schemas.microsoft.com/office/drawing/2014/main" xmlns="" id="{4EC0312E-A667-46A8-9F91-7FDD616DDC4A}"/>
                </a:ext>
              </a:extLst>
            </xdr:cNvPr>
            <xdr:cNvSpPr txBox="1"/>
          </xdr:nvSpPr>
          <xdr:spPr>
            <a:xfrm>
              <a:off x="11126573" y="8973855"/>
              <a:ext cx="4798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latin typeface="Arial" panose="020B0604020202020204" pitchFamily="34" charset="0"/>
                  <a:cs typeface="Arial" panose="020B0604020202020204" pitchFamily="34" charset="0"/>
                </a:rPr>
                <a:t>8.3</a:t>
              </a:r>
            </a:p>
          </xdr:txBody>
        </xdr:sp>
      </xdr:grpSp>
    </xdr:grpSp>
    <xdr:clientData/>
  </xdr:twoCellAnchor>
  <xdr:twoCellAnchor>
    <xdr:from>
      <xdr:col>18</xdr:col>
      <xdr:colOff>388725</xdr:colOff>
      <xdr:row>71</xdr:row>
      <xdr:rowOff>166860</xdr:rowOff>
    </xdr:from>
    <xdr:to>
      <xdr:col>24</xdr:col>
      <xdr:colOff>1450388</xdr:colOff>
      <xdr:row>79</xdr:row>
      <xdr:rowOff>93791</xdr:rowOff>
    </xdr:to>
    <xdr:grpSp>
      <xdr:nvGrpSpPr>
        <xdr:cNvPr id="27" name="Group 26">
          <a:extLst>
            <a:ext uri="{FF2B5EF4-FFF2-40B4-BE49-F238E27FC236}">
              <a16:creationId xmlns:a16="http://schemas.microsoft.com/office/drawing/2014/main" xmlns="" id="{6197B8DC-B1A2-42BD-A086-5AD129B7E812}"/>
            </a:ext>
          </a:extLst>
        </xdr:cNvPr>
        <xdr:cNvGrpSpPr/>
      </xdr:nvGrpSpPr>
      <xdr:grpSpPr>
        <a:xfrm>
          <a:off x="15708100" y="19677235"/>
          <a:ext cx="7046538" cy="1466806"/>
          <a:chOff x="9040093" y="19027800"/>
          <a:chExt cx="6402033" cy="1474599"/>
        </a:xfrm>
      </xdr:grpSpPr>
      <xdr:sp macro="" textlink="">
        <xdr:nvSpPr>
          <xdr:cNvPr id="28" name="TextBox 27">
            <a:extLst>
              <a:ext uri="{FF2B5EF4-FFF2-40B4-BE49-F238E27FC236}">
                <a16:creationId xmlns:a16="http://schemas.microsoft.com/office/drawing/2014/main" xmlns="" id="{DBA7CAA2-4619-4B43-872A-AA4C472BB14E}"/>
              </a:ext>
            </a:extLst>
          </xdr:cNvPr>
          <xdr:cNvSpPr txBox="1"/>
        </xdr:nvSpPr>
        <xdr:spPr bwMode="auto">
          <a:xfrm>
            <a:off x="9040093" y="19027800"/>
            <a:ext cx="6402033" cy="1073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b="1" baseline="0">
                <a:latin typeface="Arial" panose="020B0604020202020204" pitchFamily="34" charset="0"/>
                <a:cs typeface="Arial" panose="020B0604020202020204" pitchFamily="34" charset="0"/>
              </a:rPr>
              <a:t>Main Office: 	119 E Main St., Othello WA, 99344</a:t>
            </a:r>
          </a:p>
          <a:p>
            <a:pPr algn="l">
              <a:lnSpc>
                <a:spcPct val="150000"/>
              </a:lnSpc>
            </a:pPr>
            <a:r>
              <a:rPr lang="en-US" sz="1800" b="1" baseline="0">
                <a:latin typeface="Arial" panose="020B0604020202020204" pitchFamily="34" charset="0"/>
                <a:cs typeface="Arial" panose="020B0604020202020204" pitchFamily="34" charset="0"/>
              </a:rPr>
              <a:t>Oregon Office: 	1300 Sixth St., Suite J, Umatilla OR, 97882</a:t>
            </a:r>
          </a:p>
          <a:p>
            <a:pPr algn="l"/>
            <a:r>
              <a:rPr lang="en-US" sz="1800" b="1" baseline="0">
                <a:latin typeface="Arial" panose="020B0604020202020204" pitchFamily="34" charset="0"/>
                <a:cs typeface="Arial" panose="020B0604020202020204" pitchFamily="34" charset="0"/>
              </a:rPr>
              <a:t>Pasco Office: 	1320 E Spokane St., Pasco WA, 99301</a:t>
            </a:r>
            <a:endParaRPr lang="en-US" sz="1800" b="1">
              <a:latin typeface="Arial" panose="020B0604020202020204" pitchFamily="34" charset="0"/>
              <a:cs typeface="Arial" panose="020B0604020202020204" pitchFamily="34" charset="0"/>
            </a:endParaRPr>
          </a:p>
        </xdr:txBody>
      </xdr:sp>
      <xdr:grpSp>
        <xdr:nvGrpSpPr>
          <xdr:cNvPr id="29" name="Group 28">
            <a:extLst>
              <a:ext uri="{FF2B5EF4-FFF2-40B4-BE49-F238E27FC236}">
                <a16:creationId xmlns:a16="http://schemas.microsoft.com/office/drawing/2014/main" xmlns="" id="{9EF5EB8A-542E-4CE4-8765-54205A60C77E}"/>
              </a:ext>
            </a:extLst>
          </xdr:cNvPr>
          <xdr:cNvGrpSpPr/>
        </xdr:nvGrpSpPr>
        <xdr:grpSpPr>
          <a:xfrm>
            <a:off x="9173373" y="20106745"/>
            <a:ext cx="5957065" cy="395654"/>
            <a:chOff x="8789365" y="8432625"/>
            <a:chExt cx="5791212" cy="395654"/>
          </a:xfrm>
        </xdr:grpSpPr>
        <xdr:grpSp>
          <xdr:nvGrpSpPr>
            <xdr:cNvPr id="30" name="Group 29">
              <a:extLst>
                <a:ext uri="{FF2B5EF4-FFF2-40B4-BE49-F238E27FC236}">
                  <a16:creationId xmlns:a16="http://schemas.microsoft.com/office/drawing/2014/main" xmlns="" id="{63119C60-8D7B-41E8-B9FE-6CE0A63DBA0F}"/>
                </a:ext>
              </a:extLst>
            </xdr:cNvPr>
            <xdr:cNvGrpSpPr/>
          </xdr:nvGrpSpPr>
          <xdr:grpSpPr>
            <a:xfrm>
              <a:off x="8789365" y="8443283"/>
              <a:ext cx="2388172" cy="384996"/>
              <a:chOff x="11104673" y="7813168"/>
              <a:chExt cx="2388172" cy="384996"/>
            </a:xfrm>
          </xdr:grpSpPr>
          <xdr:pic>
            <xdr:nvPicPr>
              <xdr:cNvPr id="34" name="Graphic 33" descr="Receiver">
                <a:extLst>
                  <a:ext uri="{FF2B5EF4-FFF2-40B4-BE49-F238E27FC236}">
                    <a16:creationId xmlns:a16="http://schemas.microsoft.com/office/drawing/2014/main" xmlns="" id="{EB050C7A-CA7B-4BBC-9116-2751CBB072A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 uri="{96DAC541-7B7A-43D3-8B79-37D633B846F1}">
                    <asvg:svgBlip xmlns:asvg="http://schemas.microsoft.com/office/drawing/2016/SVG/main" xmlns="" r:embed="rId6"/>
                  </a:ext>
                </a:extLst>
              </a:blip>
              <a:stretch>
                <a:fillRect/>
              </a:stretch>
            </xdr:blipFill>
            <xdr:spPr>
              <a:xfrm>
                <a:off x="11104673" y="7813168"/>
                <a:ext cx="320040" cy="320040"/>
              </a:xfrm>
              <a:prstGeom prst="rect">
                <a:avLst/>
              </a:prstGeom>
            </xdr:spPr>
          </xdr:pic>
          <xdr:sp macro="" textlink="">
            <xdr:nvSpPr>
              <xdr:cNvPr id="35" name="TextBox 34">
                <a:extLst>
                  <a:ext uri="{FF2B5EF4-FFF2-40B4-BE49-F238E27FC236}">
                    <a16:creationId xmlns:a16="http://schemas.microsoft.com/office/drawing/2014/main" xmlns="" id="{5700D625-531A-474B-802E-DD4BC03BBDD1}"/>
                  </a:ext>
                </a:extLst>
              </xdr:cNvPr>
              <xdr:cNvSpPr txBox="1"/>
            </xdr:nvSpPr>
            <xdr:spPr bwMode="auto">
              <a:xfrm>
                <a:off x="11419664" y="7819492"/>
                <a:ext cx="2073181" cy="378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800" b="1">
                    <a:latin typeface="Arial" panose="020B0604020202020204" pitchFamily="34" charset="0"/>
                    <a:cs typeface="Arial" panose="020B0604020202020204" pitchFamily="34" charset="0"/>
                  </a:rPr>
                  <a:t>(509) 488-0112</a:t>
                </a:r>
              </a:p>
            </xdr:txBody>
          </xdr:sp>
        </xdr:grpSp>
        <xdr:grpSp>
          <xdr:nvGrpSpPr>
            <xdr:cNvPr id="31" name="Group 30">
              <a:extLst>
                <a:ext uri="{FF2B5EF4-FFF2-40B4-BE49-F238E27FC236}">
                  <a16:creationId xmlns:a16="http://schemas.microsoft.com/office/drawing/2014/main" xmlns="" id="{7D52B29B-6A06-42EA-97D7-497F7BCF650A}"/>
                </a:ext>
              </a:extLst>
            </xdr:cNvPr>
            <xdr:cNvGrpSpPr/>
          </xdr:nvGrpSpPr>
          <xdr:grpSpPr>
            <a:xfrm>
              <a:off x="11233121" y="8432625"/>
              <a:ext cx="3347456" cy="366346"/>
              <a:chOff x="11233121" y="8432625"/>
              <a:chExt cx="3347456" cy="366346"/>
            </a:xfrm>
          </xdr:grpSpPr>
          <xdr:pic>
            <xdr:nvPicPr>
              <xdr:cNvPr id="32" name="Graphic 31" descr="Envelope">
                <a:extLst>
                  <a:ext uri="{FF2B5EF4-FFF2-40B4-BE49-F238E27FC236}">
                    <a16:creationId xmlns:a16="http://schemas.microsoft.com/office/drawing/2014/main" xmlns="" id="{BC26237A-BFE0-4601-B201-C2E8455C9EA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xmlns="" val="0"/>
                  </a:ext>
                  <a:ext uri="{96DAC541-7B7A-43D3-8B79-37D633B846F1}">
                    <asvg:svgBlip xmlns:asvg="http://schemas.microsoft.com/office/drawing/2016/SVG/main" xmlns="" r:embed="rId8"/>
                  </a:ext>
                </a:extLst>
              </a:blip>
              <a:stretch>
                <a:fillRect/>
              </a:stretch>
            </xdr:blipFill>
            <xdr:spPr>
              <a:xfrm>
                <a:off x="11233121" y="8445945"/>
                <a:ext cx="320040" cy="320040"/>
              </a:xfrm>
              <a:prstGeom prst="rect">
                <a:avLst/>
              </a:prstGeom>
            </xdr:spPr>
          </xdr:pic>
          <xdr:sp macro="" textlink="">
            <xdr:nvSpPr>
              <xdr:cNvPr id="33" name="TextBox 32">
                <a:extLst>
                  <a:ext uri="{FF2B5EF4-FFF2-40B4-BE49-F238E27FC236}">
                    <a16:creationId xmlns:a16="http://schemas.microsoft.com/office/drawing/2014/main" xmlns="" id="{54FC697B-4486-4A27-936B-3429FC97F53F}"/>
                  </a:ext>
                </a:extLst>
              </xdr:cNvPr>
              <xdr:cNvSpPr txBox="1"/>
            </xdr:nvSpPr>
            <xdr:spPr bwMode="auto">
              <a:xfrm>
                <a:off x="11561885" y="8432625"/>
                <a:ext cx="3018692" cy="366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800" b="1">
                    <a:latin typeface="Arial" panose="020B0604020202020204" pitchFamily="34" charset="0"/>
                    <a:cs typeface="Arial" panose="020B0604020202020204" pitchFamily="34" charset="0"/>
                  </a:rPr>
                  <a:t>info@kuotestinglabs.com</a:t>
                </a:r>
              </a:p>
            </xdr:txBody>
          </xdr:sp>
        </xdr:grpSp>
      </xdr:grpSp>
    </xdr:grpSp>
    <xdr:clientData/>
  </xdr:twoCellAnchor>
  <xdr:twoCellAnchor>
    <xdr:from>
      <xdr:col>0</xdr:col>
      <xdr:colOff>148648</xdr:colOff>
      <xdr:row>16</xdr:row>
      <xdr:rowOff>73519</xdr:rowOff>
    </xdr:from>
    <xdr:to>
      <xdr:col>7</xdr:col>
      <xdr:colOff>727076</xdr:colOff>
      <xdr:row>51</xdr:row>
      <xdr:rowOff>99291</xdr:rowOff>
    </xdr:to>
    <xdr:grpSp>
      <xdr:nvGrpSpPr>
        <xdr:cNvPr id="36" name="Group 35">
          <a:extLst>
            <a:ext uri="{FF2B5EF4-FFF2-40B4-BE49-F238E27FC236}">
              <a16:creationId xmlns:a16="http://schemas.microsoft.com/office/drawing/2014/main" xmlns="" id="{339FD9DE-42A8-4FB2-8BF1-3A43DF635ECC}"/>
            </a:ext>
          </a:extLst>
        </xdr:cNvPr>
        <xdr:cNvGrpSpPr>
          <a:grpSpLocks noChangeAspect="1"/>
        </xdr:cNvGrpSpPr>
      </xdr:nvGrpSpPr>
      <xdr:grpSpPr>
        <a:xfrm>
          <a:off x="148648" y="5185269"/>
          <a:ext cx="6976053" cy="9169772"/>
          <a:chOff x="5004955" y="5102717"/>
          <a:chExt cx="6909955" cy="9150147"/>
        </a:xfrm>
      </xdr:grpSpPr>
      <xdr:graphicFrame macro="">
        <xdr:nvGraphicFramePr>
          <xdr:cNvPr id="37" name="Chart 36">
            <a:extLst>
              <a:ext uri="{FF2B5EF4-FFF2-40B4-BE49-F238E27FC236}">
                <a16:creationId xmlns:a16="http://schemas.microsoft.com/office/drawing/2014/main" xmlns="" id="{E45AB995-B49C-495A-936D-7AAD3AEBC9B7}"/>
              </a:ext>
            </a:extLst>
          </xdr:cNvPr>
          <xdr:cNvGraphicFramePr/>
        </xdr:nvGraphicFramePr>
        <xdr:xfrm>
          <a:off x="5004955" y="5512377"/>
          <a:ext cx="6909955" cy="8740487"/>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38" name="TextBox 37">
            <a:extLst>
              <a:ext uri="{FF2B5EF4-FFF2-40B4-BE49-F238E27FC236}">
                <a16:creationId xmlns:a16="http://schemas.microsoft.com/office/drawing/2014/main" xmlns="" id="{F4C6CFDE-770C-4791-9C52-0623B369432A}"/>
              </a:ext>
            </a:extLst>
          </xdr:cNvPr>
          <xdr:cNvSpPr txBox="1"/>
        </xdr:nvSpPr>
        <xdr:spPr>
          <a:xfrm>
            <a:off x="6312477" y="5102717"/>
            <a:ext cx="1827069" cy="528145"/>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0">
                <a:latin typeface="Arial" panose="020B0604020202020204" pitchFamily="34" charset="0"/>
                <a:cs typeface="Arial" panose="020B0604020202020204" pitchFamily="34" charset="0"/>
              </a:rPr>
              <a:t>LOW</a:t>
            </a:r>
          </a:p>
        </xdr:txBody>
      </xdr:sp>
      <xdr:sp macro="" textlink="">
        <xdr:nvSpPr>
          <xdr:cNvPr id="39" name="TextBox 38">
            <a:extLst>
              <a:ext uri="{FF2B5EF4-FFF2-40B4-BE49-F238E27FC236}">
                <a16:creationId xmlns:a16="http://schemas.microsoft.com/office/drawing/2014/main" xmlns="" id="{A40AC104-DCC0-4D29-8DA7-45F9E84A86DB}"/>
              </a:ext>
            </a:extLst>
          </xdr:cNvPr>
          <xdr:cNvSpPr txBox="1"/>
        </xdr:nvSpPr>
        <xdr:spPr>
          <a:xfrm>
            <a:off x="8141501" y="5102719"/>
            <a:ext cx="1827069" cy="528145"/>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0">
                <a:latin typeface="Arial" panose="020B0604020202020204" pitchFamily="34" charset="0"/>
                <a:cs typeface="Arial" panose="020B0604020202020204" pitchFamily="34" charset="0"/>
              </a:rPr>
              <a:t>MEDIUM</a:t>
            </a:r>
          </a:p>
        </xdr:txBody>
      </xdr:sp>
      <xdr:sp macro="" textlink="">
        <xdr:nvSpPr>
          <xdr:cNvPr id="40" name="TextBox 39">
            <a:extLst>
              <a:ext uri="{FF2B5EF4-FFF2-40B4-BE49-F238E27FC236}">
                <a16:creationId xmlns:a16="http://schemas.microsoft.com/office/drawing/2014/main" xmlns="" id="{97E15B42-AE09-4BC8-B0BA-9625EBC3C3A5}"/>
              </a:ext>
            </a:extLst>
          </xdr:cNvPr>
          <xdr:cNvSpPr txBox="1"/>
        </xdr:nvSpPr>
        <xdr:spPr>
          <a:xfrm>
            <a:off x="9960748" y="5102719"/>
            <a:ext cx="1827069" cy="528145"/>
          </a:xfrm>
          <a:prstGeom prst="rect">
            <a:avLst/>
          </a:prstGeom>
          <a:solidFill>
            <a:srgbClr val="7B7B7B"/>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0">
                <a:latin typeface="Arial" panose="020B0604020202020204" pitchFamily="34" charset="0"/>
                <a:cs typeface="Arial" panose="020B0604020202020204" pitchFamily="34" charset="0"/>
              </a:rPr>
              <a:t>HIGH</a:t>
            </a:r>
          </a:p>
        </xdr:txBody>
      </xdr:sp>
    </xdr:grpSp>
    <xdr:clientData/>
  </xdr:twoCellAnchor>
  <xdr:twoCellAnchor editAs="oneCell">
    <xdr:from>
      <xdr:col>6</xdr:col>
      <xdr:colOff>394857</xdr:colOff>
      <xdr:row>72</xdr:row>
      <xdr:rowOff>72153</xdr:rowOff>
    </xdr:from>
    <xdr:to>
      <xdr:col>16</xdr:col>
      <xdr:colOff>45605</xdr:colOff>
      <xdr:row>78</xdr:row>
      <xdr:rowOff>59919</xdr:rowOff>
    </xdr:to>
    <xdr:sp macro="" textlink="">
      <xdr:nvSpPr>
        <xdr:cNvPr id="41" name="TextBox 40">
          <a:extLst>
            <a:ext uri="{FF2B5EF4-FFF2-40B4-BE49-F238E27FC236}">
              <a16:creationId xmlns:a16="http://schemas.microsoft.com/office/drawing/2014/main" xmlns="" id="{73991B92-5C80-45BF-9AFE-D8068D45028B}"/>
            </a:ext>
          </a:extLst>
        </xdr:cNvPr>
        <xdr:cNvSpPr txBox="1"/>
      </xdr:nvSpPr>
      <xdr:spPr bwMode="auto">
        <a:xfrm>
          <a:off x="5957457" y="19522203"/>
          <a:ext cx="7708898" cy="1130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tx1"/>
              </a:solidFill>
              <a:effectLst/>
              <a:latin typeface="Arial" panose="020B0604020202020204" pitchFamily="34" charset="0"/>
              <a:ea typeface="+mn-ea"/>
              <a:cs typeface="Arial" panose="020B0604020202020204" pitchFamily="34" charset="0"/>
            </a:rPr>
            <a:t>KTL</a:t>
          </a:r>
          <a:r>
            <a:rPr lang="en-US" sz="1400" baseline="0">
              <a:solidFill>
                <a:schemeClr val="tx1"/>
              </a:solidFill>
              <a:effectLst/>
              <a:latin typeface="Arial" panose="020B0604020202020204" pitchFamily="34" charset="0"/>
              <a:ea typeface="+mn-ea"/>
              <a:cs typeface="Arial" panose="020B0604020202020204" pitchFamily="34" charset="0"/>
            </a:rPr>
            <a:t> will make every effort to provide an accurate analysis. Liability is limited to the cost of the analysis and no other warranties, expressed or implied are given. Recommendations serve only as a general guide and should be adjusted to specific situations and conditions.</a:t>
          </a:r>
          <a:endParaRPr lang="en-US" sz="1400">
            <a:effectLst/>
            <a:latin typeface="Arial" panose="020B0604020202020204" pitchFamily="34" charset="0"/>
            <a:cs typeface="Arial" panose="020B0604020202020204" pitchFamily="34" charset="0"/>
          </a:endParaRPr>
        </a:p>
      </xdr:txBody>
    </xdr:sp>
    <xdr:clientData/>
  </xdr:twoCellAnchor>
  <xdr:twoCellAnchor editAs="oneCell">
    <xdr:from>
      <xdr:col>10</xdr:col>
      <xdr:colOff>260350</xdr:colOff>
      <xdr:row>0</xdr:row>
      <xdr:rowOff>25400</xdr:rowOff>
    </xdr:from>
    <xdr:to>
      <xdr:col>16</xdr:col>
      <xdr:colOff>371873</xdr:colOff>
      <xdr:row>7</xdr:row>
      <xdr:rowOff>158750</xdr:rowOff>
    </xdr:to>
    <xdr:pic>
      <xdr:nvPicPr>
        <xdr:cNvPr id="42" name="Picture 41">
          <a:extLst>
            <a:ext uri="{FF2B5EF4-FFF2-40B4-BE49-F238E27FC236}">
              <a16:creationId xmlns:a16="http://schemas.microsoft.com/office/drawing/2014/main" xmlns="" id="{C070A54F-AA1F-420F-90FE-A159A2B6687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xmlns="" val="0"/>
            </a:ext>
          </a:extLst>
        </a:blip>
        <a:stretch>
          <a:fillRect/>
        </a:stretch>
      </xdr:blipFill>
      <xdr:spPr>
        <a:xfrm>
          <a:off x="9137650" y="25400"/>
          <a:ext cx="4854973" cy="2371725"/>
        </a:xfrm>
        <a:prstGeom prst="rect">
          <a:avLst/>
        </a:prstGeom>
      </xdr:spPr>
    </xdr:pic>
    <xdr:clientData/>
  </xdr:twoCellAnchor>
  <xdr:twoCellAnchor editAs="oneCell">
    <xdr:from>
      <xdr:col>0</xdr:col>
      <xdr:colOff>155575</xdr:colOff>
      <xdr:row>71</xdr:row>
      <xdr:rowOff>82550</xdr:rowOff>
    </xdr:from>
    <xdr:to>
      <xdr:col>1</xdr:col>
      <xdr:colOff>447675</xdr:colOff>
      <xdr:row>81</xdr:row>
      <xdr:rowOff>25400</xdr:rowOff>
    </xdr:to>
    <xdr:pic>
      <xdr:nvPicPr>
        <xdr:cNvPr id="43" name="Picture 42">
          <a:extLst>
            <a:ext uri="{FF2B5EF4-FFF2-40B4-BE49-F238E27FC236}">
              <a16:creationId xmlns:a16="http://schemas.microsoft.com/office/drawing/2014/main" xmlns="" id="{88F2AA4B-28F0-46E1-816E-3ED655686CF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155575" y="19332575"/>
          <a:ext cx="1377950" cy="1857375"/>
        </a:xfrm>
        <a:prstGeom prst="rect">
          <a:avLst/>
        </a:prstGeom>
      </xdr:spPr>
    </xdr:pic>
    <xdr:clientData/>
  </xdr:twoCellAnchor>
  <xdr:twoCellAnchor editAs="oneCell">
    <xdr:from>
      <xdr:col>2</xdr:col>
      <xdr:colOff>0</xdr:colOff>
      <xdr:row>72</xdr:row>
      <xdr:rowOff>104775</xdr:rowOff>
    </xdr:from>
    <xdr:to>
      <xdr:col>3</xdr:col>
      <xdr:colOff>942621</xdr:colOff>
      <xdr:row>80</xdr:row>
      <xdr:rowOff>144691</xdr:rowOff>
    </xdr:to>
    <xdr:pic>
      <xdr:nvPicPr>
        <xdr:cNvPr id="44" name="Picture 43" descr="http://kuotestinglabs.com/project/uploads/2016/03/ALP-Logo.jpg">
          <a:extLst>
            <a:ext uri="{FF2B5EF4-FFF2-40B4-BE49-F238E27FC236}">
              <a16:creationId xmlns:a16="http://schemas.microsoft.com/office/drawing/2014/main" xmlns="" id="{24AA337C-97BF-4CE6-8BF2-37ECA60A1FB6}"/>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xmlns="" val="0"/>
            </a:ext>
          </a:extLst>
        </a:blip>
        <a:srcRect/>
        <a:stretch>
          <a:fillRect/>
        </a:stretch>
      </xdr:blipFill>
      <xdr:spPr bwMode="auto">
        <a:xfrm>
          <a:off x="1581150" y="19554825"/>
          <a:ext cx="1437921" cy="156391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215">
    <queryTableFields count="157">
      <queryTableField id="1" name="IncKey" tableColumnId="1"/>
      <queryTableField id="2" name="RequestIncKey" tableColumnId="2"/>
      <queryTableField id="3" name="Client" tableColumnId="3"/>
      <queryTableField id="10" name="Grower" tableColumnId="10"/>
      <queryTableField id="5" name="Sampler" tableColumnId="5"/>
      <queryTableField id="7" name="LabNo" tableColumnId="7"/>
      <queryTableField id="8" name="RptNo" tableColumnId="8"/>
      <queryTableField id="9" name="Date" tableColumnId="9"/>
      <queryTableField id="53" name="SampleDate" tableColumnId="53"/>
      <queryTableField id="12" name="Field" tableColumnId="12"/>
      <queryTableField id="89" name="SampleID" tableColumnId="88"/>
      <queryTableField id="13" name="Crop" tableColumnId="13"/>
      <queryTableField id="14" name="StartingDepth" tableColumnId="14"/>
      <queryTableField id="15" name="EndingDepth" tableColumnId="15"/>
      <queryTableField id="16" name="Test" tableColumnId="16"/>
      <queryTableField id="80" name="ProjectId" tableColumnId="79"/>
      <queryTableField id="81" name="ProjectNumber" tableColumnId="80"/>
      <queryTableField id="82" name="ProjectName" tableColumnId="81"/>
      <queryTableField id="65" name="MODUSEvent" tableColumnId="64"/>
      <queryTableField id="17" name="NO3" tableColumnId="17"/>
      <queryTableField id="18" name="NH4" tableColumnId="18"/>
      <queryTableField id="19" name="PBic" tableColumnId="19"/>
      <queryTableField id="20" name="PBray" tableColumnId="20"/>
      <queryTableField id="22" name="K" tableColumnId="22"/>
      <queryTableField id="24" name="SO4" tableColumnId="24"/>
      <queryTableField id="25" name="B" tableColumnId="25"/>
      <queryTableField id="26" name="OM" tableColumnId="26"/>
      <queryTableField id="27" name="pH" tableColumnId="27"/>
      <queryTableField id="28" name="SS" tableColumnId="28"/>
      <queryTableField id="29" name="ECE" tableColumnId="29"/>
      <queryTableField id="30" name="Zn" tableColumnId="30"/>
      <queryTableField id="31" name="Mn" tableColumnId="31"/>
      <queryTableField id="32" name="Cu" tableColumnId="32"/>
      <queryTableField id="33" name="Fe" tableColumnId="33"/>
      <queryTableField id="34" name="Ca" tableColumnId="34"/>
      <queryTableField id="35" name="Mg" tableColumnId="35"/>
      <queryTableField id="36" name="Na" tableColumnId="36"/>
      <queryTableField id="37" name="Eff" tableColumnId="37"/>
      <queryTableField id="38" name="CEC" tableColumnId="38"/>
      <queryTableField id="39" name="SMPBuffer" tableColumnId="39"/>
      <queryTableField id="40" name="Cl" tableColumnId="40"/>
      <queryTableField id="41" name="TKN" tableColumnId="41"/>
      <queryTableField id="42" name="TotalC" tableColumnId="42"/>
      <queryTableField id="43" name="TOCarb" tableColumnId="43"/>
      <queryTableField id="44" name="Moisture" tableColumnId="44"/>
      <queryTableField id="45" name="Sand" tableColumnId="45"/>
      <queryTableField id="46" name="Silt" tableColumnId="46"/>
      <queryTableField id="47" name="Clay" tableColumnId="47"/>
      <queryTableField id="48" name="SAR" tableColumnId="48"/>
      <queryTableField id="50" name="Density" tableColumnId="50"/>
      <queryTableField id="49" name="CaSatPas" tableColumnId="49"/>
      <queryTableField id="51" name="MgSatPas" tableColumnId="51"/>
      <queryTableField id="52" name="NaSatPas" tableColumnId="52"/>
      <queryTableField id="55" name="CCE" tableColumnId="54"/>
      <queryTableField id="56" name="BSatPas" tableColumnId="55"/>
      <queryTableField id="57" name="CuSatPas" tableColumnId="56"/>
      <queryTableField id="58" name="FeSatPas" tableColumnId="57"/>
      <queryTableField id="59" name="KSatPas" tableColumnId="58"/>
      <queryTableField id="60" name="MnSatPas" tableColumnId="59"/>
      <queryTableField id="61" name="PSatPas" tableColumnId="60"/>
      <queryTableField id="62" name="SSatPas" tableColumnId="61"/>
      <queryTableField id="63" name="ZnSatPas" tableColumnId="62"/>
      <queryTableField id="115" name="AlSatPas" tableColumnId="4"/>
      <queryTableField id="64" name="Bicarb" tableColumnId="63"/>
      <queryTableField id="66" name="H2O_Na" tableColumnId="65"/>
      <queryTableField id="67" name="SMP_Qtr" tableColumnId="66"/>
      <queryTableField id="68" name="P_Morgan" tableColumnId="67"/>
      <queryTableField id="69" name="ESP" tableColumnId="68"/>
      <queryTableField id="21" name="TotalP" tableColumnId="21"/>
      <queryTableField id="23" name="TotalK" tableColumnId="23"/>
      <queryTableField id="70" name="TotalCa" tableColumnId="69"/>
      <queryTableField id="71" name="TotalMg" tableColumnId="70"/>
      <queryTableField id="72" name="TotalNa" tableColumnId="71"/>
      <queryTableField id="73" name="TotalS" tableColumnId="72"/>
      <queryTableField id="74" name="TotalB" tableColumnId="73"/>
      <queryTableField id="75" name="TotalZn" tableColumnId="74"/>
      <queryTableField id="76" name="TotalMn" tableColumnId="75"/>
      <queryTableField id="77" name="TotalCu" tableColumnId="76"/>
      <queryTableField id="78" name="TotalFe" tableColumnId="77"/>
      <queryTableField id="79" name="TotalAl" tableColumnId="78"/>
      <queryTableField id="83" name="CO2" tableColumnId="82"/>
      <queryTableField id="84" name="Biomass" tableColumnId="83"/>
      <queryTableField id="85" name="PMN" tableColumnId="84"/>
      <queryTableField id="86" name="Ca_SAR" tableColumnId="85"/>
      <queryTableField id="87" name="Mg_SAR" tableColumnId="86"/>
      <queryTableField id="88" name="Na_SAR" tableColumnId="87"/>
      <queryTableField id="90" name="TICarb" tableColumnId="89"/>
      <queryTableField id="91" name="Al_DTPA" tableColumnId="90"/>
      <queryTableField id="92" name="S_DTPA" tableColumnId="91"/>
      <queryTableField id="116" name="PBrayP2" tableColumnId="6"/>
      <queryTableField id="93" name="WHC" tableColumnId="92"/>
      <queryTableField id="94" name="TotalMo" tableColumnId="93"/>
      <queryTableField id="95" name="As_DTPA" tableColumnId="94"/>
      <queryTableField id="96" name="Cd_DTPA" tableColumnId="95"/>
      <queryTableField id="97" name="Co_DTPA" tableColumnId="96"/>
      <queryTableField id="98" name="Cr_DTPA" tableColumnId="97"/>
      <queryTableField id="99" name="Mo_DTPA" tableColumnId="98"/>
      <queryTableField id="100" name="Ni_DTPA" tableColumnId="99"/>
      <queryTableField id="101" name="Pb_DTPA" tableColumnId="100"/>
      <queryTableField id="102" name="Se_DTPA" tableColumnId="101"/>
      <queryTableField id="103" name="Si_DTPA" tableColumnId="102"/>
      <queryTableField id="104" name="Ba_DTPA" tableColumnId="103"/>
      <queryTableField id="105" name="Sb_DTPA" tableColumnId="104"/>
      <queryTableField id="106" name="Ti_DTPA" tableColumnId="105"/>
      <queryTableField id="107" name="V_DTPA" tableColumnId="106"/>
      <queryTableField id="108" name="Be_DTPA" tableColumnId="107"/>
      <queryTableField id="109" name="Sr_DTPA" tableColumnId="108"/>
      <queryTableField id="110" name="LOI" tableColumnId="109"/>
      <queryTableField id="111" name="NO2" tableColumnId="110"/>
      <queryTableField id="112" name="TVS" tableColumnId="111"/>
      <queryTableField id="113" name="phSP" tableColumnId="112"/>
      <queryTableField id="114" name="ecSP" tableColumnId="113"/>
      <queryTableField id="117" name="MinN" tableColumnId="11"/>
      <queryTableField id="118" name="AlMeh" tableColumnId="114"/>
      <queryTableField id="119" name="BMeh" tableColumnId="115"/>
      <queryTableField id="120" name="CaMeh" tableColumnId="116"/>
      <queryTableField id="121" name="CuMeh" tableColumnId="117"/>
      <queryTableField id="122" name="FeMeh" tableColumnId="118"/>
      <queryTableField id="123" name="KMeh" tableColumnId="119"/>
      <queryTableField id="124" name="MgMeh" tableColumnId="120"/>
      <queryTableField id="125" name="MnMeh" tableColumnId="121"/>
      <queryTableField id="126" name="NaMeh" tableColumnId="122"/>
      <queryTableField id="127" name="PMeh" tableColumnId="123"/>
      <queryTableField id="128" name="SMeh" tableColumnId="124"/>
      <queryTableField id="129" name="ZnMeh" tableColumnId="125"/>
      <queryTableField id="130" name="BH3A" tableColumnId="126"/>
      <queryTableField id="131" name="CaH3A" tableColumnId="127"/>
      <queryTableField id="132" name="CuH3A" tableColumnId="128"/>
      <queryTableField id="133" name="FeH3A" tableColumnId="129"/>
      <queryTableField id="134" name="KH3A" tableColumnId="130"/>
      <queryTableField id="135" name="MgH3A" tableColumnId="131"/>
      <queryTableField id="136" name="MnH3A" tableColumnId="132"/>
      <queryTableField id="137" name="NaH3A" tableColumnId="133"/>
      <queryTableField id="138" name="PH3A" tableColumnId="134"/>
      <queryTableField id="139" name="SH3A" tableColumnId="135"/>
      <queryTableField id="140" name="ZnH3A" tableColumnId="136"/>
      <queryTableField id="194" name="MNaasi" tableColumnId="137"/>
      <queryTableField id="195" name="MNaasi_Dead" tableColumnId="138"/>
      <queryTableField id="196" name="MHapla" tableColumnId="139"/>
      <queryTableField id="197" name="MHapla_Dead" tableColumnId="140"/>
      <queryTableField id="198" name="MChit" tableColumnId="141"/>
      <queryTableField id="199" name="MChit_Dead" tableColumnId="142"/>
      <queryTableField id="200" name="RootLesion" tableColumnId="143"/>
      <queryTableField id="201" name="RootLesion_Dead" tableColumnId="144"/>
      <queryTableField id="202" name="StubbyRoot" tableColumnId="145"/>
      <queryTableField id="203" name="StubbyRoot_Dead" tableColumnId="146"/>
      <queryTableField id="204" name="Stunt" tableColumnId="147"/>
      <queryTableField id="205" name="Pin" tableColumnId="148"/>
      <queryTableField id="206" name="Spiral" tableColumnId="149"/>
      <queryTableField id="207" name="Stem" tableColumnId="150"/>
      <queryTableField id="208" name="Ring" tableColumnId="151"/>
      <queryTableField id="209" name="Dagger" tableColumnId="152"/>
      <queryTableField id="210" name="Sheath" tableColumnId="153"/>
      <queryTableField id="211" name="LarvalCyst" tableColumnId="154"/>
      <queryTableField id="212" name="Activity" tableColumnId="155"/>
      <queryTableField id="213" name="Total" tableColumnId="156"/>
      <queryTableField id="214" name="Sikora" tableColumnId="15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Query1" displayName="Query1" ref="A1:FA7" tableType="queryTable" totalsRowShown="0" headerRowDxfId="79" headerRowCellStyle="Normal 2" dataCellStyle="Normal 2">
  <autoFilter ref="A1:FA7"/>
  <tableColumns count="157">
    <tableColumn id="1" uniqueName="1" name="IncKey" queryTableFieldId="1" dataDxfId="78" dataCellStyle="Normal 2"/>
    <tableColumn id="2" uniqueName="2" name="RequestIncKey" queryTableFieldId="2" dataDxfId="77" dataCellStyle="Normal 2"/>
    <tableColumn id="3" uniqueName="3" name="Client" queryTableFieldId="3" dataDxfId="76" dataCellStyle="Normal 2"/>
    <tableColumn id="10" uniqueName="10" name="Grower" queryTableFieldId="10" dataDxfId="75" dataCellStyle="Normal 2"/>
    <tableColumn id="5" uniqueName="5" name="Sampler" queryTableFieldId="5" dataDxfId="74" dataCellStyle="Normal 2"/>
    <tableColumn id="7" uniqueName="7" name="LabNo" queryTableFieldId="7" dataDxfId="73" dataCellStyle="Normal 2"/>
    <tableColumn id="8" uniqueName="8" name="RptNo" queryTableFieldId="8" dataDxfId="72" dataCellStyle="Normal 2"/>
    <tableColumn id="9" uniqueName="9" name="Date" queryTableFieldId="9" dataDxfId="71" dataCellStyle="Normal 2"/>
    <tableColumn id="53" uniqueName="53" name="SampleDate" queryTableFieldId="53" dataDxfId="70" dataCellStyle="Normal 2"/>
    <tableColumn id="12" uniqueName="12" name="Field" queryTableFieldId="12" dataDxfId="69" dataCellStyle="Normal 2"/>
    <tableColumn id="88" uniqueName="88" name="SampleID" queryTableFieldId="89" dataDxfId="68" dataCellStyle="Normal 2"/>
    <tableColumn id="13" uniqueName="13" name="Crop" queryTableFieldId="13" dataDxfId="67" dataCellStyle="Normal 2"/>
    <tableColumn id="14" uniqueName="14" name="StartingDepth" queryTableFieldId="14" dataDxfId="66" dataCellStyle="Normal 2"/>
    <tableColumn id="15" uniqueName="15" name="EndingDepth" queryTableFieldId="15" dataDxfId="65" dataCellStyle="Normal 2"/>
    <tableColumn id="16" uniqueName="16" name="Test" queryTableFieldId="16" dataDxfId="64" dataCellStyle="Normal 2"/>
    <tableColumn id="79" uniqueName="79" name="ProjectId" queryTableFieldId="80" dataDxfId="63" dataCellStyle="Normal 2"/>
    <tableColumn id="80" uniqueName="80" name="ProjectNumber" queryTableFieldId="81" dataDxfId="62" dataCellStyle="Normal 2"/>
    <tableColumn id="81" uniqueName="81" name="ProjectName" queryTableFieldId="82" dataDxfId="61" dataCellStyle="Normal 2"/>
    <tableColumn id="64" uniqueName="64" name="MODUSEvent" queryTableFieldId="65" dataDxfId="60"/>
    <tableColumn id="17" uniqueName="17" name="NO3" queryTableFieldId="17" dataDxfId="59" dataCellStyle="Normal 2"/>
    <tableColumn id="18" uniqueName="18" name="NH4" queryTableFieldId="18" dataDxfId="58" dataCellStyle="Normal 2"/>
    <tableColumn id="19" uniqueName="19" name="PBic" queryTableFieldId="19" dataDxfId="57" dataCellStyle="Normal 2"/>
    <tableColumn id="20" uniqueName="20" name="PBray" queryTableFieldId="20" dataDxfId="56" dataCellStyle="Normal 2"/>
    <tableColumn id="22" uniqueName="22" name="K" queryTableFieldId="22" dataDxfId="55" dataCellStyle="Normal 2"/>
    <tableColumn id="24" uniqueName="24" name="SO4" queryTableFieldId="24" dataDxfId="54" dataCellStyle="Normal 2"/>
    <tableColumn id="25" uniqueName="25" name="B" queryTableFieldId="25" dataDxfId="53" dataCellStyle="Normal 2"/>
    <tableColumn id="26" uniqueName="26" name="OM" queryTableFieldId="26" dataDxfId="52" dataCellStyle="Normal 2"/>
    <tableColumn id="27" uniqueName="27" name="pH" queryTableFieldId="27" dataDxfId="51" dataCellStyle="Normal 2"/>
    <tableColumn id="28" uniqueName="28" name="SS" queryTableFieldId="28" dataDxfId="50" dataCellStyle="Normal 2"/>
    <tableColumn id="29" uniqueName="29" name="ECE" queryTableFieldId="29" dataDxfId="49" dataCellStyle="Normal 2"/>
    <tableColumn id="30" uniqueName="30" name="Zn" queryTableFieldId="30" dataDxfId="48" dataCellStyle="Normal 2"/>
    <tableColumn id="31" uniqueName="31" name="Mn" queryTableFieldId="31" dataDxfId="47" dataCellStyle="Normal 2"/>
    <tableColumn id="32" uniqueName="32" name="Cu" queryTableFieldId="32" dataDxfId="46" dataCellStyle="Normal 2"/>
    <tableColumn id="33" uniqueName="33" name="Fe" queryTableFieldId="33" dataDxfId="45" dataCellStyle="Normal 2"/>
    <tableColumn id="34" uniqueName="34" name="Ca" queryTableFieldId="34" dataDxfId="44" dataCellStyle="Normal 2"/>
    <tableColumn id="35" uniqueName="35" name="Mg" queryTableFieldId="35" dataDxfId="43" dataCellStyle="Normal 2"/>
    <tableColumn id="36" uniqueName="36" name="Na" queryTableFieldId="36" dataDxfId="42" dataCellStyle="Normal 2"/>
    <tableColumn id="37" uniqueName="37" name="Eff" queryTableFieldId="37" dataDxfId="41" dataCellStyle="Normal 2"/>
    <tableColumn id="38" uniqueName="38" name="CEC" queryTableFieldId="38" dataDxfId="40" dataCellStyle="Normal 2"/>
    <tableColumn id="39" uniqueName="39" name="SMPBuffer" queryTableFieldId="39" dataDxfId="39" dataCellStyle="Normal 2"/>
    <tableColumn id="40" uniqueName="40" name="Cl" queryTableFieldId="40" dataDxfId="38" dataCellStyle="Normal 2"/>
    <tableColumn id="41" uniqueName="41" name="TKN" queryTableFieldId="41" dataDxfId="37" dataCellStyle="Normal 2"/>
    <tableColumn id="42" uniqueName="42" name="TotalC" queryTableFieldId="42" dataDxfId="36" dataCellStyle="Normal 2"/>
    <tableColumn id="43" uniqueName="43" name="TOCarb" queryTableFieldId="43" dataDxfId="35" dataCellStyle="Normal 2"/>
    <tableColumn id="44" uniqueName="44" name="Moisture" queryTableFieldId="44" dataDxfId="34" dataCellStyle="Normal 2"/>
    <tableColumn id="45" uniqueName="45" name="Sand" queryTableFieldId="45" dataDxfId="33" dataCellStyle="Normal 2"/>
    <tableColumn id="46" uniqueName="46" name="Silt" queryTableFieldId="46" dataDxfId="32" dataCellStyle="Normal 2"/>
    <tableColumn id="47" uniqueName="47" name="Clay" queryTableFieldId="47" dataDxfId="31" dataCellStyle="Normal 2"/>
    <tableColumn id="48" uniqueName="48" name="SAR" queryTableFieldId="48" dataDxfId="30" dataCellStyle="Normal 2"/>
    <tableColumn id="50" uniqueName="50" name="Density" queryTableFieldId="50" dataDxfId="29" dataCellStyle="Normal 2"/>
    <tableColumn id="49" uniqueName="49" name="CaSatPas" queryTableFieldId="49" dataDxfId="28" dataCellStyle="Normal 2"/>
    <tableColumn id="51" uniqueName="51" name="MgSatPas" queryTableFieldId="51" dataDxfId="27" dataCellStyle="Normal 2"/>
    <tableColumn id="52" uniqueName="52" name="NaSatPas" queryTableFieldId="52" dataDxfId="26" dataCellStyle="Normal 2"/>
    <tableColumn id="54" uniqueName="54" name="CCE" queryTableFieldId="55"/>
    <tableColumn id="55" uniqueName="55" name="BSatPas" queryTableFieldId="56"/>
    <tableColumn id="56" uniqueName="56" name="CuSatPas" queryTableFieldId="57"/>
    <tableColumn id="57" uniqueName="57" name="FeSatPas" queryTableFieldId="58"/>
    <tableColumn id="58" uniqueName="58" name="KSatPas" queryTableFieldId="59"/>
    <tableColumn id="59" uniqueName="59" name="MnSatPas" queryTableFieldId="60"/>
    <tableColumn id="60" uniqueName="60" name="PSatPas" queryTableFieldId="61"/>
    <tableColumn id="61" uniqueName="61" name="SSatPas" queryTableFieldId="62"/>
    <tableColumn id="62" uniqueName="62" name="ZnSatPas" queryTableFieldId="63"/>
    <tableColumn id="4" uniqueName="4" name="AlSatPas" queryTableFieldId="115"/>
    <tableColumn id="63" uniqueName="63" name="Bicarb" queryTableFieldId="64"/>
    <tableColumn id="65" uniqueName="65" name="H2O_Na" queryTableFieldId="66"/>
    <tableColumn id="66" uniqueName="66" name="SMP_Qtr" queryTableFieldId="67" dataDxfId="25" dataCellStyle="Normal 2"/>
    <tableColumn id="67" uniqueName="67" name="P_Morgan" queryTableFieldId="68" dataDxfId="24" dataCellStyle="Normal 2"/>
    <tableColumn id="68" uniqueName="68" name="ESP" queryTableFieldId="69" dataDxfId="23" dataCellStyle="Normal 2"/>
    <tableColumn id="21" uniqueName="21" name="TotalP" queryTableFieldId="21" dataDxfId="22" dataCellStyle="Normal 2"/>
    <tableColumn id="23" uniqueName="23" name="TotalK" queryTableFieldId="23" dataDxfId="21" dataCellStyle="Normal 2"/>
    <tableColumn id="69" uniqueName="69" name="TotalCa" queryTableFieldId="70" dataDxfId="20" dataCellStyle="Normal 2"/>
    <tableColumn id="70" uniqueName="70" name="TotalMg" queryTableFieldId="71" dataDxfId="19" dataCellStyle="Normal 2"/>
    <tableColumn id="71" uniqueName="71" name="TotalNa" queryTableFieldId="72" dataDxfId="18" dataCellStyle="Normal 2"/>
    <tableColumn id="72" uniqueName="72" name="TotalS" queryTableFieldId="73" dataDxfId="17" dataCellStyle="Normal 2"/>
    <tableColumn id="73" uniqueName="73" name="TotalB" queryTableFieldId="74" dataDxfId="16" dataCellStyle="Normal 2"/>
    <tableColumn id="74" uniqueName="74" name="TotalZn" queryTableFieldId="75" dataDxfId="15" dataCellStyle="Normal 2"/>
    <tableColumn id="75" uniqueName="75" name="TotalMn" queryTableFieldId="76" dataDxfId="14" dataCellStyle="Normal 2"/>
    <tableColumn id="76" uniqueName="76" name="TotalCu" queryTableFieldId="77" dataDxfId="13" dataCellStyle="Normal 2"/>
    <tableColumn id="77" uniqueName="77" name="TotalFe" queryTableFieldId="78" dataDxfId="12" dataCellStyle="Normal 2"/>
    <tableColumn id="78" uniqueName="78" name="TotalAl" queryTableFieldId="79" dataDxfId="11" dataCellStyle="Normal 2"/>
    <tableColumn id="82" uniqueName="82" name="CO2" queryTableFieldId="83" dataDxfId="10" dataCellStyle="Normal 2"/>
    <tableColumn id="83" uniqueName="83" name="Biomass" queryTableFieldId="84" dataDxfId="9" dataCellStyle="Normal 2"/>
    <tableColumn id="84" uniqueName="84" name="PMN" queryTableFieldId="85" dataDxfId="8" dataCellStyle="Normal 2"/>
    <tableColumn id="85" uniqueName="85" name="Ca_SAR" queryTableFieldId="86" dataDxfId="7" dataCellStyle="Normal 2"/>
    <tableColumn id="86" uniqueName="86" name="Mg_SAR" queryTableFieldId="87" dataDxfId="6" dataCellStyle="Normal 2"/>
    <tableColumn id="87" uniqueName="87" name="Na_SAR" queryTableFieldId="88" dataDxfId="5" dataCellStyle="Normal 2"/>
    <tableColumn id="89" uniqueName="89" name="TICarb" queryTableFieldId="90" dataDxfId="4" dataCellStyle="Normal 2"/>
    <tableColumn id="90" uniqueName="90" name="Al_DTPA" queryTableFieldId="91" dataDxfId="3" dataCellStyle="Normal 2"/>
    <tableColumn id="91" uniqueName="91" name="S_DTPA" queryTableFieldId="92" dataDxfId="2" dataCellStyle="Normal 2"/>
    <tableColumn id="6" uniqueName="6" name="PBrayP2" queryTableFieldId="116"/>
    <tableColumn id="92" uniqueName="92" name="WHC" queryTableFieldId="93" dataDxfId="1" dataCellStyle="Normal 2"/>
    <tableColumn id="93" uniqueName="93" name="TotalMo" queryTableFieldId="94" dataDxfId="0" dataCellStyle="Normal 2"/>
    <tableColumn id="94" uniqueName="94" name="As_DTPA" queryTableFieldId="95"/>
    <tableColumn id="95" uniqueName="95" name="Cd_DTPA" queryTableFieldId="96"/>
    <tableColumn id="96" uniqueName="96" name="Co_DTPA" queryTableFieldId="97"/>
    <tableColumn id="97" uniqueName="97" name="Cr_DTPA" queryTableFieldId="98"/>
    <tableColumn id="98" uniqueName="98" name="Mo_DTPA" queryTableFieldId="99"/>
    <tableColumn id="99" uniqueName="99" name="Ni_DTPA" queryTableFieldId="100"/>
    <tableColumn id="100" uniqueName="100" name="Pb_DTPA" queryTableFieldId="101"/>
    <tableColumn id="101" uniqueName="101" name="Se_DTPA" queryTableFieldId="102"/>
    <tableColumn id="102" uniqueName="102" name="Si_DTPA" queryTableFieldId="103"/>
    <tableColumn id="103" uniqueName="103" name="Ba_DTPA" queryTableFieldId="104"/>
    <tableColumn id="104" uniqueName="104" name="Sb_DTPA" queryTableFieldId="105"/>
    <tableColumn id="105" uniqueName="105" name="Ti_DTPA" queryTableFieldId="106"/>
    <tableColumn id="106" uniqueName="106" name="V_DTPA" queryTableFieldId="107"/>
    <tableColumn id="107" uniqueName="107" name="Be_DTPA" queryTableFieldId="108"/>
    <tableColumn id="108" uniqueName="108" name="Sr_DTPA" queryTableFieldId="109"/>
    <tableColumn id="109" uniqueName="109" name="LOI" queryTableFieldId="110"/>
    <tableColumn id="110" uniqueName="110" name="NO2" queryTableFieldId="111"/>
    <tableColumn id="111" uniqueName="111" name="TVS" queryTableFieldId="112"/>
    <tableColumn id="112" uniqueName="112" name="phSP" queryTableFieldId="113"/>
    <tableColumn id="113" uniqueName="113" name="ecSP" queryTableFieldId="114"/>
    <tableColumn id="11" uniqueName="11" name="MinN" queryTableFieldId="117"/>
    <tableColumn id="114" uniqueName="114" name="AlMeh" queryTableFieldId="118"/>
    <tableColumn id="115" uniqueName="115" name="BMeh" queryTableFieldId="119"/>
    <tableColumn id="116" uniqueName="116" name="CaMeh" queryTableFieldId="120"/>
    <tableColumn id="117" uniqueName="117" name="CuMeh" queryTableFieldId="121"/>
    <tableColumn id="118" uniqueName="118" name="FeMeh" queryTableFieldId="122"/>
    <tableColumn id="119" uniqueName="119" name="KMeh" queryTableFieldId="123"/>
    <tableColumn id="120" uniqueName="120" name="MgMeh" queryTableFieldId="124"/>
    <tableColumn id="121" uniqueName="121" name="MnMeh" queryTableFieldId="125"/>
    <tableColumn id="122" uniqueName="122" name="NaMeh" queryTableFieldId="126"/>
    <tableColumn id="123" uniqueName="123" name="PMeh" queryTableFieldId="127"/>
    <tableColumn id="124" uniqueName="124" name="SMeh" queryTableFieldId="128"/>
    <tableColumn id="125" uniqueName="125" name="ZnMeh" queryTableFieldId="129"/>
    <tableColumn id="126" uniqueName="126" name="BH3A" queryTableFieldId="130"/>
    <tableColumn id="127" uniqueName="127" name="CaH3A" queryTableFieldId="131"/>
    <tableColumn id="128" uniqueName="128" name="CuH3A" queryTableFieldId="132"/>
    <tableColumn id="129" uniqueName="129" name="FeH3A" queryTableFieldId="133"/>
    <tableColumn id="130" uniqueName="130" name="KH3A" queryTableFieldId="134"/>
    <tableColumn id="131" uniqueName="131" name="MgH3A" queryTableFieldId="135"/>
    <tableColumn id="132" uniqueName="132" name="MnH3A" queryTableFieldId="136"/>
    <tableColumn id="133" uniqueName="133" name="NaH3A" queryTableFieldId="137"/>
    <tableColumn id="134" uniqueName="134" name="PH3A" queryTableFieldId="138"/>
    <tableColumn id="135" uniqueName="135" name="SH3A" queryTableFieldId="139"/>
    <tableColumn id="136" uniqueName="136" name="ZnH3A" queryTableFieldId="140"/>
    <tableColumn id="137" uniqueName="137" name="MNaasi" queryTableFieldId="194"/>
    <tableColumn id="138" uniqueName="138" name="MNaasi_Dead" queryTableFieldId="195"/>
    <tableColumn id="139" uniqueName="139" name="MHapla" queryTableFieldId="196"/>
    <tableColumn id="140" uniqueName="140" name="MHapla_Dead" queryTableFieldId="197"/>
    <tableColumn id="141" uniqueName="141" name="MChit" queryTableFieldId="198"/>
    <tableColumn id="142" uniqueName="142" name="MChit_Dead" queryTableFieldId="199"/>
    <tableColumn id="143" uniqueName="143" name="RootLesion" queryTableFieldId="200"/>
    <tableColumn id="144" uniqueName="144" name="RootLesion_Dead" queryTableFieldId="201"/>
    <tableColumn id="145" uniqueName="145" name="StubbyRoot" queryTableFieldId="202"/>
    <tableColumn id="146" uniqueName="146" name="StubbyRoot_Dead" queryTableFieldId="203"/>
    <tableColumn id="147" uniqueName="147" name="Stunt" queryTableFieldId="204"/>
    <tableColumn id="148" uniqueName="148" name="Pin" queryTableFieldId="205"/>
    <tableColumn id="149" uniqueName="149" name="Spiral" queryTableFieldId="206"/>
    <tableColumn id="150" uniqueName="150" name="Stem" queryTableFieldId="207"/>
    <tableColumn id="151" uniqueName="151" name="Ring" queryTableFieldId="208"/>
    <tableColumn id="152" uniqueName="152" name="Dagger" queryTableFieldId="209"/>
    <tableColumn id="153" uniqueName="153" name="Sheath" queryTableFieldId="210"/>
    <tableColumn id="154" uniqueName="154" name="LarvalCyst" queryTableFieldId="211"/>
    <tableColumn id="155" uniqueName="155" name="Activity" queryTableFieldId="212"/>
    <tableColumn id="156" uniqueName="156" name="Total" queryTableFieldId="213"/>
    <tableColumn id="157" uniqueName="157" name="Sikora" queryTableFieldId="21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KTL Theme">
      <a:dk1>
        <a:sysClr val="windowText" lastClr="000000"/>
      </a:dk1>
      <a:lt1>
        <a:sysClr val="window" lastClr="FFFFFF"/>
      </a:lt1>
      <a:dk2>
        <a:srgbClr val="1F497D"/>
      </a:dk2>
      <a:lt2>
        <a:srgbClr val="EEECE1"/>
      </a:lt2>
      <a:accent1>
        <a:srgbClr val="227B3D"/>
      </a:accent1>
      <a:accent2>
        <a:srgbClr val="2CA1D7"/>
      </a:accent2>
      <a:accent3>
        <a:srgbClr val="7B7B7B"/>
      </a:accent3>
      <a:accent4>
        <a:srgbClr val="1E3320"/>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ransitionEvaluation="1" codeName="Sheet1">
    <pageSetUpPr fitToPage="1"/>
  </sheetPr>
  <dimension ref="A1:EL104"/>
  <sheetViews>
    <sheetView showGridLines="0" topLeftCell="B1" zoomScale="60" zoomScaleNormal="60" zoomScaleSheetLayoutView="55" zoomScalePageLayoutView="55" workbookViewId="0">
      <selection activeCell="D20" sqref="D20"/>
    </sheetView>
  </sheetViews>
  <sheetFormatPr defaultColWidth="4.77734375" defaultRowHeight="15"/>
  <cols>
    <col min="1" max="1" width="12.6640625" customWidth="1"/>
    <col min="2" max="2" width="6.6640625" customWidth="1"/>
    <col min="3" max="3" width="6.88671875" customWidth="1"/>
    <col min="4" max="4" width="54.77734375" customWidth="1"/>
    <col min="5" max="6" width="21.77734375" customWidth="1"/>
    <col min="7" max="7" width="10.88671875" bestFit="1" customWidth="1"/>
    <col min="8" max="10" width="10.109375" customWidth="1"/>
    <col min="11" max="11" width="8.5546875" customWidth="1"/>
    <col min="12" max="12" width="9.21875" customWidth="1"/>
    <col min="13" max="13" width="9.33203125" customWidth="1"/>
    <col min="14" max="14" width="8.6640625" customWidth="1"/>
    <col min="15" max="16" width="8.77734375" style="4" customWidth="1"/>
    <col min="17" max="17" width="9.5546875" customWidth="1"/>
    <col min="18" max="22" width="8.77734375" customWidth="1"/>
    <col min="23" max="23" width="8.33203125" customWidth="1"/>
    <col min="24" max="24" width="9.109375" bestFit="1" customWidth="1"/>
    <col min="25" max="25" width="16.44140625" bestFit="1" customWidth="1"/>
    <col min="26" max="26" width="10.6640625" style="3" customWidth="1"/>
    <col min="27" max="27" width="12.44140625" bestFit="1" customWidth="1"/>
    <col min="28" max="28" width="15.109375" bestFit="1" customWidth="1"/>
    <col min="29" max="33" width="9.33203125" customWidth="1"/>
    <col min="34" max="81" width="4.77734375" customWidth="1"/>
    <col min="82" max="82" width="12.33203125" bestFit="1" customWidth="1"/>
    <col min="83" max="83" width="10.33203125" bestFit="1" customWidth="1"/>
    <col min="84" max="84" width="4.77734375" customWidth="1"/>
    <col min="85" max="85" width="7.6640625" bestFit="1" customWidth="1"/>
    <col min="86" max="86" width="6.77734375" bestFit="1" customWidth="1"/>
    <col min="87" max="87" width="6.5546875" bestFit="1" customWidth="1"/>
    <col min="88" max="88" width="8.44140625" bestFit="1" customWidth="1"/>
    <col min="89" max="89" width="9.6640625" bestFit="1" customWidth="1"/>
    <col min="90" max="90" width="8.44140625" bestFit="1" customWidth="1"/>
    <col min="91" max="91" width="13.44140625" customWidth="1"/>
    <col min="92" max="92" width="8.44140625" bestFit="1" customWidth="1"/>
    <col min="133" max="133" width="9" bestFit="1" customWidth="1"/>
    <col min="135" max="135" width="9" bestFit="1" customWidth="1"/>
    <col min="136" max="137" width="7.21875" bestFit="1" customWidth="1"/>
    <col min="138" max="138" width="8.33203125" bestFit="1" customWidth="1"/>
    <col min="139" max="139" width="9.5546875" bestFit="1" customWidth="1"/>
    <col min="140" max="140" width="8.33203125" bestFit="1" customWidth="1"/>
    <col min="141" max="141" width="9.5546875" bestFit="1" customWidth="1"/>
    <col min="142" max="142" width="8.33203125" bestFit="1" customWidth="1"/>
  </cols>
  <sheetData>
    <row r="1" spans="1:142">
      <c r="EB1" t="s">
        <v>55</v>
      </c>
    </row>
    <row r="2" spans="1:142" ht="30">
      <c r="A2" s="85"/>
      <c r="B2" s="88" t="s">
        <v>0</v>
      </c>
      <c r="C2" s="240">
        <v>44629</v>
      </c>
      <c r="D2" s="240"/>
      <c r="E2" s="240"/>
      <c r="F2" s="185"/>
      <c r="G2" s="185"/>
      <c r="H2" s="185"/>
      <c r="I2" s="185"/>
      <c r="J2" s="185"/>
      <c r="K2" s="185"/>
      <c r="L2" s="158"/>
      <c r="M2" s="158"/>
      <c r="N2" s="7"/>
      <c r="P2" s="6"/>
      <c r="Q2" s="1"/>
      <c r="R2" s="1"/>
      <c r="U2" s="9"/>
      <c r="V2" s="8"/>
      <c r="W2" s="8"/>
      <c r="X2" s="8"/>
      <c r="EB2" s="42"/>
      <c r="EC2" s="43"/>
      <c r="ED2" s="42"/>
      <c r="EE2" s="43"/>
      <c r="EF2" s="44"/>
      <c r="EG2" s="44"/>
      <c r="EH2" s="44"/>
      <c r="EI2" s="45"/>
      <c r="EJ2" s="45"/>
      <c r="EK2" s="46"/>
      <c r="EL2" s="47"/>
    </row>
    <row r="3" spans="1:142" ht="26.25">
      <c r="A3" s="85"/>
      <c r="B3" s="88" t="s">
        <v>1</v>
      </c>
      <c r="C3" s="241">
        <v>85440</v>
      </c>
      <c r="D3" s="241"/>
      <c r="E3" s="85"/>
      <c r="F3" s="85"/>
      <c r="G3" s="26"/>
      <c r="H3" s="26"/>
      <c r="I3" s="26"/>
      <c r="J3" s="26"/>
      <c r="K3" s="26"/>
      <c r="L3" s="26"/>
      <c r="M3" s="26"/>
      <c r="N3" s="8"/>
      <c r="P3" s="6"/>
      <c r="Q3" s="1"/>
      <c r="R3" s="1"/>
      <c r="U3" s="10"/>
      <c r="V3" s="8"/>
      <c r="W3" s="8"/>
      <c r="X3" s="8"/>
      <c r="DE3" s="48"/>
      <c r="EB3" s="42"/>
      <c r="EC3" s="48"/>
      <c r="ED3" s="42"/>
      <c r="EE3" s="49"/>
      <c r="EF3" s="50"/>
      <c r="EG3" s="50"/>
      <c r="EH3" s="50"/>
      <c r="EI3" s="50"/>
      <c r="EJ3" s="50"/>
      <c r="EK3" s="50"/>
      <c r="EL3" s="50"/>
    </row>
    <row r="4" spans="1:142" ht="26.25">
      <c r="A4" s="85"/>
      <c r="B4" s="88" t="s">
        <v>2</v>
      </c>
      <c r="C4" s="220" t="s">
        <v>272</v>
      </c>
      <c r="D4" s="157"/>
      <c r="E4" s="85"/>
      <c r="F4" s="85"/>
      <c r="H4" s="27"/>
      <c r="I4" s="26"/>
      <c r="J4" s="26"/>
      <c r="K4" s="26"/>
      <c r="L4" s="26"/>
      <c r="M4" s="26"/>
      <c r="N4" s="8"/>
      <c r="P4" s="6"/>
      <c r="Q4" s="1"/>
      <c r="R4" s="1"/>
      <c r="U4" s="10"/>
      <c r="V4" s="8"/>
      <c r="W4" s="8"/>
      <c r="X4" s="8"/>
      <c r="DE4" s="48"/>
      <c r="EB4" s="42"/>
      <c r="EC4" s="48"/>
      <c r="ED4" s="42"/>
      <c r="EE4" s="49"/>
      <c r="EF4" s="50"/>
      <c r="EG4" s="50"/>
      <c r="EH4" s="50"/>
      <c r="EI4" s="50"/>
      <c r="EJ4" s="50"/>
      <c r="EK4" s="50"/>
      <c r="EL4" s="50"/>
    </row>
    <row r="5" spans="1:142" ht="26.25">
      <c r="A5" s="85"/>
      <c r="B5" s="88" t="s">
        <v>3</v>
      </c>
      <c r="C5" s="156" t="s">
        <v>253</v>
      </c>
      <c r="D5" s="157"/>
      <c r="E5" s="85"/>
      <c r="F5" s="85"/>
      <c r="H5" s="26"/>
      <c r="I5" s="26"/>
      <c r="J5" s="26"/>
      <c r="K5" s="26"/>
      <c r="L5" s="26"/>
      <c r="M5" s="26"/>
      <c r="N5" s="8"/>
      <c r="P5" s="6"/>
      <c r="Q5" s="1"/>
      <c r="R5" s="1"/>
      <c r="U5" s="10"/>
      <c r="V5" s="8"/>
      <c r="W5" s="8"/>
      <c r="X5" s="8"/>
      <c r="EB5" s="42"/>
      <c r="EC5" s="48"/>
      <c r="ED5" s="42"/>
      <c r="EE5" s="49"/>
      <c r="EF5" s="50"/>
      <c r="EG5" s="50"/>
      <c r="EH5" s="50"/>
      <c r="EI5" s="50"/>
      <c r="EJ5" s="50"/>
      <c r="EK5" s="50"/>
      <c r="EL5" s="50"/>
    </row>
    <row r="6" spans="1:142" ht="26.25">
      <c r="A6" s="85"/>
      <c r="B6" s="88" t="s">
        <v>4</v>
      </c>
      <c r="C6" s="241" t="s">
        <v>254</v>
      </c>
      <c r="D6" s="241"/>
      <c r="E6" s="85"/>
      <c r="F6" s="85"/>
      <c r="H6" s="26"/>
      <c r="I6" s="26"/>
      <c r="J6" s="26"/>
      <c r="K6" s="26"/>
      <c r="L6" s="26"/>
      <c r="M6" s="26"/>
      <c r="N6" s="8"/>
      <c r="U6" s="10"/>
      <c r="V6" s="8"/>
      <c r="W6" s="8"/>
      <c r="X6" s="8"/>
      <c r="EB6" s="42"/>
      <c r="EC6" s="51"/>
      <c r="ED6" s="42"/>
      <c r="EE6" s="52"/>
      <c r="EF6" s="52"/>
      <c r="EG6" s="44"/>
      <c r="EH6" s="50"/>
      <c r="EI6" s="50"/>
      <c r="EJ6" s="50"/>
      <c r="EK6" s="50"/>
      <c r="EL6" s="50"/>
    </row>
    <row r="7" spans="1:142" ht="26.25">
      <c r="A7" s="85"/>
      <c r="B7" s="88" t="s">
        <v>120</v>
      </c>
      <c r="C7" s="242">
        <v>44627</v>
      </c>
      <c r="D7" s="242"/>
      <c r="E7" s="246" t="s">
        <v>204</v>
      </c>
      <c r="F7" s="246"/>
      <c r="H7" s="26"/>
      <c r="I7" s="26"/>
      <c r="J7" s="26"/>
      <c r="K7" s="26"/>
      <c r="L7" s="26"/>
      <c r="M7" s="26"/>
      <c r="N7" s="8"/>
      <c r="U7" s="11"/>
      <c r="V7" s="8"/>
      <c r="W7" s="8"/>
      <c r="X7" s="8"/>
      <c r="EB7" s="42"/>
      <c r="EC7" s="51"/>
      <c r="ED7" s="42"/>
      <c r="EE7" s="52"/>
      <c r="EF7" s="52"/>
      <c r="EG7" s="44"/>
      <c r="EH7" s="50"/>
      <c r="EI7" s="50"/>
      <c r="EJ7" s="50"/>
      <c r="EK7" s="50"/>
      <c r="EL7" s="50"/>
    </row>
    <row r="8" spans="1:142" ht="20.100000000000001" customHeight="1">
      <c r="B8" s="199"/>
      <c r="C8" s="199"/>
      <c r="D8" s="199"/>
      <c r="E8" s="245">
        <v>44642</v>
      </c>
      <c r="F8" s="245"/>
      <c r="G8" s="199"/>
      <c r="H8" s="199"/>
      <c r="I8" s="199"/>
      <c r="J8" s="199"/>
      <c r="K8" s="199"/>
      <c r="L8" s="199"/>
      <c r="M8" s="199"/>
      <c r="N8" s="199"/>
      <c r="O8" s="199"/>
      <c r="P8" s="199"/>
      <c r="Q8" s="199"/>
      <c r="R8" s="199"/>
      <c r="S8" s="199"/>
      <c r="T8" s="199"/>
      <c r="U8" s="199"/>
      <c r="V8" s="199"/>
      <c r="W8" s="199"/>
      <c r="X8" s="199"/>
      <c r="Y8" s="199"/>
      <c r="Z8" s="199"/>
      <c r="AA8" s="199"/>
      <c r="AB8" s="199"/>
      <c r="AC8" s="199"/>
      <c r="AD8" s="243" t="s">
        <v>140</v>
      </c>
      <c r="AE8" s="243"/>
      <c r="AF8" s="243"/>
      <c r="AG8" s="243"/>
      <c r="EB8" s="42"/>
      <c r="EC8" s="51"/>
      <c r="ED8" s="42"/>
      <c r="EE8" s="52"/>
      <c r="EF8" s="52"/>
      <c r="EG8" s="44"/>
      <c r="EH8" s="50"/>
      <c r="EI8" s="50"/>
      <c r="EJ8" s="50"/>
      <c r="EK8" s="50"/>
      <c r="EL8" s="50"/>
    </row>
    <row r="9" spans="1:142" ht="20.100000000000001" customHeight="1" thickBot="1">
      <c r="A9" s="201"/>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44"/>
      <c r="AE9" s="244"/>
      <c r="AF9" s="244"/>
      <c r="AG9" s="244"/>
      <c r="EB9" s="42"/>
      <c r="EC9" s="51"/>
      <c r="ED9" s="42"/>
      <c r="EE9" s="52"/>
      <c r="EF9" s="52"/>
      <c r="EG9" s="44"/>
      <c r="EH9" s="50"/>
      <c r="EI9" s="50"/>
      <c r="EJ9" s="50"/>
      <c r="EK9" s="50"/>
      <c r="EL9" s="50"/>
    </row>
    <row r="10" spans="1:142" ht="26.25">
      <c r="A10" s="230" t="s">
        <v>7</v>
      </c>
      <c r="B10" s="231"/>
      <c r="C10" s="231"/>
      <c r="D10" s="231"/>
      <c r="E10" s="231"/>
      <c r="F10" s="231"/>
      <c r="G10" s="231"/>
      <c r="H10" s="231"/>
      <c r="I10" s="231"/>
      <c r="J10" s="231"/>
      <c r="K10" s="231"/>
      <c r="L10" s="231"/>
      <c r="M10" s="231"/>
      <c r="N10" s="231"/>
      <c r="O10" s="231"/>
      <c r="P10" s="231"/>
      <c r="Q10" s="231"/>
      <c r="R10" s="231"/>
      <c r="S10" s="231"/>
      <c r="T10" s="231"/>
      <c r="U10" s="231"/>
      <c r="V10" s="231"/>
      <c r="W10" s="231"/>
      <c r="X10" s="231"/>
      <c r="Y10" s="231"/>
      <c r="Z10" s="231"/>
      <c r="AA10" s="231"/>
      <c r="AB10" s="231"/>
      <c r="AC10" s="231"/>
      <c r="AD10" s="231"/>
      <c r="AE10" s="231"/>
      <c r="AF10" s="231"/>
      <c r="AG10" s="232"/>
      <c r="EB10" s="42"/>
      <c r="EC10" s="51"/>
      <c r="ED10" s="42"/>
      <c r="EE10" s="52"/>
      <c r="EF10" s="52"/>
      <c r="EG10" s="44"/>
      <c r="EH10" s="50"/>
      <c r="EI10" s="50"/>
      <c r="EJ10" s="50"/>
      <c r="EK10" s="50"/>
      <c r="EL10" s="50"/>
    </row>
    <row r="11" spans="1:142" ht="20.25">
      <c r="A11" s="33" t="s">
        <v>8</v>
      </c>
      <c r="B11" s="233" t="s">
        <v>9</v>
      </c>
      <c r="C11" s="233"/>
      <c r="D11" s="29" t="s">
        <v>91</v>
      </c>
      <c r="E11" s="163" t="s">
        <v>176</v>
      </c>
      <c r="F11" s="29" t="s">
        <v>106</v>
      </c>
      <c r="G11" s="238" t="s">
        <v>41</v>
      </c>
      <c r="H11" s="239"/>
      <c r="I11" s="238" t="s">
        <v>42</v>
      </c>
      <c r="J11" s="239"/>
      <c r="K11" s="238" t="s">
        <v>10</v>
      </c>
      <c r="L11" s="239"/>
      <c r="M11" s="33" t="s">
        <v>11</v>
      </c>
      <c r="N11" s="29" t="s">
        <v>19</v>
      </c>
      <c r="O11" s="30" t="s">
        <v>20</v>
      </c>
      <c r="P11" s="34" t="s">
        <v>21</v>
      </c>
      <c r="Q11" s="33" t="s">
        <v>50</v>
      </c>
      <c r="R11" s="29" t="s">
        <v>12</v>
      </c>
      <c r="S11" s="29" t="s">
        <v>15</v>
      </c>
      <c r="T11" s="29" t="s">
        <v>16</v>
      </c>
      <c r="U11" s="29" t="s">
        <v>17</v>
      </c>
      <c r="V11" s="35" t="s">
        <v>18</v>
      </c>
      <c r="W11" s="33" t="s">
        <v>14</v>
      </c>
      <c r="X11" s="29" t="s">
        <v>252</v>
      </c>
      <c r="Y11" s="29" t="s">
        <v>52</v>
      </c>
      <c r="Z11" s="29" t="s">
        <v>13</v>
      </c>
      <c r="AA11" s="73" t="s">
        <v>22</v>
      </c>
      <c r="AB11" s="69" t="str">
        <f>IF(ISNUMBER(X14),"Estimated","Total")</f>
        <v>Total</v>
      </c>
      <c r="AC11" s="227" t="s">
        <v>48</v>
      </c>
      <c r="AD11" s="228"/>
      <c r="AE11" s="228"/>
      <c r="AF11" s="228"/>
      <c r="AG11" s="229"/>
      <c r="EB11" s="42"/>
      <c r="EC11" s="51"/>
      <c r="ED11" s="42"/>
      <c r="EE11" s="52"/>
      <c r="EF11" s="52"/>
      <c r="EG11" s="44"/>
      <c r="EH11" s="50"/>
      <c r="EI11" s="50"/>
      <c r="EJ11" s="50"/>
      <c r="EK11" s="50"/>
      <c r="EL11" s="50"/>
    </row>
    <row r="12" spans="1:142" ht="19.5" customHeight="1">
      <c r="A12" s="37"/>
      <c r="B12" s="234" t="s">
        <v>37</v>
      </c>
      <c r="C12" s="234"/>
      <c r="D12" s="28" t="s">
        <v>40</v>
      </c>
      <c r="E12" s="165"/>
      <c r="F12" s="79"/>
      <c r="G12" s="225" t="s">
        <v>92</v>
      </c>
      <c r="H12" s="226"/>
      <c r="I12" s="225" t="s">
        <v>92</v>
      </c>
      <c r="J12" s="226"/>
      <c r="K12" s="31" t="s">
        <v>43</v>
      </c>
      <c r="L12" s="32" t="s">
        <v>203</v>
      </c>
      <c r="M12" s="225" t="s">
        <v>51</v>
      </c>
      <c r="N12" s="234"/>
      <c r="O12" s="234"/>
      <c r="P12" s="226"/>
      <c r="Q12" s="235" t="s">
        <v>39</v>
      </c>
      <c r="R12" s="236"/>
      <c r="S12" s="236"/>
      <c r="T12" s="236"/>
      <c r="U12" s="236"/>
      <c r="V12" s="237"/>
      <c r="W12" s="36" t="s">
        <v>38</v>
      </c>
      <c r="X12" s="28" t="s">
        <v>14</v>
      </c>
      <c r="Y12" s="81" t="s">
        <v>94</v>
      </c>
      <c r="Z12" s="25"/>
      <c r="AA12" s="74" t="s">
        <v>23</v>
      </c>
      <c r="AB12" s="70" t="str">
        <f>IF(ISNUMBER(X14),"CEC","Bases")</f>
        <v>Bases</v>
      </c>
      <c r="AC12" s="71"/>
      <c r="AD12" s="72"/>
      <c r="AE12" s="72"/>
      <c r="AF12" s="72"/>
      <c r="AG12" s="75"/>
      <c r="EB12" s="42"/>
      <c r="EC12" s="51"/>
      <c r="ED12" s="42"/>
      <c r="EE12" s="52"/>
      <c r="EF12" s="52"/>
      <c r="EG12" s="44"/>
      <c r="EH12" s="50"/>
      <c r="EI12" s="50"/>
      <c r="EJ12" s="50"/>
      <c r="EK12" s="50"/>
      <c r="EL12" s="50"/>
    </row>
    <row r="13" spans="1:142" ht="18">
      <c r="A13" s="63"/>
      <c r="B13" s="84" t="s">
        <v>96</v>
      </c>
      <c r="C13" s="64" t="s">
        <v>97</v>
      </c>
      <c r="D13" s="64"/>
      <c r="E13" s="162"/>
      <c r="F13" s="64"/>
      <c r="G13" s="65" t="s">
        <v>49</v>
      </c>
      <c r="H13" s="66" t="s">
        <v>24</v>
      </c>
      <c r="I13" s="65" t="s">
        <v>49</v>
      </c>
      <c r="J13" s="66" t="s">
        <v>24</v>
      </c>
      <c r="K13" s="65" t="s">
        <v>24</v>
      </c>
      <c r="L13" s="66" t="s">
        <v>24</v>
      </c>
      <c r="M13" s="65" t="s">
        <v>24</v>
      </c>
      <c r="N13" s="222" t="s">
        <v>93</v>
      </c>
      <c r="O13" s="223"/>
      <c r="P13" s="224"/>
      <c r="Q13" s="65" t="s">
        <v>24</v>
      </c>
      <c r="R13" s="64" t="s">
        <v>24</v>
      </c>
      <c r="S13" s="64" t="s">
        <v>24</v>
      </c>
      <c r="T13" s="64" t="s">
        <v>24</v>
      </c>
      <c r="U13" s="64" t="s">
        <v>24</v>
      </c>
      <c r="V13" s="66" t="s">
        <v>24</v>
      </c>
      <c r="W13" s="67"/>
      <c r="X13" s="68"/>
      <c r="Y13" s="83"/>
      <c r="Z13" s="64" t="s">
        <v>25</v>
      </c>
      <c r="AA13" s="205" t="s">
        <v>231</v>
      </c>
      <c r="AB13" s="150" t="s">
        <v>27</v>
      </c>
      <c r="AC13" s="151" t="s">
        <v>45</v>
      </c>
      <c r="AD13" s="83" t="s">
        <v>46</v>
      </c>
      <c r="AE13" s="83" t="s">
        <v>47</v>
      </c>
      <c r="AF13" s="83" t="s">
        <v>44</v>
      </c>
      <c r="AG13" s="152" t="s">
        <v>121</v>
      </c>
      <c r="EB13" s="42"/>
      <c r="EC13" s="51"/>
      <c r="ED13" s="42"/>
      <c r="EE13" s="52"/>
      <c r="EF13" s="52"/>
      <c r="EG13" s="44"/>
      <c r="EH13" s="50"/>
      <c r="EI13" s="50"/>
      <c r="EJ13" s="50"/>
      <c r="EK13" s="50"/>
      <c r="EL13" s="50"/>
    </row>
    <row r="14" spans="1:142" ht="30" customHeight="1">
      <c r="A14" s="100">
        <v>3749</v>
      </c>
      <c r="B14" s="95">
        <v>0</v>
      </c>
      <c r="C14" s="95">
        <v>12</v>
      </c>
      <c r="D14" s="186" t="s">
        <v>273</v>
      </c>
      <c r="E14" s="187"/>
      <c r="F14" s="187" t="s">
        <v>257</v>
      </c>
      <c r="G14" s="96">
        <v>46.8</v>
      </c>
      <c r="H14" s="97">
        <v>11.7</v>
      </c>
      <c r="I14" s="96">
        <v>14.4</v>
      </c>
      <c r="J14" s="97">
        <v>3.6</v>
      </c>
      <c r="K14" s="95">
        <v>32</v>
      </c>
      <c r="L14" s="95"/>
      <c r="M14" s="94">
        <v>802</v>
      </c>
      <c r="N14" s="98">
        <v>9.32</v>
      </c>
      <c r="O14" s="98">
        <v>4.08</v>
      </c>
      <c r="P14" s="99">
        <v>0.3</v>
      </c>
      <c r="Q14" s="100">
        <v>8</v>
      </c>
      <c r="R14" s="101">
        <v>0.75</v>
      </c>
      <c r="S14" s="98">
        <v>3.3</v>
      </c>
      <c r="T14" s="95">
        <v>15</v>
      </c>
      <c r="U14" s="102">
        <v>1.3</v>
      </c>
      <c r="V14" s="103">
        <v>13</v>
      </c>
      <c r="W14" s="102">
        <v>7.4</v>
      </c>
      <c r="X14" s="98"/>
      <c r="Y14" s="120">
        <v>0.3</v>
      </c>
      <c r="Z14" s="101">
        <v>1.72</v>
      </c>
      <c r="AA14" s="198" t="s">
        <v>269</v>
      </c>
      <c r="AB14" s="197">
        <v>15.8</v>
      </c>
      <c r="AC14" s="148">
        <v>59</v>
      </c>
      <c r="AD14" s="148">
        <v>25.8</v>
      </c>
      <c r="AE14" s="148">
        <v>13.3</v>
      </c>
      <c r="AF14" s="148">
        <v>1.9</v>
      </c>
      <c r="AG14" s="149"/>
      <c r="CD14" s="42"/>
      <c r="CE14" s="43"/>
      <c r="CF14" s="42"/>
      <c r="CG14" s="43"/>
      <c r="CH14" s="44"/>
      <c r="CI14" s="44"/>
      <c r="CJ14" s="44"/>
      <c r="CK14" s="45"/>
      <c r="CL14" s="45"/>
      <c r="CM14" s="46"/>
      <c r="CN14" s="47"/>
      <c r="DF14" s="48"/>
      <c r="EB14" s="42"/>
      <c r="EC14" s="51"/>
      <c r="ED14" s="42"/>
      <c r="EE14" s="52"/>
      <c r="EF14" s="52"/>
      <c r="EG14" s="44"/>
      <c r="EH14" s="50"/>
      <c r="EI14" s="50"/>
      <c r="EJ14" s="50"/>
      <c r="EK14" s="50"/>
      <c r="EL14" s="50"/>
    </row>
    <row r="15" spans="1:142" ht="30" customHeight="1">
      <c r="A15" s="100">
        <v>3750</v>
      </c>
      <c r="B15" s="95">
        <v>12</v>
      </c>
      <c r="C15" s="95">
        <v>24</v>
      </c>
      <c r="D15" s="186" t="s">
        <v>273</v>
      </c>
      <c r="E15" s="187"/>
      <c r="F15" s="187" t="s">
        <v>257</v>
      </c>
      <c r="G15" s="96">
        <v>95.6</v>
      </c>
      <c r="H15" s="97">
        <v>23.9</v>
      </c>
      <c r="I15" s="96">
        <v>6.8</v>
      </c>
      <c r="J15" s="97">
        <v>1.7</v>
      </c>
      <c r="K15" s="95"/>
      <c r="L15" s="95"/>
      <c r="M15" s="94"/>
      <c r="N15" s="98"/>
      <c r="O15" s="98"/>
      <c r="P15" s="99"/>
      <c r="Q15" s="100"/>
      <c r="R15" s="101"/>
      <c r="S15" s="98"/>
      <c r="T15" s="95"/>
      <c r="U15" s="102"/>
      <c r="V15" s="103"/>
      <c r="W15" s="102"/>
      <c r="X15" s="98"/>
      <c r="Y15" s="120"/>
      <c r="Z15" s="101"/>
      <c r="AA15" s="198"/>
      <c r="AB15" s="197"/>
      <c r="AC15" s="148"/>
      <c r="AD15" s="148"/>
      <c r="AE15" s="148"/>
      <c r="AF15" s="148"/>
      <c r="AG15" s="149"/>
    </row>
    <row r="16" spans="1:142" ht="30" customHeight="1">
      <c r="A16" s="100">
        <v>3751</v>
      </c>
      <c r="B16" s="95">
        <v>0</v>
      </c>
      <c r="C16" s="95">
        <v>12</v>
      </c>
      <c r="D16" s="186" t="s">
        <v>274</v>
      </c>
      <c r="E16" s="187"/>
      <c r="F16" s="187" t="s">
        <v>257</v>
      </c>
      <c r="G16" s="96">
        <v>14.4</v>
      </c>
      <c r="H16" s="97">
        <v>3.6</v>
      </c>
      <c r="I16" s="96">
        <v>24.4</v>
      </c>
      <c r="J16" s="97">
        <v>6.1</v>
      </c>
      <c r="K16" s="95">
        <v>19</v>
      </c>
      <c r="L16" s="95"/>
      <c r="M16" s="94">
        <v>378</v>
      </c>
      <c r="N16" s="98">
        <v>13.46</v>
      </c>
      <c r="O16" s="98">
        <v>5.43</v>
      </c>
      <c r="P16" s="99">
        <v>0.42</v>
      </c>
      <c r="Q16" s="100">
        <v>6</v>
      </c>
      <c r="R16" s="101">
        <v>0.7</v>
      </c>
      <c r="S16" s="98">
        <v>1.7</v>
      </c>
      <c r="T16" s="95">
        <v>12.7</v>
      </c>
      <c r="U16" s="102">
        <v>0.8</v>
      </c>
      <c r="V16" s="103">
        <v>9</v>
      </c>
      <c r="W16" s="102">
        <v>8.1999999999999993</v>
      </c>
      <c r="X16" s="98"/>
      <c r="Y16" s="120">
        <v>0.24</v>
      </c>
      <c r="Z16" s="101">
        <v>1.6</v>
      </c>
      <c r="AA16" s="198" t="s">
        <v>270</v>
      </c>
      <c r="AB16" s="197">
        <v>20.3</v>
      </c>
      <c r="AC16" s="148">
        <v>66.3</v>
      </c>
      <c r="AD16" s="148">
        <v>26.7</v>
      </c>
      <c r="AE16" s="148">
        <v>4.9000000000000004</v>
      </c>
      <c r="AF16" s="148">
        <v>2.1</v>
      </c>
      <c r="AG16" s="149"/>
    </row>
    <row r="17" spans="1:33" ht="30" customHeight="1">
      <c r="A17" s="100">
        <v>3752</v>
      </c>
      <c r="B17" s="95">
        <v>12</v>
      </c>
      <c r="C17" s="95">
        <v>24</v>
      </c>
      <c r="D17" s="186" t="s">
        <v>274</v>
      </c>
      <c r="E17" s="187"/>
      <c r="F17" s="187" t="s">
        <v>257</v>
      </c>
      <c r="G17" s="96">
        <v>28</v>
      </c>
      <c r="H17" s="97">
        <v>7</v>
      </c>
      <c r="I17" s="96">
        <v>10.8</v>
      </c>
      <c r="J17" s="97">
        <v>2.7</v>
      </c>
      <c r="K17" s="95"/>
      <c r="L17" s="95"/>
      <c r="M17" s="94"/>
      <c r="N17" s="98"/>
      <c r="O17" s="98"/>
      <c r="P17" s="99"/>
      <c r="Q17" s="100"/>
      <c r="R17" s="101"/>
      <c r="S17" s="98"/>
      <c r="T17" s="95"/>
      <c r="U17" s="102"/>
      <c r="V17" s="103"/>
      <c r="W17" s="102"/>
      <c r="X17" s="98"/>
      <c r="Y17" s="120"/>
      <c r="Z17" s="101"/>
      <c r="AA17" s="198"/>
      <c r="AB17" s="197"/>
      <c r="AC17" s="148"/>
      <c r="AD17" s="148"/>
      <c r="AE17" s="148"/>
      <c r="AF17" s="148"/>
      <c r="AG17" s="149"/>
    </row>
    <row r="18" spans="1:33" ht="30" customHeight="1">
      <c r="A18" s="100">
        <v>3753</v>
      </c>
      <c r="B18" s="95">
        <v>0</v>
      </c>
      <c r="C18" s="95">
        <v>12</v>
      </c>
      <c r="D18" s="186" t="s">
        <v>275</v>
      </c>
      <c r="E18" s="187"/>
      <c r="F18" s="187" t="s">
        <v>257</v>
      </c>
      <c r="G18" s="96">
        <v>14.8</v>
      </c>
      <c r="H18" s="97">
        <v>3.7</v>
      </c>
      <c r="I18" s="96">
        <v>15.6</v>
      </c>
      <c r="J18" s="97">
        <v>3.9</v>
      </c>
      <c r="K18" s="95">
        <v>21</v>
      </c>
      <c r="L18" s="95"/>
      <c r="M18" s="94">
        <v>206</v>
      </c>
      <c r="N18" s="98">
        <v>17.600000000000001</v>
      </c>
      <c r="O18" s="98">
        <v>3.68</v>
      </c>
      <c r="P18" s="99">
        <v>0.17</v>
      </c>
      <c r="Q18" s="100">
        <v>11</v>
      </c>
      <c r="R18" s="101">
        <v>0.52</v>
      </c>
      <c r="S18" s="98">
        <v>1.8</v>
      </c>
      <c r="T18" s="95">
        <v>17.899999999999999</v>
      </c>
      <c r="U18" s="102">
        <v>1.7</v>
      </c>
      <c r="V18" s="103">
        <v>27</v>
      </c>
      <c r="W18" s="102">
        <v>7.6</v>
      </c>
      <c r="X18" s="98"/>
      <c r="Y18" s="120">
        <v>0.32</v>
      </c>
      <c r="Z18" s="101">
        <v>1.6400000000000001</v>
      </c>
      <c r="AA18" s="198" t="s">
        <v>271</v>
      </c>
      <c r="AB18" s="197">
        <v>22</v>
      </c>
      <c r="AC18" s="148">
        <v>80</v>
      </c>
      <c r="AD18" s="148">
        <v>16.7</v>
      </c>
      <c r="AE18" s="148">
        <v>2.2999999999999998</v>
      </c>
      <c r="AF18" s="148">
        <v>0.8</v>
      </c>
      <c r="AG18" s="149"/>
    </row>
    <row r="19" spans="1:33" ht="30" customHeight="1">
      <c r="A19" s="100">
        <v>3754</v>
      </c>
      <c r="B19" s="95">
        <v>12</v>
      </c>
      <c r="C19" s="95">
        <v>24</v>
      </c>
      <c r="D19" s="186" t="s">
        <v>275</v>
      </c>
      <c r="E19" s="187"/>
      <c r="F19" s="187" t="s">
        <v>257</v>
      </c>
      <c r="G19" s="96">
        <v>12</v>
      </c>
      <c r="H19" s="97">
        <v>3</v>
      </c>
      <c r="I19" s="96">
        <v>11.2</v>
      </c>
      <c r="J19" s="97">
        <v>2.8</v>
      </c>
      <c r="K19" s="95"/>
      <c r="L19" s="95"/>
      <c r="M19" s="94"/>
      <c r="N19" s="98"/>
      <c r="O19" s="98"/>
      <c r="P19" s="99"/>
      <c r="Q19" s="100"/>
      <c r="R19" s="101"/>
      <c r="S19" s="98"/>
      <c r="T19" s="95"/>
      <c r="U19" s="102"/>
      <c r="V19" s="103"/>
      <c r="W19" s="102"/>
      <c r="X19" s="98"/>
      <c r="Y19" s="120"/>
      <c r="Z19" s="101"/>
      <c r="AA19" s="198"/>
      <c r="AB19" s="197"/>
      <c r="AC19" s="148"/>
      <c r="AD19" s="148"/>
      <c r="AE19" s="148"/>
      <c r="AF19" s="148"/>
      <c r="AG19" s="149"/>
    </row>
    <row r="20" spans="1:33" ht="30" customHeight="1" thickBot="1">
      <c r="A20" s="89"/>
      <c r="B20" s="90"/>
      <c r="C20" s="90"/>
      <c r="D20" s="90"/>
      <c r="E20" s="90"/>
      <c r="F20" s="90"/>
      <c r="G20" s="90"/>
      <c r="H20" s="90"/>
      <c r="I20" s="90"/>
      <c r="J20" s="90"/>
      <c r="K20" s="90"/>
      <c r="L20" s="90"/>
      <c r="M20" s="90"/>
      <c r="N20" s="90"/>
      <c r="O20" s="91"/>
      <c r="P20" s="91"/>
      <c r="Q20" s="90"/>
      <c r="R20" s="90"/>
      <c r="S20" s="90"/>
      <c r="T20" s="90"/>
      <c r="U20" s="90"/>
      <c r="V20" s="90"/>
      <c r="W20" s="90"/>
      <c r="X20" s="90"/>
      <c r="Y20" s="90"/>
      <c r="Z20" s="92"/>
      <c r="AA20" s="90"/>
      <c r="AB20" s="90"/>
      <c r="AC20" s="90"/>
      <c r="AD20" s="90"/>
      <c r="AE20" s="90"/>
      <c r="AF20" s="90"/>
      <c r="AG20" s="93"/>
    </row>
    <row r="21" spans="1:33" ht="30" customHeight="1">
      <c r="A21" s="76"/>
      <c r="B21" s="76"/>
      <c r="C21" s="76"/>
      <c r="D21" s="76"/>
      <c r="E21" s="76"/>
      <c r="F21" s="76"/>
      <c r="G21" s="76"/>
      <c r="H21" s="76"/>
      <c r="I21" s="76"/>
      <c r="J21" s="76"/>
      <c r="K21" s="76"/>
      <c r="L21" s="76"/>
      <c r="M21" s="76"/>
      <c r="N21" s="76"/>
      <c r="O21" s="77"/>
      <c r="P21" s="77"/>
      <c r="Q21" s="76"/>
      <c r="R21" s="76"/>
      <c r="S21" s="76"/>
      <c r="T21" s="76"/>
      <c r="U21" s="76"/>
      <c r="V21" s="76"/>
      <c r="W21" s="76"/>
      <c r="X21" s="76"/>
      <c r="Y21" s="76"/>
      <c r="Z21" s="78"/>
      <c r="AA21" s="76"/>
      <c r="AB21" s="76"/>
      <c r="AC21" s="76"/>
      <c r="AD21" s="76"/>
      <c r="AE21" s="76"/>
      <c r="AF21" s="76"/>
      <c r="AG21" s="76"/>
    </row>
    <row r="22" spans="1:33" ht="30" customHeight="1"/>
    <row r="23" spans="1:33" ht="30" customHeight="1"/>
    <row r="24" spans="1:33" ht="30" customHeight="1"/>
    <row r="25" spans="1:33" ht="30" customHeight="1"/>
    <row r="26" spans="1:33" ht="30" customHeight="1"/>
    <row r="27" spans="1:33" ht="30" customHeight="1"/>
    <row r="28" spans="1:33" ht="30" customHeight="1"/>
    <row r="29" spans="1:33" ht="30" customHeight="1"/>
    <row r="30" spans="1:33" ht="30" customHeight="1"/>
    <row r="31" spans="1:33" ht="30" customHeight="1"/>
    <row r="32" spans="1:33"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sheetData>
  <mergeCells count="19">
    <mergeCell ref="C2:E2"/>
    <mergeCell ref="C3:D3"/>
    <mergeCell ref="C6:D6"/>
    <mergeCell ref="C7:D7"/>
    <mergeCell ref="AD8:AG9"/>
    <mergeCell ref="E8:F8"/>
    <mergeCell ref="E7:F7"/>
    <mergeCell ref="N13:P13"/>
    <mergeCell ref="G12:H12"/>
    <mergeCell ref="I12:J12"/>
    <mergeCell ref="AC11:AG11"/>
    <mergeCell ref="A10:AG10"/>
    <mergeCell ref="B11:C11"/>
    <mergeCell ref="B12:C12"/>
    <mergeCell ref="M12:P12"/>
    <mergeCell ref="Q12:V12"/>
    <mergeCell ref="G11:H11"/>
    <mergeCell ref="I11:J11"/>
    <mergeCell ref="K11:L11"/>
  </mergeCells>
  <conditionalFormatting sqref="AB14">
    <cfRule type="cellIs" dxfId="87" priority="732" operator="equal">
      <formula>0</formula>
    </cfRule>
  </conditionalFormatting>
  <conditionalFormatting sqref="AB15:AB19">
    <cfRule type="cellIs" dxfId="86" priority="1" operator="equal">
      <formula>0</formula>
    </cfRule>
  </conditionalFormatting>
  <printOptions gridLinesSet="0"/>
  <pageMargins left="0.25" right="0.25" top="0.75" bottom="0.75" header="0.3" footer="0.3"/>
  <pageSetup scale="29" fitToHeight="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transitionEvaluation="1" codeName="Sheet7">
    <pageSetUpPr fitToPage="1"/>
  </sheetPr>
  <dimension ref="A1:FC72"/>
  <sheetViews>
    <sheetView showGridLines="0" topLeftCell="A43" zoomScale="60" zoomScaleNormal="60" zoomScaleSheetLayoutView="55" workbookViewId="0">
      <selection activeCell="C8" sqref="C8:E8"/>
    </sheetView>
  </sheetViews>
  <sheetFormatPr defaultColWidth="4.77734375" defaultRowHeight="15"/>
  <cols>
    <col min="1" max="1" width="12.6640625" customWidth="1"/>
    <col min="2" max="3" width="5.77734375" customWidth="1"/>
    <col min="4" max="4" width="21.109375" customWidth="1"/>
    <col min="5" max="9" width="9.77734375" customWidth="1"/>
    <col min="10" max="10" width="9.33203125" customWidth="1"/>
    <col min="11" max="11" width="8.6640625" customWidth="1"/>
    <col min="12" max="13" width="8.6640625" style="4" customWidth="1"/>
    <col min="14" max="21" width="9.77734375" customWidth="1"/>
    <col min="22" max="22" width="14.88671875" bestFit="1" customWidth="1"/>
    <col min="23" max="23" width="16.77734375" bestFit="1" customWidth="1"/>
    <col min="24" max="24" width="8.77734375" style="3" customWidth="1"/>
    <col min="25" max="25" width="18.5546875" bestFit="1" customWidth="1"/>
    <col min="26" max="66" width="4.77734375" customWidth="1"/>
    <col min="67" max="72" width="4.77734375" style="106" customWidth="1"/>
    <col min="73" max="97" width="4.77734375" style="104" customWidth="1"/>
    <col min="98" max="98" width="12.44140625" style="104" bestFit="1" customWidth="1"/>
    <col min="99" max="99" width="15.88671875" style="104" bestFit="1" customWidth="1"/>
    <col min="100" max="100" width="4.77734375" style="104" customWidth="1"/>
    <col min="101" max="101" width="7.77734375" style="104" bestFit="1" customWidth="1"/>
    <col min="102" max="102" width="6.88671875" style="104" bestFit="1" customWidth="1"/>
    <col min="103" max="103" width="6.6640625" style="104" bestFit="1" customWidth="1"/>
    <col min="104" max="104" width="8.5546875" style="104" bestFit="1" customWidth="1"/>
    <col min="105" max="105" width="9.77734375" style="104" bestFit="1" customWidth="1"/>
    <col min="106" max="106" width="8.5546875" style="104" bestFit="1" customWidth="1"/>
    <col min="107" max="107" width="13.44140625" style="104" customWidth="1"/>
    <col min="108" max="108" width="8.5546875" style="104" bestFit="1" customWidth="1"/>
    <col min="109" max="109" width="4.88671875" style="104" bestFit="1" customWidth="1"/>
    <col min="110" max="110" width="7" style="104" bestFit="1" customWidth="1"/>
    <col min="111" max="112" width="4.88671875" style="104" bestFit="1" customWidth="1"/>
    <col min="113" max="113" width="5.21875" style="104" bestFit="1" customWidth="1"/>
    <col min="114" max="117" width="5.5546875" style="104" bestFit="1" customWidth="1"/>
    <col min="118" max="148" width="4.77734375" style="104"/>
    <col min="149" max="149" width="9" style="104" bestFit="1" customWidth="1"/>
    <col min="150" max="150" width="4.77734375" style="104"/>
    <col min="151" max="151" width="9" style="104" bestFit="1" customWidth="1"/>
    <col min="152" max="153" width="7.21875" style="104" bestFit="1" customWidth="1"/>
    <col min="154" max="154" width="8.33203125" style="104" bestFit="1" customWidth="1"/>
    <col min="155" max="155" width="9.5546875" style="104" bestFit="1" customWidth="1"/>
    <col min="156" max="156" width="8.33203125" style="104" bestFit="1" customWidth="1"/>
    <col min="157" max="157" width="9.5546875" style="104" bestFit="1" customWidth="1"/>
    <col min="158" max="158" width="8.33203125" style="104" bestFit="1" customWidth="1"/>
    <col min="159" max="16384" width="4.77734375" style="104"/>
  </cols>
  <sheetData>
    <row r="1" spans="1:159">
      <c r="ER1" s="104" t="s">
        <v>55</v>
      </c>
    </row>
    <row r="2" spans="1:159" ht="30">
      <c r="A2" s="85"/>
      <c r="B2" s="88" t="s">
        <v>0</v>
      </c>
      <c r="C2" s="261">
        <v>44629</v>
      </c>
      <c r="D2" s="261"/>
      <c r="E2" s="261"/>
      <c r="F2" s="261"/>
      <c r="G2" s="261"/>
      <c r="H2" s="217"/>
      <c r="I2" s="217"/>
      <c r="J2" s="217"/>
      <c r="K2" s="159"/>
      <c r="M2" s="6"/>
      <c r="N2" s="1"/>
      <c r="O2" s="1"/>
      <c r="R2" s="9"/>
      <c r="S2" s="8"/>
      <c r="T2" s="8"/>
      <c r="U2" s="8"/>
      <c r="V2" s="8"/>
      <c r="W2" s="8"/>
      <c r="ER2" s="121"/>
      <c r="ES2" s="122"/>
      <c r="ET2" s="121"/>
      <c r="EU2" s="122"/>
      <c r="EV2" s="123"/>
      <c r="EW2" s="123"/>
      <c r="EX2" s="123"/>
      <c r="EY2" s="124"/>
      <c r="EZ2" s="124"/>
      <c r="FA2" s="125"/>
      <c r="FB2" s="126"/>
    </row>
    <row r="3" spans="1:159" ht="26.25">
      <c r="A3" s="85"/>
      <c r="B3" s="88" t="s">
        <v>1</v>
      </c>
      <c r="C3" s="262">
        <v>85440</v>
      </c>
      <c r="D3" s="262"/>
      <c r="E3" s="262"/>
      <c r="F3" s="87"/>
      <c r="G3" s="87"/>
      <c r="H3" s="87"/>
      <c r="I3" s="87"/>
      <c r="J3" s="87"/>
      <c r="K3" s="8"/>
      <c r="M3" s="6"/>
      <c r="N3" s="1"/>
      <c r="O3" s="1"/>
      <c r="R3" s="10"/>
      <c r="S3" s="8"/>
      <c r="T3" s="8"/>
      <c r="U3" s="8"/>
      <c r="V3" s="8"/>
      <c r="W3" s="8"/>
      <c r="DU3" s="105"/>
      <c r="ER3" s="121"/>
      <c r="ES3" s="105"/>
      <c r="ET3" s="121"/>
      <c r="EU3" s="127"/>
      <c r="EV3" s="107"/>
      <c r="EW3" s="107"/>
      <c r="EX3" s="107"/>
      <c r="EY3" s="107"/>
      <c r="EZ3" s="107"/>
      <c r="FA3" s="107"/>
      <c r="FB3" s="107"/>
    </row>
    <row r="4" spans="1:159" ht="26.25">
      <c r="A4" s="85"/>
      <c r="B4" s="88" t="s">
        <v>2</v>
      </c>
      <c r="C4" s="220" t="s">
        <v>272</v>
      </c>
      <c r="D4" s="86"/>
      <c r="E4" s="86"/>
      <c r="F4" s="87"/>
      <c r="G4" s="87"/>
      <c r="H4" s="87"/>
      <c r="I4" s="87"/>
      <c r="J4" s="87"/>
      <c r="K4" s="8"/>
      <c r="M4" s="6"/>
      <c r="N4" s="1"/>
      <c r="O4" s="1"/>
      <c r="R4" s="10"/>
      <c r="S4" s="8"/>
      <c r="T4" s="8"/>
      <c r="U4" s="8"/>
      <c r="V4" s="8"/>
      <c r="W4" s="8"/>
      <c r="DU4" s="105"/>
      <c r="ER4" s="121"/>
      <c r="ES4" s="105"/>
      <c r="ET4" s="121"/>
      <c r="EU4" s="127"/>
      <c r="EV4" s="107"/>
      <c r="EW4" s="107"/>
      <c r="EX4" s="107"/>
      <c r="EY4" s="107"/>
      <c r="EZ4" s="107"/>
      <c r="FA4" s="107"/>
      <c r="FB4" s="107"/>
    </row>
    <row r="5" spans="1:159" ht="26.25">
      <c r="A5" s="85"/>
      <c r="B5" s="88" t="s">
        <v>3</v>
      </c>
      <c r="C5" s="218" t="s">
        <v>253</v>
      </c>
      <c r="D5" s="87"/>
      <c r="E5" s="87"/>
      <c r="F5" s="87"/>
      <c r="G5" s="87"/>
      <c r="H5" s="87"/>
      <c r="I5" s="87"/>
      <c r="J5" s="87"/>
      <c r="K5" s="8"/>
      <c r="M5" s="6"/>
      <c r="N5" s="1"/>
      <c r="O5" s="1"/>
      <c r="R5" s="10"/>
      <c r="S5" s="8"/>
      <c r="T5" s="8"/>
      <c r="U5" s="8"/>
      <c r="V5" s="8"/>
      <c r="W5" s="8"/>
      <c r="ER5" s="121"/>
      <c r="ES5" s="105"/>
      <c r="ET5" s="121"/>
      <c r="EU5" s="127"/>
      <c r="EV5" s="107"/>
      <c r="EW5" s="107"/>
      <c r="EX5" s="107"/>
      <c r="EY5" s="107"/>
      <c r="EZ5" s="107"/>
      <c r="FA5" s="107"/>
      <c r="FB5" s="107"/>
    </row>
    <row r="6" spans="1:159" ht="26.25">
      <c r="A6" s="85"/>
      <c r="B6" s="88" t="s">
        <v>4</v>
      </c>
      <c r="C6" s="218" t="s">
        <v>254</v>
      </c>
      <c r="D6" s="87"/>
      <c r="E6" s="87"/>
      <c r="F6" s="87"/>
      <c r="G6" s="87"/>
      <c r="H6" s="87"/>
      <c r="I6" s="87"/>
      <c r="J6" s="87"/>
      <c r="K6" s="8"/>
      <c r="R6" s="10"/>
      <c r="S6" s="8"/>
      <c r="T6" s="8"/>
      <c r="U6" s="8"/>
      <c r="V6" s="8"/>
      <c r="W6" s="8"/>
      <c r="ER6" s="121"/>
      <c r="ES6" s="128"/>
      <c r="ET6" s="121"/>
      <c r="EU6" s="129"/>
      <c r="EV6" s="129"/>
      <c r="EW6" s="123"/>
      <c r="EX6" s="107"/>
      <c r="EY6" s="107"/>
      <c r="EZ6" s="107"/>
      <c r="FA6" s="107"/>
      <c r="FB6" s="107"/>
    </row>
    <row r="7" spans="1:159" ht="26.25">
      <c r="A7" s="85"/>
      <c r="B7" s="88" t="s">
        <v>5</v>
      </c>
      <c r="C7" s="263" t="s">
        <v>273</v>
      </c>
      <c r="D7" s="263"/>
      <c r="E7" s="263"/>
      <c r="F7" s="263"/>
      <c r="G7" s="263"/>
      <c r="H7" s="263"/>
      <c r="I7" s="87"/>
      <c r="J7" s="87"/>
      <c r="K7" s="8"/>
      <c r="R7" s="10"/>
      <c r="S7" s="8"/>
      <c r="T7" s="8"/>
      <c r="U7" s="8"/>
      <c r="V7" s="8"/>
      <c r="W7" s="8"/>
      <c r="ER7" s="121"/>
      <c r="ES7" s="128"/>
      <c r="ET7" s="121"/>
      <c r="EU7" s="129"/>
      <c r="EV7" s="129"/>
      <c r="EW7" s="123"/>
      <c r="EX7" s="107"/>
      <c r="EY7" s="107"/>
      <c r="EZ7" s="107"/>
      <c r="FA7" s="107"/>
      <c r="FB7" s="107"/>
    </row>
    <row r="8" spans="1:159" ht="26.25">
      <c r="A8" s="85"/>
      <c r="B8" s="88" t="s">
        <v>6</v>
      </c>
      <c r="C8" s="263" t="s">
        <v>257</v>
      </c>
      <c r="D8" s="263"/>
      <c r="E8" s="263"/>
      <c r="F8" s="246" t="s">
        <v>204</v>
      </c>
      <c r="G8" s="246"/>
      <c r="H8" s="246"/>
      <c r="I8" s="246"/>
      <c r="J8" s="87"/>
      <c r="K8" s="8"/>
      <c r="R8" s="11"/>
      <c r="S8" s="8"/>
      <c r="T8" s="8"/>
      <c r="U8" s="8"/>
      <c r="V8" s="8"/>
      <c r="W8" s="8"/>
      <c r="ER8" s="121"/>
      <c r="ES8" s="128"/>
      <c r="ET8" s="121"/>
      <c r="EU8" s="129"/>
      <c r="EV8" s="129"/>
      <c r="EW8" s="123"/>
      <c r="EX8" s="107"/>
      <c r="EY8" s="107"/>
      <c r="EZ8" s="107"/>
      <c r="FA8" s="107"/>
      <c r="FB8" s="107"/>
    </row>
    <row r="9" spans="1:159" ht="26.25">
      <c r="A9" s="18"/>
      <c r="B9" s="88" t="s">
        <v>120</v>
      </c>
      <c r="C9" s="242">
        <v>44627</v>
      </c>
      <c r="D9" s="242"/>
      <c r="E9" s="242"/>
      <c r="F9" s="245">
        <v>44642</v>
      </c>
      <c r="G9" s="245"/>
      <c r="H9" s="245"/>
      <c r="I9" s="245"/>
      <c r="J9" s="178"/>
      <c r="ER9" s="121"/>
      <c r="ES9" s="128"/>
      <c r="ET9" s="121"/>
      <c r="EU9" s="129"/>
      <c r="EV9" s="129"/>
      <c r="EW9" s="123"/>
      <c r="EX9" s="107"/>
      <c r="EY9" s="107"/>
      <c r="EZ9" s="107"/>
      <c r="FA9" s="107"/>
      <c r="FB9" s="107"/>
    </row>
    <row r="10" spans="1:159" ht="18.75" thickBot="1">
      <c r="A10" s="201"/>
      <c r="B10" s="19"/>
      <c r="C10" s="19"/>
      <c r="D10" s="19"/>
      <c r="E10" s="19"/>
      <c r="F10" s="19"/>
      <c r="G10" s="19"/>
      <c r="H10" s="19"/>
      <c r="I10" s="19"/>
      <c r="J10" s="19"/>
      <c r="K10" s="19"/>
      <c r="L10" s="20"/>
      <c r="M10" s="20"/>
      <c r="N10" s="19"/>
      <c r="O10" s="19"/>
      <c r="P10" s="19"/>
      <c r="Q10" s="19"/>
      <c r="R10" s="19"/>
      <c r="S10" s="19"/>
      <c r="T10" s="19"/>
      <c r="U10" s="19"/>
      <c r="V10" s="19"/>
      <c r="W10" s="19"/>
      <c r="X10" s="21"/>
      <c r="ER10" s="121"/>
      <c r="ES10" s="128"/>
      <c r="ET10" s="121"/>
      <c r="EU10" s="129"/>
      <c r="EV10" s="129"/>
      <c r="EW10" s="123"/>
      <c r="EX10" s="107"/>
      <c r="EY10" s="107"/>
      <c r="EZ10" s="107"/>
      <c r="FA10" s="107"/>
      <c r="FB10" s="107"/>
    </row>
    <row r="11" spans="1:159" ht="27" thickTop="1">
      <c r="A11" s="257" t="s">
        <v>7</v>
      </c>
      <c r="B11" s="258"/>
      <c r="C11" s="258"/>
      <c r="D11" s="258"/>
      <c r="E11" s="258"/>
      <c r="F11" s="258"/>
      <c r="G11" s="258"/>
      <c r="H11" s="258"/>
      <c r="I11" s="258"/>
      <c r="J11" s="258"/>
      <c r="K11" s="258"/>
      <c r="L11" s="258"/>
      <c r="M11" s="258"/>
      <c r="N11" s="258"/>
      <c r="O11" s="258"/>
      <c r="P11" s="258"/>
      <c r="Q11" s="258"/>
      <c r="R11" s="258"/>
      <c r="S11" s="258"/>
      <c r="T11" s="258"/>
      <c r="U11" s="258"/>
      <c r="V11" s="258"/>
      <c r="W11" s="258"/>
      <c r="X11" s="258"/>
      <c r="Y11" s="259"/>
      <c r="BO11"/>
      <c r="BU11" s="106"/>
      <c r="ES11" s="121"/>
      <c r="ET11" s="128"/>
      <c r="EU11" s="121"/>
      <c r="EV11" s="129"/>
      <c r="EW11" s="129"/>
      <c r="EX11" s="123"/>
      <c r="EY11" s="107"/>
      <c r="EZ11" s="107"/>
      <c r="FA11" s="107"/>
      <c r="FB11" s="107"/>
      <c r="FC11" s="107"/>
    </row>
    <row r="12" spans="1:159" ht="20.25">
      <c r="A12" s="215" t="s">
        <v>8</v>
      </c>
      <c r="B12" s="238" t="s">
        <v>9</v>
      </c>
      <c r="C12" s="233"/>
      <c r="D12" s="216" t="s">
        <v>177</v>
      </c>
      <c r="E12" s="238" t="s">
        <v>41</v>
      </c>
      <c r="F12" s="239"/>
      <c r="G12" s="238" t="s">
        <v>42</v>
      </c>
      <c r="H12" s="239"/>
      <c r="I12" s="238" t="s">
        <v>10</v>
      </c>
      <c r="J12" s="239"/>
      <c r="K12" s="215" t="s">
        <v>11</v>
      </c>
      <c r="L12" s="211" t="s">
        <v>19</v>
      </c>
      <c r="M12" s="30" t="s">
        <v>20</v>
      </c>
      <c r="N12" s="34" t="s">
        <v>21</v>
      </c>
      <c r="O12" s="215" t="s">
        <v>50</v>
      </c>
      <c r="P12" s="211" t="s">
        <v>12</v>
      </c>
      <c r="Q12" s="211" t="s">
        <v>15</v>
      </c>
      <c r="R12" s="211" t="s">
        <v>16</v>
      </c>
      <c r="S12" s="211" t="s">
        <v>17</v>
      </c>
      <c r="T12" s="216" t="s">
        <v>18</v>
      </c>
      <c r="U12" s="215" t="s">
        <v>14</v>
      </c>
      <c r="V12" s="211" t="s">
        <v>252</v>
      </c>
      <c r="W12" s="211" t="s">
        <v>52</v>
      </c>
      <c r="X12" s="211" t="s">
        <v>13</v>
      </c>
      <c r="Y12" s="216" t="s">
        <v>99</v>
      </c>
      <c r="BO12"/>
      <c r="BU12" s="106"/>
      <c r="ES12" s="121"/>
      <c r="ET12" s="128"/>
      <c r="EU12" s="121"/>
      <c r="EV12" s="129"/>
      <c r="EW12" s="129"/>
      <c r="EX12" s="123"/>
      <c r="EY12" s="107"/>
      <c r="EZ12" s="107"/>
      <c r="FA12" s="107"/>
      <c r="FB12" s="107"/>
      <c r="FC12" s="107"/>
    </row>
    <row r="13" spans="1:159" ht="19.5" customHeight="1">
      <c r="A13" s="37"/>
      <c r="B13" s="225" t="s">
        <v>98</v>
      </c>
      <c r="C13" s="260"/>
      <c r="D13" s="79" t="s">
        <v>40</v>
      </c>
      <c r="E13" s="225" t="s">
        <v>92</v>
      </c>
      <c r="F13" s="226"/>
      <c r="G13" s="225" t="s">
        <v>92</v>
      </c>
      <c r="H13" s="226"/>
      <c r="I13" s="209" t="s">
        <v>43</v>
      </c>
      <c r="J13" s="210" t="str">
        <f>Summary!L12</f>
        <v>Bray</v>
      </c>
      <c r="K13" s="225" t="s">
        <v>51</v>
      </c>
      <c r="L13" s="234"/>
      <c r="M13" s="234"/>
      <c r="N13" s="226"/>
      <c r="O13" s="235" t="s">
        <v>39</v>
      </c>
      <c r="P13" s="236"/>
      <c r="Q13" s="236"/>
      <c r="R13" s="236"/>
      <c r="S13" s="236"/>
      <c r="T13" s="237"/>
      <c r="U13" s="212" t="s">
        <v>38</v>
      </c>
      <c r="V13" s="28" t="s">
        <v>14</v>
      </c>
      <c r="W13" s="213" t="s">
        <v>94</v>
      </c>
      <c r="X13" s="213"/>
      <c r="Y13" s="214" t="s">
        <v>231</v>
      </c>
      <c r="BO13"/>
      <c r="BU13" s="106"/>
      <c r="ES13" s="121"/>
      <c r="ET13" s="128"/>
      <c r="EU13" s="121"/>
      <c r="EV13" s="129"/>
      <c r="EW13" s="129"/>
      <c r="EX13" s="123"/>
      <c r="EY13" s="107"/>
      <c r="EZ13" s="107"/>
      <c r="FA13" s="107"/>
      <c r="FB13" s="107"/>
      <c r="FC13" s="107"/>
    </row>
    <row r="14" spans="1:159" ht="18">
      <c r="A14" s="63"/>
      <c r="B14" s="65" t="s">
        <v>96</v>
      </c>
      <c r="C14" s="207" t="s">
        <v>97</v>
      </c>
      <c r="D14" s="207"/>
      <c r="E14" s="65" t="s">
        <v>49</v>
      </c>
      <c r="F14" s="208" t="s">
        <v>24</v>
      </c>
      <c r="G14" s="65" t="s">
        <v>49</v>
      </c>
      <c r="H14" s="208" t="s">
        <v>24</v>
      </c>
      <c r="I14" s="65" t="s">
        <v>24</v>
      </c>
      <c r="J14" s="208" t="s">
        <v>24</v>
      </c>
      <c r="K14" s="65" t="s">
        <v>24</v>
      </c>
      <c r="L14" s="222" t="s">
        <v>93</v>
      </c>
      <c r="M14" s="223"/>
      <c r="N14" s="224"/>
      <c r="O14" s="65" t="s">
        <v>24</v>
      </c>
      <c r="P14" s="207" t="s">
        <v>24</v>
      </c>
      <c r="Q14" s="207" t="s">
        <v>24</v>
      </c>
      <c r="R14" s="207" t="s">
        <v>24</v>
      </c>
      <c r="S14" s="207" t="s">
        <v>24</v>
      </c>
      <c r="T14" s="208" t="s">
        <v>24</v>
      </c>
      <c r="U14" s="67"/>
      <c r="V14" s="68"/>
      <c r="W14" s="207" t="s">
        <v>95</v>
      </c>
      <c r="X14" s="207" t="s">
        <v>25</v>
      </c>
      <c r="Y14" s="208"/>
      <c r="BO14"/>
      <c r="BU14" s="106"/>
      <c r="ES14" s="121"/>
      <c r="ET14" s="128"/>
      <c r="EU14" s="121"/>
      <c r="EV14" s="129"/>
      <c r="EW14" s="129"/>
      <c r="EX14" s="123"/>
      <c r="EY14" s="107"/>
      <c r="EZ14" s="107"/>
      <c r="FA14" s="107"/>
      <c r="FB14" s="107"/>
      <c r="FC14" s="107"/>
    </row>
    <row r="15" spans="1:159" ht="39.75" customHeight="1">
      <c r="A15" s="188">
        <v>3749</v>
      </c>
      <c r="B15" s="188">
        <v>0</v>
      </c>
      <c r="C15" s="189">
        <v>12</v>
      </c>
      <c r="D15" s="190"/>
      <c r="E15" s="191">
        <v>46.8</v>
      </c>
      <c r="F15" s="192">
        <v>11.7</v>
      </c>
      <c r="G15" s="189">
        <v>14.4</v>
      </c>
      <c r="H15" s="193">
        <v>3.6</v>
      </c>
      <c r="I15" s="191">
        <v>32</v>
      </c>
      <c r="J15" s="194"/>
      <c r="K15" s="189">
        <v>802</v>
      </c>
      <c r="L15" s="193">
        <v>9.32</v>
      </c>
      <c r="M15" s="193">
        <v>4.08</v>
      </c>
      <c r="N15" s="195">
        <v>0.3</v>
      </c>
      <c r="O15" s="191">
        <v>8</v>
      </c>
      <c r="P15" s="195">
        <v>0.75</v>
      </c>
      <c r="Q15" s="193">
        <v>3.3</v>
      </c>
      <c r="R15" s="189">
        <v>15</v>
      </c>
      <c r="S15" s="193">
        <v>1.3</v>
      </c>
      <c r="T15" s="194">
        <v>13</v>
      </c>
      <c r="U15" s="193">
        <v>7.4</v>
      </c>
      <c r="V15" s="193"/>
      <c r="W15" s="195">
        <v>0.3</v>
      </c>
      <c r="X15" s="195">
        <v>1.72</v>
      </c>
      <c r="Y15" s="196" t="s">
        <v>269</v>
      </c>
      <c r="BO15"/>
      <c r="BU15" s="106"/>
      <c r="CU15" s="121"/>
      <c r="CV15" s="122"/>
      <c r="CW15" s="121">
        <v>0</v>
      </c>
      <c r="CX15" s="122">
        <v>1</v>
      </c>
      <c r="CY15" s="123">
        <v>2</v>
      </c>
      <c r="CZ15" s="123">
        <v>3</v>
      </c>
      <c r="DA15" s="123" t="s">
        <v>56</v>
      </c>
      <c r="DB15" s="124" t="s">
        <v>57</v>
      </c>
      <c r="DC15" s="124" t="s">
        <v>56</v>
      </c>
      <c r="DD15" s="125" t="s">
        <v>57</v>
      </c>
      <c r="DE15" s="126" t="s">
        <v>56</v>
      </c>
      <c r="DW15" s="105"/>
      <c r="ES15" s="121"/>
      <c r="ET15" s="128"/>
      <c r="EU15" s="121"/>
      <c r="EV15" s="129"/>
      <c r="EW15" s="129"/>
      <c r="EX15" s="123"/>
      <c r="EY15" s="107"/>
      <c r="EZ15" s="107"/>
      <c r="FA15" s="107"/>
      <c r="FB15" s="107"/>
      <c r="FC15" s="107"/>
    </row>
    <row r="16" spans="1:159" ht="30" customHeight="1">
      <c r="A16" s="188">
        <v>3750</v>
      </c>
      <c r="B16" s="188">
        <v>12</v>
      </c>
      <c r="C16" s="189">
        <v>24</v>
      </c>
      <c r="D16" s="190"/>
      <c r="E16" s="191">
        <v>95.6</v>
      </c>
      <c r="F16" s="192">
        <v>23.9</v>
      </c>
      <c r="G16" s="189">
        <v>6.8</v>
      </c>
      <c r="H16" s="193">
        <v>1.7</v>
      </c>
      <c r="I16" s="191"/>
      <c r="J16" s="194"/>
      <c r="K16" s="189"/>
      <c r="L16" s="193"/>
      <c r="M16" s="193"/>
      <c r="N16" s="195"/>
      <c r="O16" s="191"/>
      <c r="P16" s="195"/>
      <c r="Q16" s="193"/>
      <c r="R16" s="189"/>
      <c r="S16" s="193"/>
      <c r="T16" s="194"/>
      <c r="U16" s="193"/>
      <c r="V16" s="193"/>
      <c r="W16" s="195"/>
      <c r="X16" s="195"/>
      <c r="Y16" s="196"/>
      <c r="AA16" s="255"/>
      <c r="AB16" s="255"/>
      <c r="AC16" s="255"/>
      <c r="AD16" s="255"/>
      <c r="AE16" s="255"/>
      <c r="AF16" s="255"/>
      <c r="CT16" s="121" t="s">
        <v>21</v>
      </c>
      <c r="CU16" s="128">
        <f>IF(N15&lt;=CW16,CZ16*N15,IF(N15&lt;=CX16,DB16*N15+DA16,IF(N15&lt;=CY16,DD16*N15+DC16,3)))</f>
        <v>1.0817031070195626</v>
      </c>
      <c r="CV16" s="121">
        <v>0</v>
      </c>
      <c r="CW16" s="127">
        <f>CU29*0.01</f>
        <v>0.158</v>
      </c>
      <c r="CX16" s="107">
        <f>CU29*0.12</f>
        <v>1.8959999999999999</v>
      </c>
      <c r="CY16" s="107">
        <v>10</v>
      </c>
      <c r="CZ16" s="107">
        <f t="shared" ref="CZ16:CZ28" si="0">SLOPE($CW$15:$CX$15,CV16:CW16)</f>
        <v>6.3291139240506329</v>
      </c>
      <c r="DA16" s="107">
        <f t="shared" ref="DA16:DA28" si="1">INTERCEPT($CX$15:$CY$15,CW16:CX16)</f>
        <v>0.90909090909090906</v>
      </c>
      <c r="DB16" s="107">
        <f t="shared" ref="DB16:DB28" si="2">SLOPE($CX$15:$CY$15,CW16:CX16)</f>
        <v>0.57537399309551218</v>
      </c>
      <c r="DC16" s="107">
        <f t="shared" ref="DC16:DC28" si="3">INTERCEPT($CY$15:$CZ$15,CX16:CY16)</f>
        <v>1.7660414610069104</v>
      </c>
      <c r="DD16" s="107">
        <f t="shared" ref="DD16:DD28" si="4">SLOPE($CY$15:$CZ$15,CX16:CY16)</f>
        <v>0.12339585389930896</v>
      </c>
    </row>
    <row r="17" spans="1:120" ht="27" thickBot="1">
      <c r="A17" s="166"/>
      <c r="B17" s="166"/>
      <c r="C17" s="167"/>
      <c r="D17" s="167"/>
      <c r="E17" s="168"/>
      <c r="F17" s="167"/>
      <c r="G17" s="168"/>
      <c r="H17" s="169"/>
      <c r="I17" s="169"/>
      <c r="J17" s="169"/>
      <c r="K17" s="169"/>
      <c r="L17" s="169"/>
      <c r="M17" s="169"/>
      <c r="N17" s="169"/>
      <c r="O17" s="169"/>
      <c r="P17" s="169"/>
      <c r="Q17" s="254" t="s">
        <v>63</v>
      </c>
      <c r="R17" s="254"/>
      <c r="S17" s="254"/>
      <c r="T17" s="254"/>
      <c r="U17" s="254"/>
      <c r="V17" s="254"/>
      <c r="W17" s="169"/>
      <c r="X17" s="168"/>
      <c r="AA17" s="170"/>
      <c r="AB17" s="170"/>
      <c r="AC17" s="219"/>
      <c r="AD17" s="219"/>
      <c r="AE17" s="171"/>
      <c r="AF17" s="172"/>
      <c r="CT17" s="121" t="s">
        <v>20</v>
      </c>
      <c r="CU17" s="105">
        <f>IF(M15&lt;=0.15*CU29,CZ17*M15,IF(M15&lt;=0.2*CU29,DB17*M15+DA17,IF(M15&gt;0.3*CU29,3,DD17*M15+DC17)))</f>
        <v>2.5822784810126578</v>
      </c>
      <c r="CV17" s="121">
        <v>0</v>
      </c>
      <c r="CW17" s="127">
        <f>CU29*0.15</f>
        <v>2.37</v>
      </c>
      <c r="CX17" s="107">
        <f>CU29*0.2</f>
        <v>3.16</v>
      </c>
      <c r="CY17" s="107">
        <f>CU29*0.3</f>
        <v>4.74</v>
      </c>
      <c r="CZ17" s="107">
        <f t="shared" si="0"/>
        <v>0.4219409282700422</v>
      </c>
      <c r="DA17" s="107">
        <f t="shared" si="1"/>
        <v>-1.9999999999999996</v>
      </c>
      <c r="DB17" s="107">
        <f t="shared" si="2"/>
        <v>1.2658227848101264</v>
      </c>
      <c r="DC17" s="107">
        <f t="shared" si="3"/>
        <v>0</v>
      </c>
      <c r="DD17" s="107">
        <f t="shared" si="4"/>
        <v>0.63291139240506322</v>
      </c>
    </row>
    <row r="18" spans="1:120" ht="26.25">
      <c r="A18" s="256"/>
      <c r="B18" s="256"/>
      <c r="C18" s="256"/>
      <c r="D18" s="256"/>
      <c r="E18" s="256"/>
      <c r="F18" s="256"/>
      <c r="G18" s="256"/>
      <c r="H18" s="2"/>
      <c r="I18" s="2"/>
      <c r="J18" s="2"/>
      <c r="K18" s="2"/>
      <c r="L18" s="5"/>
      <c r="M18" s="5"/>
      <c r="O18" s="59"/>
      <c r="P18" s="59"/>
      <c r="S18" s="164" t="s">
        <v>68</v>
      </c>
      <c r="T18" s="164"/>
      <c r="U18" s="57" t="s">
        <v>25</v>
      </c>
      <c r="V18" s="85" t="s">
        <v>54</v>
      </c>
      <c r="W18" s="164"/>
      <c r="X18" s="55"/>
      <c r="AA18" s="170"/>
      <c r="AB18" s="173"/>
      <c r="AC18" s="252"/>
      <c r="AD18" s="252"/>
      <c r="AE18" s="174"/>
      <c r="AF18" s="175"/>
      <c r="CT18" s="121" t="s">
        <v>19</v>
      </c>
      <c r="CU18" s="105">
        <f>IF(L15&lt;=0.6*CU29,CZ18*L15,IF(L15&lt;=0.75*CU29,DB18*L15+DA18,IF(L15&gt;0.85*CU29,3,DD18*L15+DC18)))</f>
        <v>0.98312236286919841</v>
      </c>
      <c r="CV18" s="121">
        <v>0</v>
      </c>
      <c r="CW18" s="127">
        <f>CU29*0.6</f>
        <v>9.48</v>
      </c>
      <c r="CX18" s="107">
        <f>CU29*0.75</f>
        <v>11.850000000000001</v>
      </c>
      <c r="CY18" s="107">
        <f>CU29*0.85</f>
        <v>13.43</v>
      </c>
      <c r="CZ18" s="107">
        <f t="shared" si="0"/>
        <v>0.10548523206751055</v>
      </c>
      <c r="DA18" s="107">
        <f t="shared" si="1"/>
        <v>-2.9999999999999991</v>
      </c>
      <c r="DB18" s="107">
        <f t="shared" si="2"/>
        <v>0.42194092827004204</v>
      </c>
      <c r="DC18" s="107">
        <f t="shared" si="3"/>
        <v>-5.5000000000000089</v>
      </c>
      <c r="DD18" s="107">
        <f t="shared" si="4"/>
        <v>0.632911392405064</v>
      </c>
    </row>
    <row r="19" spans="1:120" ht="26.25">
      <c r="D19" s="248"/>
      <c r="E19" s="248"/>
      <c r="F19" s="248"/>
      <c r="G19" s="248"/>
      <c r="M19" s="13"/>
      <c r="N19" s="12"/>
      <c r="R19" s="56" t="str">
        <f>IF(ISNUMBER(V15),"Estimated CEC","Total Bases")</f>
        <v>Total Bases</v>
      </c>
      <c r="S19" s="249">
        <v>15.8</v>
      </c>
      <c r="T19" s="249"/>
      <c r="U19" s="153"/>
      <c r="V19" s="80"/>
      <c r="W19" s="164"/>
      <c r="AA19" s="170"/>
      <c r="AB19" s="173"/>
      <c r="AC19" s="252"/>
      <c r="AD19" s="252"/>
      <c r="AE19" s="176"/>
      <c r="AF19" s="177"/>
      <c r="CT19" s="121" t="s">
        <v>18</v>
      </c>
      <c r="CU19" s="128">
        <f>IF(T15&lt;=CW19,CZ19*T15,IF(T15&lt;=CX19,DB19*T15+DA19,IF(T15&lt;=CY19,DD19*T15+DC19,3)))</f>
        <v>1.2916666666666665</v>
      </c>
      <c r="CV19" s="121">
        <v>0</v>
      </c>
      <c r="CW19" s="129">
        <v>6</v>
      </c>
      <c r="CX19" s="129">
        <v>30</v>
      </c>
      <c r="CY19" s="123">
        <v>100</v>
      </c>
      <c r="CZ19" s="107">
        <f t="shared" si="0"/>
        <v>0.16666666666666666</v>
      </c>
      <c r="DA19" s="107">
        <f t="shared" si="1"/>
        <v>0.75</v>
      </c>
      <c r="DB19" s="107">
        <f t="shared" si="2"/>
        <v>4.1666666666666664E-2</v>
      </c>
      <c r="DC19" s="107">
        <f t="shared" si="3"/>
        <v>1.5714285714285716</v>
      </c>
      <c r="DD19" s="107">
        <f t="shared" si="4"/>
        <v>1.4285714285714285E-2</v>
      </c>
      <c r="DG19" s="130"/>
      <c r="DH19" s="108"/>
      <c r="DI19" s="108"/>
      <c r="DJ19" s="108"/>
      <c r="DK19" s="115"/>
      <c r="DL19" s="115"/>
      <c r="DM19" s="108"/>
      <c r="DN19" s="108"/>
      <c r="DO19" s="108"/>
      <c r="DP19" s="109"/>
    </row>
    <row r="20" spans="1:120" ht="26.25">
      <c r="C20" s="38"/>
      <c r="D20" s="253"/>
      <c r="E20" s="253"/>
      <c r="R20" s="56" t="s">
        <v>64</v>
      </c>
      <c r="S20" s="249">
        <v>9.32</v>
      </c>
      <c r="T20" s="249"/>
      <c r="U20" s="154">
        <v>59</v>
      </c>
      <c r="V20" s="82" t="s">
        <v>69</v>
      </c>
      <c r="W20" s="80"/>
      <c r="AA20" s="170"/>
      <c r="AB20" s="173"/>
      <c r="AC20" s="252"/>
      <c r="AD20" s="252"/>
      <c r="AE20" s="176"/>
      <c r="AF20" s="177"/>
      <c r="CT20" s="121" t="s">
        <v>17</v>
      </c>
      <c r="CU20" s="128">
        <f>IF(S15&lt;=CW20,CZ20*S15,IF(S15&lt;=CX20,DB20*S15+DA20,IF(S15&lt;=CY20,DD20*S15+DC20,3)))</f>
        <v>1.1590909090909092</v>
      </c>
      <c r="CV20" s="121">
        <v>0</v>
      </c>
      <c r="CW20" s="129">
        <v>0.6</v>
      </c>
      <c r="CX20" s="129">
        <v>5</v>
      </c>
      <c r="CY20" s="123">
        <v>15</v>
      </c>
      <c r="CZ20" s="107">
        <f t="shared" si="0"/>
        <v>1.6666666666666667</v>
      </c>
      <c r="DA20" s="107">
        <f t="shared" si="1"/>
        <v>0.86363636363636365</v>
      </c>
      <c r="DB20" s="107">
        <f t="shared" si="2"/>
        <v>0.22727272727272729</v>
      </c>
      <c r="DC20" s="107">
        <f t="shared" si="3"/>
        <v>1.5</v>
      </c>
      <c r="DD20" s="107">
        <f t="shared" si="4"/>
        <v>0.1</v>
      </c>
      <c r="DG20" s="108"/>
      <c r="DH20" s="108"/>
      <c r="DI20" s="108"/>
      <c r="DJ20" s="108"/>
      <c r="DK20" s="115"/>
      <c r="DL20" s="115"/>
      <c r="DM20" s="110"/>
      <c r="DN20" s="108"/>
      <c r="DO20" s="108"/>
      <c r="DP20" s="109"/>
    </row>
    <row r="21" spans="1:120" ht="26.25">
      <c r="C21" s="38"/>
      <c r="D21" s="247"/>
      <c r="E21" s="247"/>
      <c r="F21" s="248"/>
      <c r="G21" s="248"/>
      <c r="R21" s="56" t="s">
        <v>65</v>
      </c>
      <c r="S21" s="249">
        <v>4.08</v>
      </c>
      <c r="T21" s="249"/>
      <c r="U21" s="154">
        <v>25.8</v>
      </c>
      <c r="V21" s="82" t="s">
        <v>70</v>
      </c>
      <c r="W21" s="82"/>
      <c r="AA21" s="170"/>
      <c r="AB21" s="173"/>
      <c r="AC21" s="252"/>
      <c r="AD21" s="252"/>
      <c r="AE21" s="176"/>
      <c r="AF21" s="177"/>
      <c r="CT21" s="121" t="s">
        <v>16</v>
      </c>
      <c r="CU21" s="128">
        <f>IF(R15&lt;=CW21,CZ21*R15,IF(R15&lt;=CX21,DB21*R15+DA21,IF(R15&lt;=CY21,DD21*R15+DC21,3)))</f>
        <v>1.4444444444444444</v>
      </c>
      <c r="CV21" s="121">
        <v>0</v>
      </c>
      <c r="CW21" s="129">
        <v>7</v>
      </c>
      <c r="CX21" s="129">
        <v>25</v>
      </c>
      <c r="CY21" s="123">
        <v>60</v>
      </c>
      <c r="CZ21" s="107">
        <f t="shared" si="0"/>
        <v>0.14285714285714285</v>
      </c>
      <c r="DA21" s="107">
        <f t="shared" si="1"/>
        <v>0.61111111111111116</v>
      </c>
      <c r="DB21" s="107">
        <f t="shared" si="2"/>
        <v>5.5555555555555552E-2</v>
      </c>
      <c r="DC21" s="107">
        <f t="shared" si="3"/>
        <v>1.2857142857142858</v>
      </c>
      <c r="DD21" s="107">
        <f t="shared" si="4"/>
        <v>2.8571428571428571E-2</v>
      </c>
      <c r="DE21" s="131"/>
      <c r="DG21" s="111"/>
      <c r="DH21" s="112"/>
      <c r="DI21" s="116"/>
      <c r="DJ21" s="116"/>
      <c r="DK21" s="116"/>
      <c r="DL21" s="116"/>
      <c r="DM21" s="111"/>
      <c r="DN21" s="111"/>
      <c r="DO21" s="112"/>
      <c r="DP21" s="113"/>
    </row>
    <row r="22" spans="1:120" ht="26.25">
      <c r="C22" s="38"/>
      <c r="D22" s="247"/>
      <c r="E22" s="247"/>
      <c r="F22" s="251"/>
      <c r="G22" s="251"/>
      <c r="R22" s="56" t="s">
        <v>66</v>
      </c>
      <c r="S22" s="249">
        <v>2.1</v>
      </c>
      <c r="T22" s="249"/>
      <c r="U22" s="154">
        <v>13.3</v>
      </c>
      <c r="V22" s="82" t="s">
        <v>71</v>
      </c>
      <c r="W22" s="82"/>
      <c r="AA22" s="170"/>
      <c r="AB22" s="173"/>
      <c r="AC22" s="252"/>
      <c r="AD22" s="252"/>
      <c r="AE22" s="176"/>
      <c r="AF22" s="177"/>
      <c r="CT22" s="121" t="s">
        <v>15</v>
      </c>
      <c r="CU22" s="128">
        <f>IF(Q15&lt;=CW22,CZ22*Q15,IF(Q15&lt;=CX22,DB22*Q15+DA22,IF(Q15&lt;=CY22,DD22*Q15+DC22,3)))</f>
        <v>1.5952380952380951</v>
      </c>
      <c r="CV22" s="121">
        <v>0</v>
      </c>
      <c r="CW22" s="129">
        <v>0.8</v>
      </c>
      <c r="CX22" s="129">
        <v>5</v>
      </c>
      <c r="CY22" s="123">
        <v>20</v>
      </c>
      <c r="CZ22" s="107">
        <f t="shared" si="0"/>
        <v>1.2499999999999998</v>
      </c>
      <c r="DA22" s="107">
        <f t="shared" si="1"/>
        <v>0.80952380952380953</v>
      </c>
      <c r="DB22" s="107">
        <f t="shared" si="2"/>
        <v>0.23809523809523808</v>
      </c>
      <c r="DC22" s="107">
        <f t="shared" si="3"/>
        <v>1.6666666666666665</v>
      </c>
      <c r="DD22" s="107">
        <f t="shared" si="4"/>
        <v>6.6666666666666666E-2</v>
      </c>
      <c r="DE22" s="131"/>
      <c r="DG22" s="111"/>
      <c r="DH22" s="112"/>
      <c r="DI22" s="116"/>
      <c r="DJ22" s="116"/>
      <c r="DK22" s="116"/>
      <c r="DL22" s="116"/>
      <c r="DM22" s="111"/>
      <c r="DN22" s="111"/>
      <c r="DO22" s="112"/>
      <c r="DP22" s="113"/>
    </row>
    <row r="23" spans="1:120" ht="26.25">
      <c r="C23" s="38"/>
      <c r="D23" s="247"/>
      <c r="E23" s="247"/>
      <c r="F23" s="251"/>
      <c r="G23" s="251"/>
      <c r="R23" s="56" t="s">
        <v>67</v>
      </c>
      <c r="S23" s="249">
        <v>0.3</v>
      </c>
      <c r="T23" s="249"/>
      <c r="U23" s="154">
        <v>1.9</v>
      </c>
      <c r="V23" s="82" t="s">
        <v>72</v>
      </c>
      <c r="W23" s="82"/>
      <c r="CT23" s="121" t="s">
        <v>12</v>
      </c>
      <c r="CU23" s="128">
        <f>IF(P15&lt;=CW23,CZ23*P15,IF(P15&lt;=CX23,DB23*P15+DA23,IF(P15&lt;=CY23,DD23*P15+DC23,3)))</f>
        <v>1.5</v>
      </c>
      <c r="CV23" s="121">
        <v>0</v>
      </c>
      <c r="CW23" s="129">
        <v>0.5</v>
      </c>
      <c r="CX23" s="129">
        <v>1</v>
      </c>
      <c r="CY23" s="123">
        <v>2</v>
      </c>
      <c r="CZ23" s="107">
        <f t="shared" si="0"/>
        <v>2</v>
      </c>
      <c r="DA23" s="107">
        <f t="shared" si="1"/>
        <v>0</v>
      </c>
      <c r="DB23" s="107">
        <f t="shared" si="2"/>
        <v>2</v>
      </c>
      <c r="DC23" s="107">
        <f t="shared" si="3"/>
        <v>1</v>
      </c>
      <c r="DD23" s="107">
        <f t="shared" si="4"/>
        <v>1</v>
      </c>
      <c r="DE23" s="132"/>
      <c r="DG23" s="111"/>
      <c r="DH23" s="112"/>
      <c r="DI23" s="116"/>
      <c r="DJ23" s="116"/>
      <c r="DK23" s="116"/>
      <c r="DL23" s="116"/>
      <c r="DM23" s="111"/>
      <c r="DN23" s="111"/>
      <c r="DO23" s="112"/>
      <c r="DP23" s="113"/>
    </row>
    <row r="24" spans="1:120" ht="26.25">
      <c r="C24" s="38"/>
      <c r="D24" s="247"/>
      <c r="E24" s="247"/>
      <c r="F24" s="248"/>
      <c r="G24" s="248"/>
      <c r="R24" s="56" t="str">
        <f>IF(ISNUMBER(V15),"Hydrogen","  ")</f>
        <v xml:space="preserve">  </v>
      </c>
      <c r="S24" s="249"/>
      <c r="T24" s="249"/>
      <c r="U24" s="154"/>
      <c r="W24" s="82"/>
      <c r="CT24" s="121" t="s">
        <v>58</v>
      </c>
      <c r="CU24" s="128">
        <f>IF(O15&lt;=CW24,CZ24*O15,IF(O15&lt;=CX24,DB24*O15+DA24,IF(O15&lt;=CY24,DD24*O15+DC24,3)))</f>
        <v>1.1199999999999999</v>
      </c>
      <c r="CV24" s="121">
        <v>0</v>
      </c>
      <c r="CW24" s="129">
        <v>5</v>
      </c>
      <c r="CX24" s="129">
        <v>30</v>
      </c>
      <c r="CY24" s="123">
        <v>50</v>
      </c>
      <c r="CZ24" s="107">
        <f t="shared" si="0"/>
        <v>0.2</v>
      </c>
      <c r="DA24" s="107">
        <f t="shared" si="1"/>
        <v>0.79999999999999993</v>
      </c>
      <c r="DB24" s="107">
        <f t="shared" si="2"/>
        <v>0.04</v>
      </c>
      <c r="DC24" s="107">
        <f t="shared" si="3"/>
        <v>0.5</v>
      </c>
      <c r="DD24" s="107">
        <f t="shared" si="4"/>
        <v>0.05</v>
      </c>
      <c r="DE24" s="132"/>
      <c r="DG24" s="111"/>
      <c r="DH24" s="112"/>
      <c r="DI24" s="116"/>
      <c r="DJ24" s="116"/>
      <c r="DK24" s="116"/>
      <c r="DL24" s="116"/>
      <c r="DM24" s="111"/>
      <c r="DN24" s="111"/>
      <c r="DO24" s="112"/>
      <c r="DP24" s="113"/>
    </row>
    <row r="25" spans="1:120" ht="26.25">
      <c r="O25" s="53"/>
      <c r="P25" s="40"/>
      <c r="Q25" s="41"/>
      <c r="R25" s="41"/>
      <c r="S25" s="56"/>
      <c r="T25" s="41"/>
      <c r="V25" s="58"/>
      <c r="W25" s="58"/>
      <c r="X25" s="16"/>
      <c r="CT25" s="121" t="s">
        <v>11</v>
      </c>
      <c r="CU25" s="128">
        <f>IF(K15&lt;=CW25,CZ25*K15,IF(K15&lt;=CX25,DB25*K15+DA25,IF(K15&lt;=CY25,DD25*K15+DC25,3)))</f>
        <v>3</v>
      </c>
      <c r="CV25" s="121">
        <v>0</v>
      </c>
      <c r="CW25" s="129">
        <v>150</v>
      </c>
      <c r="CX25" s="129">
        <v>300</v>
      </c>
      <c r="CY25" s="123">
        <v>800</v>
      </c>
      <c r="CZ25" s="107">
        <f t="shared" si="0"/>
        <v>6.6666666666666671E-3</v>
      </c>
      <c r="DA25" s="107">
        <f t="shared" si="1"/>
        <v>0</v>
      </c>
      <c r="DB25" s="107">
        <f t="shared" si="2"/>
        <v>6.6666666666666671E-3</v>
      </c>
      <c r="DC25" s="107">
        <f t="shared" si="3"/>
        <v>1.4</v>
      </c>
      <c r="DD25" s="107">
        <f t="shared" si="4"/>
        <v>2E-3</v>
      </c>
      <c r="DE25" s="132"/>
      <c r="DG25" s="111"/>
      <c r="DH25" s="112"/>
      <c r="DI25" s="116"/>
      <c r="DJ25" s="116"/>
      <c r="DK25" s="116"/>
      <c r="DL25" s="116"/>
      <c r="DM25" s="111"/>
      <c r="DN25" s="111"/>
      <c r="DO25" s="112"/>
      <c r="DP25" s="113"/>
    </row>
    <row r="26" spans="1:120" ht="20.25">
      <c r="O26" s="53"/>
      <c r="P26" s="40"/>
      <c r="Q26" s="41"/>
      <c r="R26" s="41"/>
      <c r="S26" s="39"/>
      <c r="T26" s="41"/>
      <c r="V26" s="39"/>
      <c r="W26" s="39"/>
      <c r="X26" s="16"/>
      <c r="CT26" s="121" t="s">
        <v>10</v>
      </c>
      <c r="CU26" s="128">
        <f>IF(CU30&lt;=CW26,CZ26*CU30,IF(CU30&lt;=CX26,DB26*CU30+DA26,IF(CU30&lt;=CY26,DD26*CU30+DC26,3)))</f>
        <v>1.55</v>
      </c>
      <c r="CV26" s="121">
        <v>0</v>
      </c>
      <c r="CW26" s="129">
        <v>10</v>
      </c>
      <c r="CX26" s="129">
        <v>50</v>
      </c>
      <c r="CY26" s="123">
        <v>100</v>
      </c>
      <c r="CZ26" s="107">
        <f t="shared" si="0"/>
        <v>0.1</v>
      </c>
      <c r="DA26" s="107">
        <f t="shared" si="1"/>
        <v>0.75</v>
      </c>
      <c r="DB26" s="107">
        <f t="shared" si="2"/>
        <v>2.5000000000000001E-2</v>
      </c>
      <c r="DC26" s="107">
        <f t="shared" si="3"/>
        <v>1</v>
      </c>
      <c r="DD26" s="107">
        <f t="shared" si="4"/>
        <v>0.02</v>
      </c>
      <c r="DE26" s="133"/>
      <c r="DG26" s="111"/>
      <c r="DH26" s="112"/>
      <c r="DI26" s="116"/>
      <c r="DJ26" s="116"/>
      <c r="DK26" s="116"/>
      <c r="DL26" s="116"/>
      <c r="DM26" s="111"/>
      <c r="DN26" s="111"/>
      <c r="DO26" s="112"/>
      <c r="DP26" s="113"/>
    </row>
    <row r="27" spans="1:120" ht="18">
      <c r="M27" s="17"/>
      <c r="N27" s="14"/>
      <c r="O27" s="54"/>
      <c r="T27" s="14"/>
      <c r="U27" s="14"/>
      <c r="V27" s="14"/>
      <c r="W27" s="14"/>
      <c r="X27" s="15"/>
      <c r="CT27" s="121" t="s">
        <v>42</v>
      </c>
      <c r="CU27" s="128">
        <f>IF(G15&lt;=CW27,CZ27*G15,IF(G15&lt;=CX27,DB27*G15+DA27,IF(G15&lt;=CY27,DD27*G15+DC27,3)))</f>
        <v>1.0676923076923077</v>
      </c>
      <c r="CV27" s="121">
        <v>0</v>
      </c>
      <c r="CW27" s="129">
        <v>10</v>
      </c>
      <c r="CX27" s="129">
        <v>75</v>
      </c>
      <c r="CY27" s="123">
        <v>300</v>
      </c>
      <c r="CZ27" s="107">
        <f t="shared" si="0"/>
        <v>0.1</v>
      </c>
      <c r="DA27" s="107">
        <f t="shared" si="1"/>
        <v>0.84615384615384615</v>
      </c>
      <c r="DB27" s="107">
        <f t="shared" si="2"/>
        <v>1.5384615384615385E-2</v>
      </c>
      <c r="DC27" s="107">
        <f t="shared" si="3"/>
        <v>1.6666666666666665</v>
      </c>
      <c r="DD27" s="107">
        <f t="shared" si="4"/>
        <v>4.4444444444444444E-3</v>
      </c>
      <c r="DE27" s="133"/>
      <c r="DG27" s="111"/>
      <c r="DH27" s="112"/>
      <c r="DI27" s="117"/>
      <c r="DJ27" s="117"/>
      <c r="DK27" s="117"/>
      <c r="DL27" s="117"/>
      <c r="DM27" s="111"/>
      <c r="DN27" s="111"/>
      <c r="DO27" s="112"/>
      <c r="DP27" s="114"/>
    </row>
    <row r="28" spans="1:120" ht="18">
      <c r="CT28" s="121" t="s">
        <v>41</v>
      </c>
      <c r="CU28" s="128">
        <f>IF(E15&lt;=CW28,CZ28*E15,IF(E15&lt;=CX28,DB28*E15+DA28,IF(E15&lt;=CY28,DD28*E15+DC28,3)))</f>
        <v>1.566153846153846</v>
      </c>
      <c r="CV28" s="121">
        <v>0</v>
      </c>
      <c r="CW28" s="129">
        <v>10</v>
      </c>
      <c r="CX28" s="129">
        <v>75</v>
      </c>
      <c r="CY28" s="123">
        <v>300</v>
      </c>
      <c r="CZ28" s="107">
        <f t="shared" si="0"/>
        <v>0.1</v>
      </c>
      <c r="DA28" s="107">
        <f t="shared" si="1"/>
        <v>0.84615384615384615</v>
      </c>
      <c r="DB28" s="107">
        <f t="shared" si="2"/>
        <v>1.5384615384615385E-2</v>
      </c>
      <c r="DC28" s="107">
        <f t="shared" si="3"/>
        <v>1.6666666666666665</v>
      </c>
      <c r="DD28" s="107">
        <f t="shared" si="4"/>
        <v>4.4444444444444444E-3</v>
      </c>
      <c r="DE28" s="133"/>
      <c r="DG28" s="111"/>
      <c r="DH28" s="112"/>
      <c r="DI28" s="117"/>
      <c r="DJ28" s="117"/>
      <c r="DK28" s="117"/>
      <c r="DL28" s="117"/>
      <c r="DM28" s="111"/>
      <c r="DN28" s="111"/>
      <c r="DO28" s="112"/>
      <c r="DP28" s="114"/>
    </row>
    <row r="29" spans="1:120" ht="18">
      <c r="CT29" s="121" t="s">
        <v>53</v>
      </c>
      <c r="CU29" s="134">
        <f>S19</f>
        <v>15.8</v>
      </c>
      <c r="CV29" s="121"/>
      <c r="CW29" s="129"/>
      <c r="CX29" s="129"/>
      <c r="CY29" s="123"/>
      <c r="CZ29" s="107"/>
      <c r="DA29" s="107"/>
      <c r="DB29" s="107"/>
      <c r="DC29" s="107"/>
      <c r="DD29" s="107"/>
      <c r="DE29" s="133"/>
      <c r="DG29" s="111"/>
      <c r="DH29" s="112"/>
      <c r="DI29" s="117"/>
      <c r="DJ29" s="117"/>
      <c r="DK29" s="117"/>
      <c r="DL29" s="117"/>
      <c r="DM29" s="111"/>
      <c r="DN29" s="111"/>
      <c r="DO29" s="112"/>
      <c r="DP29" s="114"/>
    </row>
    <row r="30" spans="1:120" ht="18">
      <c r="CT30" s="121" t="s">
        <v>62</v>
      </c>
      <c r="CU30" s="104">
        <f>IF(I15&gt;0,I15,J15)</f>
        <v>32</v>
      </c>
      <c r="DB30" s="135"/>
      <c r="DC30" s="135"/>
      <c r="DD30" s="135"/>
      <c r="DE30" s="135"/>
    </row>
    <row r="33" spans="98:112" ht="20.25">
      <c r="CT33" s="136"/>
      <c r="CU33" s="137"/>
      <c r="CV33" s="136"/>
      <c r="CW33" s="136" t="s">
        <v>59</v>
      </c>
      <c r="CX33" s="136" t="s">
        <v>60</v>
      </c>
      <c r="CY33" s="138"/>
      <c r="CZ33" s="138"/>
      <c r="DA33" s="138"/>
      <c r="DB33" s="138"/>
      <c r="DC33" s="138"/>
      <c r="DD33" s="138"/>
    </row>
    <row r="34" spans="98:112" ht="20.25">
      <c r="CT34" s="136"/>
      <c r="CU34" s="137"/>
      <c r="CV34" s="139">
        <v>0</v>
      </c>
      <c r="CW34" s="139">
        <v>1</v>
      </c>
      <c r="CX34" s="139">
        <v>2</v>
      </c>
      <c r="CY34" s="139">
        <v>3</v>
      </c>
      <c r="CZ34" s="140" t="s">
        <v>56</v>
      </c>
      <c r="DA34" s="140" t="s">
        <v>57</v>
      </c>
      <c r="DB34" s="140" t="s">
        <v>56</v>
      </c>
      <c r="DC34" s="140" t="s">
        <v>57</v>
      </c>
      <c r="DD34" s="140" t="s">
        <v>56</v>
      </c>
    </row>
    <row r="35" spans="98:112" ht="20.25">
      <c r="CT35" s="137" t="s">
        <v>61</v>
      </c>
      <c r="CU35" s="141">
        <f>IF(C35&lt;=CW35,CZ35*C35,IF(C35&lt;=CX35,DB35*C35+DA35,IF(C35&lt;=CY35,DD35*C35+DC35,3)))</f>
        <v>0</v>
      </c>
      <c r="CV35" s="139">
        <v>0</v>
      </c>
      <c r="CW35" s="139">
        <v>4.5</v>
      </c>
      <c r="CX35" s="139">
        <v>5</v>
      </c>
      <c r="CY35" s="140">
        <v>6</v>
      </c>
      <c r="CZ35" s="142">
        <f>SLOPE($CY$19:$CZ$19,CV35:CW35)</f>
        <v>-22.185185185185187</v>
      </c>
      <c r="DA35" s="142">
        <f>INTERCEPT($CZ$19:$DA$19,CW35:CX35)</f>
        <v>-5.083333333333333</v>
      </c>
      <c r="DB35" s="142">
        <f>SLOPE($CZ$19:$DA$19,CW35:CX35)</f>
        <v>1.1666666666666665</v>
      </c>
      <c r="DC35" s="142">
        <f>INTERCEPT($DA$19:$DB$19,CX35:CY35)</f>
        <v>4.2916666666666661</v>
      </c>
      <c r="DD35" s="142">
        <f>SLOPE($DA$19:$DB$19,CX35:CY35)</f>
        <v>-0.70833333333333326</v>
      </c>
    </row>
    <row r="36" spans="98:112" ht="20.25">
      <c r="CT36" s="137" t="s">
        <v>10</v>
      </c>
      <c r="CU36" s="141">
        <f>IF(D35&lt;=CW36,CZ36*D35,IF(D35&lt;=CX36,DB36*D35+DA36,IF(D35&lt;=CY36,DD36*D35+DC36,3)))</f>
        <v>0</v>
      </c>
      <c r="CV36" s="139">
        <v>0</v>
      </c>
      <c r="CW36" s="139">
        <v>0.26</v>
      </c>
      <c r="CX36" s="139">
        <v>0.7</v>
      </c>
      <c r="CY36" s="140">
        <v>1</v>
      </c>
      <c r="CZ36" s="142">
        <f>SLOPE($CY$19:$CZ$19,CV36:CW36)</f>
        <v>-383.97435897435901</v>
      </c>
      <c r="DA36" s="142">
        <f t="shared" ref="DA36:DA45" si="5">INTERCEPT($CZ$19:$DA$19,CW36:CX36)</f>
        <v>-0.17803030303030304</v>
      </c>
      <c r="DB36" s="142">
        <f t="shared" ref="DB36:DB45" si="6">SLOPE($CZ$19:$DA$19,CW36:CX36)</f>
        <v>1.3257575757575757</v>
      </c>
      <c r="DC36" s="142">
        <f t="shared" ref="DC36:DC45" si="7">INTERCEPT($DA$19:$DB$19,CX36:CY36)</f>
        <v>2.4027777777777777</v>
      </c>
      <c r="DD36" s="142">
        <f t="shared" ref="DD36:DD45" si="8">SLOPE($DA$19:$DB$19,CX36:CY36)</f>
        <v>-2.3611111111111107</v>
      </c>
    </row>
    <row r="37" spans="98:112" ht="20.25">
      <c r="CT37" s="137" t="s">
        <v>11</v>
      </c>
      <c r="CU37" s="141">
        <f>IF(E35&lt;=CW37,CZ37*E35,IF(E35&lt;=CX37,DB37*E35+DA37,IF(E35&lt;=CY37,DD37*E35+DC37,3)))</f>
        <v>0</v>
      </c>
      <c r="CV37" s="139">
        <v>0</v>
      </c>
      <c r="CW37" s="139">
        <v>2</v>
      </c>
      <c r="CX37" s="139">
        <v>3.5</v>
      </c>
      <c r="CY37" s="140">
        <v>10</v>
      </c>
      <c r="CZ37" s="142">
        <f t="shared" ref="CZ37:CZ45" si="9">SLOPE($CY$19:$CZ$19,CV37:CW37)</f>
        <v>-49.916666666666671</v>
      </c>
      <c r="DA37" s="142">
        <f t="shared" si="5"/>
        <v>-0.61111111111111116</v>
      </c>
      <c r="DB37" s="142">
        <f t="shared" si="6"/>
        <v>0.3888888888888889</v>
      </c>
      <c r="DC37" s="142">
        <f t="shared" si="7"/>
        <v>1.1314102564102564</v>
      </c>
      <c r="DD37" s="142">
        <f t="shared" si="8"/>
        <v>-0.10897435897435896</v>
      </c>
    </row>
    <row r="38" spans="98:112" ht="20.25">
      <c r="CT38" s="137" t="s">
        <v>58</v>
      </c>
      <c r="CU38" s="141">
        <f>IF(F35&lt;=CW38,CZ38*F35,IF(F35&lt;=CX38,DB38*F35+DA38,IF(F35&lt;=CY38,DD38*F35+DC38,3)))</f>
        <v>0</v>
      </c>
      <c r="CV38" s="139">
        <v>0</v>
      </c>
      <c r="CW38" s="139">
        <v>0.26</v>
      </c>
      <c r="CX38" s="139">
        <v>0.5</v>
      </c>
      <c r="CY38" s="140">
        <v>1</v>
      </c>
      <c r="CZ38" s="142">
        <f t="shared" si="9"/>
        <v>-383.97435897435901</v>
      </c>
      <c r="DA38" s="142">
        <f t="shared" si="5"/>
        <v>-0.46527777777777785</v>
      </c>
      <c r="DB38" s="142">
        <f t="shared" si="6"/>
        <v>2.4305555555555558</v>
      </c>
      <c r="DC38" s="142">
        <f t="shared" si="7"/>
        <v>1.4583333333333333</v>
      </c>
      <c r="DD38" s="142">
        <f t="shared" si="8"/>
        <v>-1.4166666666666665</v>
      </c>
    </row>
    <row r="39" spans="98:112" ht="20.25">
      <c r="CT39" s="137" t="s">
        <v>19</v>
      </c>
      <c r="CU39" s="141">
        <f>IF(G35&lt;=CW39,CZ39*G35,IF(G35&lt;=CX39,DB39*G35+DA39,IF(G35&lt;=CY39,DD39*G35+DC39,3)))</f>
        <v>0</v>
      </c>
      <c r="CV39" s="139">
        <v>0</v>
      </c>
      <c r="CW39" s="139">
        <v>1.8</v>
      </c>
      <c r="CX39" s="139">
        <v>3</v>
      </c>
      <c r="CY39" s="140">
        <v>1.5</v>
      </c>
      <c r="CZ39" s="142">
        <f t="shared" si="9"/>
        <v>-55.462962962962955</v>
      </c>
      <c r="DA39" s="142">
        <f t="shared" si="5"/>
        <v>-0.70833333333333326</v>
      </c>
      <c r="DB39" s="142">
        <f t="shared" si="6"/>
        <v>0.4861111111111111</v>
      </c>
      <c r="DC39" s="142">
        <f t="shared" si="7"/>
        <v>-0.66666666666666674</v>
      </c>
      <c r="DD39" s="142">
        <f t="shared" si="8"/>
        <v>0.47222222222222221</v>
      </c>
    </row>
    <row r="40" spans="98:112" ht="20.25">
      <c r="CT40" s="137" t="s">
        <v>20</v>
      </c>
      <c r="CU40" s="141">
        <f>IF(H35&lt;=CW40,CZ40*H35,IF(H35&lt;=CX40,DB40*H35+DA40,IF(H35&lt;=CY40,DD40*H35+DC40,3)))</f>
        <v>0</v>
      </c>
      <c r="CV40" s="139">
        <v>0</v>
      </c>
      <c r="CW40" s="139">
        <v>0.3</v>
      </c>
      <c r="CX40" s="139">
        <v>1</v>
      </c>
      <c r="CY40" s="140">
        <v>5</v>
      </c>
      <c r="CZ40" s="142">
        <f t="shared" si="9"/>
        <v>-332.77777777777777</v>
      </c>
      <c r="DA40" s="142">
        <f t="shared" si="5"/>
        <v>-8.3333333333333426E-2</v>
      </c>
      <c r="DB40" s="142">
        <f t="shared" si="6"/>
        <v>0.83333333333333337</v>
      </c>
      <c r="DC40" s="142">
        <f t="shared" si="7"/>
        <v>0.92708333333333326</v>
      </c>
      <c r="DD40" s="142">
        <f t="shared" si="8"/>
        <v>-0.17708333333333331</v>
      </c>
    </row>
    <row r="41" spans="98:112" ht="20.25">
      <c r="CT41" s="137" t="s">
        <v>12</v>
      </c>
      <c r="CU41" s="141">
        <f>IF(I35&lt;=CW41,CZ41*I35,IF(I35&lt;=CX41,DB41*I35+DA41,IF(I35&lt;=CY41,DD41*I35+DC41,3)))</f>
        <v>0</v>
      </c>
      <c r="CV41" s="139">
        <v>0</v>
      </c>
      <c r="CW41" s="139">
        <v>30</v>
      </c>
      <c r="CX41" s="139">
        <v>80</v>
      </c>
      <c r="CY41" s="140">
        <v>100</v>
      </c>
      <c r="CZ41" s="142">
        <f t="shared" si="9"/>
        <v>-3.3277777777777779</v>
      </c>
      <c r="DA41" s="142">
        <f t="shared" si="5"/>
        <v>-0.18333333333333329</v>
      </c>
      <c r="DB41" s="142">
        <f t="shared" si="6"/>
        <v>1.1666666666666665E-2</v>
      </c>
      <c r="DC41" s="142">
        <f t="shared" si="7"/>
        <v>3.5833333333333335</v>
      </c>
      <c r="DD41" s="142">
        <f t="shared" si="8"/>
        <v>-3.5416666666666666E-2</v>
      </c>
    </row>
    <row r="42" spans="98:112" ht="20.25">
      <c r="CT42" s="137" t="s">
        <v>15</v>
      </c>
      <c r="CU42" s="141">
        <f>IF(J35&lt;=CW42,CZ42*J35,IF(J35&lt;=CX42,DB42*J35+DA42,IF(J35&lt;=CY42,DD42*J35+DC42,3)))</f>
        <v>0</v>
      </c>
      <c r="CV42" s="139">
        <v>0</v>
      </c>
      <c r="CW42" s="139">
        <v>21</v>
      </c>
      <c r="CX42" s="139">
        <v>70</v>
      </c>
      <c r="CY42" s="140">
        <v>200</v>
      </c>
      <c r="CZ42" s="142">
        <f t="shared" si="9"/>
        <v>-4.753968253968254</v>
      </c>
      <c r="DA42" s="142">
        <f t="shared" si="5"/>
        <v>-8.3333333333333315E-2</v>
      </c>
      <c r="DB42" s="142">
        <f t="shared" si="6"/>
        <v>1.1904761904761904E-2</v>
      </c>
      <c r="DC42" s="142">
        <f t="shared" si="7"/>
        <v>1.1314102564102564</v>
      </c>
      <c r="DD42" s="142">
        <f t="shared" si="8"/>
        <v>-5.4487179487179493E-3</v>
      </c>
    </row>
    <row r="43" spans="98:112" ht="20.25">
      <c r="CT43" s="137" t="s">
        <v>16</v>
      </c>
      <c r="CU43" s="141">
        <f>IF(R15&lt;=CW43,CZ43*R15,IF(R15&lt;=CX43,DB43*R15+DA43,IF(R15&lt;=CY43,DD43*R15+DC43,3)))</f>
        <v>-48.306451612903224</v>
      </c>
      <c r="CV43" s="139">
        <v>0</v>
      </c>
      <c r="CW43" s="139">
        <v>31</v>
      </c>
      <c r="CX43" s="139">
        <v>100</v>
      </c>
      <c r="CY43" s="140">
        <v>200</v>
      </c>
      <c r="CZ43" s="142">
        <f t="shared" si="9"/>
        <v>-3.2204301075268815</v>
      </c>
      <c r="DA43" s="142">
        <f t="shared" si="5"/>
        <v>-9.5410628019323596E-2</v>
      </c>
      <c r="DB43" s="142">
        <f t="shared" si="6"/>
        <v>8.4541062801932361E-3</v>
      </c>
      <c r="DC43" s="142">
        <f t="shared" si="7"/>
        <v>1.4583333333333335</v>
      </c>
      <c r="DD43" s="142">
        <f t="shared" si="8"/>
        <v>-7.0833333333333347E-3</v>
      </c>
    </row>
    <row r="44" spans="98:112" ht="20.25">
      <c r="CT44" s="137" t="s">
        <v>17</v>
      </c>
      <c r="CU44" s="141">
        <f>IF(S15&lt;=CW44,CZ44*S15,IF(S15&lt;=CX44,DB44*S15+DA44,IF(S15&lt;=CY44,DD44*S15+DC44,3)))</f>
        <v>-18.540476190476191</v>
      </c>
      <c r="CV44" s="139">
        <v>0</v>
      </c>
      <c r="CW44" s="139">
        <v>7</v>
      </c>
      <c r="CX44" s="139">
        <v>30</v>
      </c>
      <c r="CY44" s="140">
        <v>50</v>
      </c>
      <c r="CZ44" s="142">
        <f t="shared" si="9"/>
        <v>-14.261904761904761</v>
      </c>
      <c r="DA44" s="142">
        <f t="shared" si="5"/>
        <v>-1.0869565217391297E-2</v>
      </c>
      <c r="DB44" s="142">
        <f t="shared" si="6"/>
        <v>2.5362318840579708E-2</v>
      </c>
      <c r="DC44" s="142">
        <f t="shared" si="7"/>
        <v>1.8124999999999998</v>
      </c>
      <c r="DD44" s="142">
        <f t="shared" si="8"/>
        <v>-3.5416666666666666E-2</v>
      </c>
    </row>
    <row r="45" spans="98:112" ht="20.25">
      <c r="CT45" s="137" t="s">
        <v>18</v>
      </c>
      <c r="CU45" s="141">
        <f>IF(T15&lt;=CW45,CZ45*T15,IF(T15&lt;=CX45,DB45*T15+DA45,IF(T15&lt;=CY45,DD45*T15+DC45,3)))</f>
        <v>-43.261111111111113</v>
      </c>
      <c r="CV45" s="139">
        <v>0</v>
      </c>
      <c r="CW45" s="139">
        <v>30</v>
      </c>
      <c r="CX45" s="139">
        <v>250</v>
      </c>
      <c r="CY45" s="140">
        <v>1000</v>
      </c>
      <c r="CZ45" s="142">
        <f t="shared" si="9"/>
        <v>-3.3277777777777779</v>
      </c>
      <c r="DA45" s="142">
        <f t="shared" si="5"/>
        <v>8.7121212121212155E-2</v>
      </c>
      <c r="DB45" s="142">
        <f t="shared" si="6"/>
        <v>2.6515151515151512E-3</v>
      </c>
      <c r="DC45" s="142">
        <f t="shared" si="7"/>
        <v>0.98611111111111116</v>
      </c>
      <c r="DD45" s="142">
        <f t="shared" si="8"/>
        <v>-9.4444444444444448E-4</v>
      </c>
    </row>
    <row r="48" spans="98:112" ht="18.75">
      <c r="CT48" s="143" t="s">
        <v>73</v>
      </c>
      <c r="CZ48" s="144" t="s">
        <v>74</v>
      </c>
      <c r="DA48" s="138"/>
      <c r="DD48" s="121"/>
      <c r="DE48" s="121">
        <v>0</v>
      </c>
      <c r="DF48" s="122">
        <v>0.33</v>
      </c>
      <c r="DG48" s="123">
        <v>0.74</v>
      </c>
      <c r="DH48" s="123">
        <v>1</v>
      </c>
    </row>
    <row r="49" spans="1:117" ht="20.25">
      <c r="CT49" s="144" t="s">
        <v>52</v>
      </c>
      <c r="CW49" s="104">
        <f>DD49</f>
        <v>0.33</v>
      </c>
      <c r="CX49" s="104">
        <f>DD49</f>
        <v>0.33</v>
      </c>
      <c r="CZ49" s="104">
        <v>180</v>
      </c>
      <c r="DA49" s="138"/>
      <c r="DB49" s="137"/>
      <c r="DC49" s="121" t="s">
        <v>108</v>
      </c>
      <c r="DD49" s="128">
        <f>IF(W15&lt;=DF49,DI49*W15,IF(W15&lt;=DG49,DK49*W15+DJ49,IF(W15&lt;=DH49,DM49*W15+DL49,0.9)))</f>
        <v>0.33</v>
      </c>
      <c r="DE49" s="121">
        <v>0</v>
      </c>
      <c r="DF49" s="129">
        <v>0.3</v>
      </c>
      <c r="DG49" s="129">
        <v>0.8</v>
      </c>
      <c r="DH49" s="123">
        <v>2</v>
      </c>
      <c r="DI49" s="107">
        <f>SLOPE($DE$48:$DF$48,DE49:DF49)</f>
        <v>1.1000000000000001</v>
      </c>
      <c r="DJ49" s="107">
        <f>INTERCEPT($DF$48:$DG$48,DF49:DG49)</f>
        <v>8.4000000000000075E-2</v>
      </c>
      <c r="DK49" s="107">
        <f>SLOPE($DF$48:$DG$48,DF49:DG49)</f>
        <v>0.81999999999999984</v>
      </c>
      <c r="DL49" s="107">
        <f>INTERCEPT($DG$48:$DH$48,DG49:DH49)</f>
        <v>0.56666666666666665</v>
      </c>
      <c r="DM49" s="107">
        <f>SLOPE($DG$48:$DH$48,DG49:DH49)</f>
        <v>0.21666666666666667</v>
      </c>
    </row>
    <row r="50" spans="1:117" ht="18.75">
      <c r="CT50" s="144" t="s">
        <v>75</v>
      </c>
      <c r="CV50" s="144" t="s">
        <v>76</v>
      </c>
      <c r="CW50" s="144" t="s">
        <v>77</v>
      </c>
      <c r="CX50" s="144" t="s">
        <v>78</v>
      </c>
      <c r="CZ50" s="104">
        <v>60</v>
      </c>
      <c r="DA50" s="138"/>
      <c r="DB50" s="121"/>
      <c r="DC50" s="105"/>
      <c r="DD50" s="121"/>
      <c r="DE50" s="127"/>
      <c r="DF50" s="107"/>
      <c r="DG50" s="107"/>
      <c r="DH50" s="107"/>
      <c r="DI50" s="107"/>
      <c r="DJ50" s="107"/>
      <c r="DK50" s="107"/>
      <c r="DL50" s="107"/>
    </row>
    <row r="51" spans="1:117">
      <c r="CT51" s="145">
        <v>0</v>
      </c>
      <c r="CU51" s="145">
        <v>0</v>
      </c>
      <c r="CV51" s="145">
        <v>1</v>
      </c>
      <c r="CW51" s="145">
        <v>0</v>
      </c>
      <c r="CX51" s="145">
        <f>CV51/2</f>
        <v>0.5</v>
      </c>
      <c r="DA51" s="138"/>
    </row>
    <row r="52" spans="1:117" ht="16.5">
      <c r="CT52" s="146">
        <f>SIN(((((CX49+CV51)*180/CV51)+90))*PI()/180)</f>
        <v>-0.50904141575037198</v>
      </c>
      <c r="CU52" s="146">
        <f>COS(((((CX49+CV51)*180/CV51)+90))*PI()/180)</f>
        <v>0.8607420270039432</v>
      </c>
      <c r="CV52" s="145"/>
      <c r="CW52" s="145"/>
      <c r="CX52" s="145"/>
      <c r="CZ52" s="104">
        <v>60</v>
      </c>
      <c r="DA52" s="138"/>
    </row>
    <row r="53" spans="1:117">
      <c r="CT53" s="145">
        <v>0</v>
      </c>
      <c r="CU53" s="145">
        <v>0</v>
      </c>
      <c r="CV53" s="145"/>
      <c r="CW53" s="145"/>
      <c r="CX53" s="145"/>
      <c r="CZ53" s="104">
        <f>180-CZ50-CZ51-CZ52</f>
        <v>60</v>
      </c>
      <c r="DA53" s="138"/>
    </row>
    <row r="55" spans="1:117">
      <c r="CT55" s="147" t="s">
        <v>73</v>
      </c>
      <c r="CU55" s="118"/>
      <c r="CV55" s="118"/>
      <c r="CW55" s="118"/>
      <c r="CX55" s="118"/>
    </row>
    <row r="56" spans="1:117">
      <c r="CT56" s="118" t="s">
        <v>14</v>
      </c>
      <c r="CU56" s="118"/>
      <c r="CV56" s="118"/>
      <c r="CW56" s="118"/>
      <c r="CX56" s="118"/>
      <c r="CZ56" s="118" t="s">
        <v>74</v>
      </c>
    </row>
    <row r="57" spans="1:117">
      <c r="CT57" s="118" t="s">
        <v>75</v>
      </c>
      <c r="CU57" s="118"/>
      <c r="CV57" s="118" t="s">
        <v>76</v>
      </c>
      <c r="CW57" s="118" t="s">
        <v>77</v>
      </c>
      <c r="CX57" s="118" t="s">
        <v>78</v>
      </c>
      <c r="CZ57" s="118">
        <v>180</v>
      </c>
    </row>
    <row r="58" spans="1:117" ht="23.25" customHeight="1" thickBot="1">
      <c r="A58" s="250" t="s">
        <v>79</v>
      </c>
      <c r="B58" s="250"/>
      <c r="C58" s="250"/>
      <c r="D58" s="250"/>
      <c r="E58" s="250"/>
      <c r="F58" s="250"/>
      <c r="G58" s="250"/>
      <c r="H58" s="250"/>
      <c r="I58" s="250"/>
      <c r="J58" s="250"/>
      <c r="N58" s="250" t="s">
        <v>90</v>
      </c>
      <c r="O58" s="250"/>
      <c r="P58" s="250"/>
      <c r="Q58" s="250"/>
      <c r="R58" s="250"/>
      <c r="S58" s="250"/>
      <c r="T58" s="250"/>
      <c r="U58" s="250"/>
      <c r="V58" s="250"/>
      <c r="W58" s="250"/>
      <c r="X58" s="250"/>
      <c r="Y58" s="250"/>
      <c r="CT58" s="118">
        <v>0</v>
      </c>
      <c r="CU58" s="118">
        <v>0</v>
      </c>
      <c r="CV58" s="118">
        <f>IF(U15&gt;8,12.5,IF(U15&lt;5.5,16.5,14))</f>
        <v>14</v>
      </c>
      <c r="CW58" s="118">
        <v>0</v>
      </c>
      <c r="CX58" s="118">
        <f>CV58/2</f>
        <v>7</v>
      </c>
      <c r="CZ58" s="118">
        <f>50*1.3</f>
        <v>65</v>
      </c>
    </row>
    <row r="59" spans="1:117" ht="23.25" customHeight="1">
      <c r="A59" s="60" t="s">
        <v>80</v>
      </c>
      <c r="B59" s="60"/>
      <c r="C59" s="60"/>
      <c r="D59" s="62"/>
      <c r="F59" s="61" t="s">
        <v>28</v>
      </c>
      <c r="J59" s="4"/>
      <c r="N59" s="104"/>
      <c r="O59" s="39"/>
      <c r="P59" s="183" t="str">
        <f>IF(COUNTA(P60:P70) = 0,"","Depth 1")</f>
        <v/>
      </c>
      <c r="Q59" s="183" t="str">
        <f>IF(COUNTA(Q60:Q70) = 0,"","Depth 2")</f>
        <v/>
      </c>
      <c r="R59" s="183" t="str">
        <f>IF(COUNTA(R60:R70) = 0,"","Depth 3")</f>
        <v/>
      </c>
      <c r="S59" s="183" t="str">
        <f>IF(COUNTA(S60:S70) = 0,"","Depth 4")</f>
        <v/>
      </c>
      <c r="T59" s="183" t="str">
        <f>IF(COUNTA(T60:T70) = 0,"","Depth 5")</f>
        <v/>
      </c>
      <c r="U59" s="183" t="str">
        <f>IF(COUNTA(U60:U70) = 0,"","Depth 6")</f>
        <v/>
      </c>
      <c r="V59" s="183" t="str">
        <f>IF(COUNTA(V60:V70) = 0,"","Depth 7")</f>
        <v/>
      </c>
      <c r="W59" s="183" t="str">
        <f>IF(COUNTA(W60:W70) = 0,"","Depth 8")</f>
        <v/>
      </c>
      <c r="X59" s="183" t="str">
        <f>IF(COUNTA(X60:X70) = 0,"","Depth 9")</f>
        <v/>
      </c>
      <c r="Y59" s="183" t="str">
        <f>IF(COUNTA(Y60:Y70) = 0,"","Depth 10")</f>
        <v/>
      </c>
      <c r="CT59" s="119">
        <f>SIN(((((U15+CV58)*180/CV58)+90))*PI()/180)</f>
        <v>8.9639308903432371E-2</v>
      </c>
      <c r="CU59" s="119">
        <f>COS(((((U15+CV58)*180/CV58)+90))*PI()/180)</f>
        <v>0.99597429399523918</v>
      </c>
      <c r="CV59" s="118"/>
      <c r="CW59" s="118"/>
      <c r="CX59" s="118"/>
      <c r="CZ59" s="118">
        <f>33*1.3</f>
        <v>42.9</v>
      </c>
    </row>
    <row r="60" spans="1:117" ht="23.25" customHeight="1">
      <c r="A60" s="60" t="s">
        <v>81</v>
      </c>
      <c r="B60" s="60"/>
      <c r="C60" s="60"/>
      <c r="D60" s="62"/>
      <c r="F60" s="61" t="s">
        <v>29</v>
      </c>
      <c r="J60" s="4"/>
      <c r="N60" s="184"/>
      <c r="O60" s="53"/>
      <c r="P60" s="180"/>
      <c r="Q60" s="181"/>
      <c r="R60" s="182"/>
      <c r="S60" s="180"/>
      <c r="T60" s="180"/>
      <c r="U60" s="180"/>
      <c r="V60" s="180"/>
      <c r="W60" s="180"/>
      <c r="X60" s="180"/>
      <c r="Y60" s="180"/>
      <c r="CT60" s="118">
        <v>0</v>
      </c>
      <c r="CU60" s="118">
        <v>0</v>
      </c>
      <c r="CV60" s="118"/>
      <c r="CW60" s="118"/>
      <c r="CX60" s="118"/>
      <c r="CZ60" s="118">
        <f>180-CZ58-CZ59</f>
        <v>72.099999999999994</v>
      </c>
    </row>
    <row r="61" spans="1:117" ht="23.25" customHeight="1">
      <c r="A61" s="60" t="s">
        <v>66</v>
      </c>
      <c r="B61" s="60"/>
      <c r="C61" s="60"/>
      <c r="D61" s="62"/>
      <c r="F61" s="61" t="s">
        <v>30</v>
      </c>
      <c r="J61" s="4"/>
      <c r="N61" s="184"/>
      <c r="O61" s="53"/>
      <c r="P61" s="180"/>
      <c r="Q61" s="181"/>
      <c r="R61" s="182"/>
      <c r="S61" s="180"/>
      <c r="T61" s="180"/>
      <c r="U61" s="180"/>
      <c r="V61" s="180"/>
      <c r="W61" s="180"/>
      <c r="X61" s="180"/>
      <c r="Y61" s="180"/>
    </row>
    <row r="62" spans="1:117" ht="23.25" customHeight="1">
      <c r="A62" s="60" t="s">
        <v>82</v>
      </c>
      <c r="B62" s="60"/>
      <c r="C62" s="60"/>
      <c r="D62" s="62"/>
      <c r="F62" s="61" t="s">
        <v>31</v>
      </c>
      <c r="J62" s="4"/>
      <c r="N62" s="184"/>
      <c r="O62" s="53"/>
      <c r="P62" s="180"/>
      <c r="Q62" s="181"/>
      <c r="R62" s="182"/>
      <c r="S62" s="180"/>
      <c r="T62" s="180"/>
      <c r="U62" s="180"/>
      <c r="V62" s="180"/>
      <c r="W62" s="180"/>
      <c r="X62" s="180"/>
      <c r="Y62" s="180"/>
    </row>
    <row r="63" spans="1:117" ht="23.25" customHeight="1">
      <c r="A63" s="60" t="s">
        <v>83</v>
      </c>
      <c r="B63" s="60"/>
      <c r="C63" s="60"/>
      <c r="D63" s="62"/>
      <c r="F63" s="61" t="s">
        <v>32</v>
      </c>
      <c r="J63" s="4"/>
      <c r="N63" s="184"/>
      <c r="O63" s="53"/>
      <c r="P63" s="180"/>
      <c r="Q63" s="181"/>
      <c r="R63" s="182"/>
      <c r="S63" s="180"/>
      <c r="T63" s="180"/>
      <c r="U63" s="180"/>
      <c r="V63" s="180"/>
      <c r="W63" s="180"/>
      <c r="X63" s="180"/>
      <c r="Y63" s="180"/>
    </row>
    <row r="64" spans="1:117" ht="23.25" customHeight="1">
      <c r="A64" s="60" t="s">
        <v>84</v>
      </c>
      <c r="B64" s="60"/>
      <c r="C64" s="60"/>
      <c r="D64" s="62"/>
      <c r="F64" s="61" t="s">
        <v>33</v>
      </c>
      <c r="J64" s="4"/>
      <c r="N64" s="184"/>
      <c r="O64" s="53"/>
      <c r="P64" s="180"/>
      <c r="Q64" s="181"/>
      <c r="R64" s="182"/>
      <c r="S64" s="180"/>
      <c r="T64" s="180"/>
      <c r="U64" s="180"/>
      <c r="V64" s="180"/>
      <c r="W64" s="180"/>
      <c r="X64" s="180"/>
      <c r="Y64" s="180"/>
    </row>
    <row r="65" spans="1:25" ht="23.25" customHeight="1">
      <c r="A65" s="60" t="s">
        <v>85</v>
      </c>
      <c r="B65" s="60"/>
      <c r="C65" s="60"/>
      <c r="D65" s="62"/>
      <c r="F65" s="61" t="s">
        <v>34</v>
      </c>
      <c r="J65" s="4"/>
      <c r="N65" s="184"/>
      <c r="O65" s="53"/>
      <c r="P65" s="180"/>
      <c r="Q65" s="181"/>
      <c r="R65" s="182"/>
      <c r="S65" s="180"/>
      <c r="T65" s="180"/>
      <c r="U65" s="180"/>
      <c r="V65" s="180"/>
      <c r="W65" s="180"/>
      <c r="X65" s="180"/>
      <c r="Y65" s="180"/>
    </row>
    <row r="66" spans="1:25" ht="23.25" customHeight="1">
      <c r="A66" s="60" t="s">
        <v>86</v>
      </c>
      <c r="B66" s="60"/>
      <c r="C66" s="60"/>
      <c r="D66" s="62"/>
      <c r="F66" s="61" t="s">
        <v>35</v>
      </c>
      <c r="J66" s="4"/>
      <c r="N66" s="184"/>
      <c r="O66" s="53"/>
      <c r="P66" s="180"/>
      <c r="Q66" s="181"/>
      <c r="R66" s="182"/>
      <c r="S66" s="180"/>
      <c r="T66" s="180"/>
      <c r="U66" s="180"/>
      <c r="V66" s="180"/>
      <c r="W66" s="180"/>
      <c r="X66" s="180"/>
      <c r="Y66" s="180"/>
    </row>
    <row r="67" spans="1:25" ht="23.25" customHeight="1">
      <c r="A67" s="60" t="s">
        <v>87</v>
      </c>
      <c r="B67" s="60"/>
      <c r="C67" s="60"/>
      <c r="D67" s="62"/>
      <c r="F67" s="61" t="s">
        <v>36</v>
      </c>
      <c r="J67" s="4"/>
      <c r="N67" s="184"/>
      <c r="O67" s="53"/>
      <c r="P67" s="180"/>
      <c r="Q67" s="181"/>
      <c r="R67" s="182"/>
      <c r="S67" s="180"/>
      <c r="T67" s="180"/>
      <c r="U67" s="180"/>
      <c r="V67" s="180"/>
      <c r="W67" s="180"/>
      <c r="X67" s="180"/>
      <c r="Y67" s="180"/>
    </row>
    <row r="68" spans="1:25" ht="23.25" customHeight="1">
      <c r="A68" s="60" t="s">
        <v>88</v>
      </c>
      <c r="B68" s="60"/>
      <c r="C68" s="60"/>
      <c r="D68" s="62"/>
      <c r="F68" s="61" t="s">
        <v>89</v>
      </c>
      <c r="J68" s="4"/>
      <c r="N68" s="184"/>
      <c r="O68" s="53"/>
      <c r="P68" s="180"/>
      <c r="Q68" s="181"/>
      <c r="R68" s="182"/>
      <c r="S68" s="180"/>
      <c r="T68" s="180"/>
      <c r="U68" s="180"/>
      <c r="V68" s="180"/>
      <c r="W68" s="180"/>
      <c r="X68" s="180"/>
      <c r="Y68" s="180"/>
    </row>
    <row r="69" spans="1:25" ht="20.25">
      <c r="N69" s="184"/>
      <c r="O69" s="53"/>
      <c r="P69" s="180"/>
      <c r="Q69" s="181"/>
      <c r="R69" s="182"/>
      <c r="S69" s="180"/>
      <c r="T69" s="180"/>
      <c r="U69" s="180"/>
      <c r="V69" s="180"/>
      <c r="W69" s="180"/>
      <c r="X69" s="180"/>
      <c r="Y69" s="180"/>
    </row>
    <row r="70" spans="1:25" ht="20.25">
      <c r="N70" s="184"/>
      <c r="O70" s="53"/>
      <c r="P70" s="180"/>
      <c r="Q70" s="181"/>
      <c r="R70" s="182"/>
      <c r="S70" s="180"/>
      <c r="T70" s="180"/>
      <c r="U70" s="180"/>
      <c r="V70" s="180"/>
      <c r="W70" s="180"/>
      <c r="X70" s="180"/>
      <c r="Y70" s="180"/>
    </row>
    <row r="71" spans="1:25" ht="21" thickBot="1">
      <c r="N71" s="184"/>
      <c r="O71" s="179"/>
      <c r="P71" s="180"/>
      <c r="Q71" s="180"/>
      <c r="R71" s="180"/>
      <c r="S71" s="180"/>
      <c r="T71" s="180"/>
      <c r="U71" s="180"/>
      <c r="V71" s="180"/>
      <c r="W71" s="180"/>
      <c r="X71" s="180"/>
      <c r="Y71" s="180"/>
    </row>
    <row r="72" spans="1:25" ht="15.75" thickTop="1">
      <c r="A72" s="22"/>
      <c r="B72" s="22"/>
      <c r="C72" s="22"/>
      <c r="D72" s="22"/>
      <c r="E72" s="22"/>
      <c r="F72" s="22"/>
      <c r="G72" s="22"/>
      <c r="H72" s="22"/>
      <c r="I72" s="22"/>
      <c r="J72" s="22"/>
      <c r="K72" s="22"/>
      <c r="L72" s="23"/>
      <c r="M72" s="23"/>
      <c r="N72" s="22"/>
      <c r="O72" s="22"/>
      <c r="P72" s="22"/>
      <c r="Q72" s="22"/>
      <c r="R72" s="22"/>
      <c r="S72" s="22"/>
      <c r="T72" s="22"/>
      <c r="U72" s="22"/>
      <c r="V72" s="22"/>
      <c r="W72" s="22"/>
      <c r="X72" s="24"/>
      <c r="Y72" s="24"/>
    </row>
  </sheetData>
  <mergeCells count="45">
    <mergeCell ref="C9:E9"/>
    <mergeCell ref="F9:I9"/>
    <mergeCell ref="C2:G2"/>
    <mergeCell ref="C3:E3"/>
    <mergeCell ref="C7:H7"/>
    <mergeCell ref="C8:E8"/>
    <mergeCell ref="F8:I8"/>
    <mergeCell ref="B13:C13"/>
    <mergeCell ref="E13:F13"/>
    <mergeCell ref="G13:H13"/>
    <mergeCell ref="K13:N13"/>
    <mergeCell ref="O13:T13"/>
    <mergeCell ref="A11:Y11"/>
    <mergeCell ref="B12:C12"/>
    <mergeCell ref="E12:F12"/>
    <mergeCell ref="G12:H12"/>
    <mergeCell ref="I12:J12"/>
    <mergeCell ref="L14:N14"/>
    <mergeCell ref="Q17:V17"/>
    <mergeCell ref="AA16:AF16"/>
    <mergeCell ref="A18:G18"/>
    <mergeCell ref="D19:E19"/>
    <mergeCell ref="F19:G19"/>
    <mergeCell ref="S19:T19"/>
    <mergeCell ref="AC18:AD18"/>
    <mergeCell ref="D20:E20"/>
    <mergeCell ref="S20:T20"/>
    <mergeCell ref="AC19:AD19"/>
    <mergeCell ref="D21:E21"/>
    <mergeCell ref="F21:G21"/>
    <mergeCell ref="S21:T21"/>
    <mergeCell ref="AC20:AD20"/>
    <mergeCell ref="D22:E22"/>
    <mergeCell ref="F22:G22"/>
    <mergeCell ref="S22:T22"/>
    <mergeCell ref="AC21:AD21"/>
    <mergeCell ref="D23:E23"/>
    <mergeCell ref="F23:G23"/>
    <mergeCell ref="S23:T23"/>
    <mergeCell ref="AC22:AD22"/>
    <mergeCell ref="D24:E24"/>
    <mergeCell ref="F24:G24"/>
    <mergeCell ref="S24:T24"/>
    <mergeCell ref="A58:J58"/>
    <mergeCell ref="N58:Y58"/>
  </mergeCells>
  <conditionalFormatting sqref="AC18:AD18">
    <cfRule type="cellIs" dxfId="85" priority="2" operator="equal">
      <formula>0</formula>
    </cfRule>
  </conditionalFormatting>
  <conditionalFormatting sqref="S19:T19">
    <cfRule type="cellIs" dxfId="84" priority="1" operator="equal">
      <formula>0</formula>
    </cfRule>
  </conditionalFormatting>
  <printOptions gridLinesSet="0"/>
  <pageMargins left="0.25" right="0.25" top="0.75" bottom="0.75" header="0.3" footer="0.3"/>
  <pageSetup scale="3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ransitionEvaluation="1" codeName="Sheet6">
    <pageSetUpPr fitToPage="1"/>
  </sheetPr>
  <dimension ref="A1:FC72"/>
  <sheetViews>
    <sheetView showGridLines="0" zoomScale="60" zoomScaleNormal="60" zoomScaleSheetLayoutView="55" workbookViewId="0">
      <selection activeCell="C7" sqref="C7:H7"/>
    </sheetView>
  </sheetViews>
  <sheetFormatPr defaultColWidth="4.77734375" defaultRowHeight="15"/>
  <cols>
    <col min="1" max="1" width="12.6640625" customWidth="1"/>
    <col min="2" max="3" width="5.77734375" customWidth="1"/>
    <col min="4" max="4" width="21.109375" customWidth="1"/>
    <col min="5" max="9" width="9.77734375" customWidth="1"/>
    <col min="10" max="10" width="9.33203125" customWidth="1"/>
    <col min="11" max="11" width="8.6640625" customWidth="1"/>
    <col min="12" max="13" width="8.6640625" style="4" customWidth="1"/>
    <col min="14" max="21" width="9.77734375" customWidth="1"/>
    <col min="22" max="22" width="14.88671875" bestFit="1" customWidth="1"/>
    <col min="23" max="23" width="16.77734375" bestFit="1" customWidth="1"/>
    <col min="24" max="24" width="8.77734375" style="3" customWidth="1"/>
    <col min="25" max="25" width="18.5546875" bestFit="1" customWidth="1"/>
    <col min="26" max="66" width="4.77734375" customWidth="1"/>
    <col min="67" max="72" width="4.77734375" style="106" customWidth="1"/>
    <col min="73" max="97" width="4.77734375" style="104" customWidth="1"/>
    <col min="98" max="98" width="12.44140625" style="104" bestFit="1" customWidth="1"/>
    <col min="99" max="99" width="15.88671875" style="104" bestFit="1" customWidth="1"/>
    <col min="100" max="100" width="4.77734375" style="104" customWidth="1"/>
    <col min="101" max="101" width="7.77734375" style="104" bestFit="1" customWidth="1"/>
    <col min="102" max="102" width="6.88671875" style="104" bestFit="1" customWidth="1"/>
    <col min="103" max="103" width="6.6640625" style="104" bestFit="1" customWidth="1"/>
    <col min="104" max="104" width="8.5546875" style="104" bestFit="1" customWidth="1"/>
    <col min="105" max="105" width="9.77734375" style="104" bestFit="1" customWidth="1"/>
    <col min="106" max="106" width="8.5546875" style="104" bestFit="1" customWidth="1"/>
    <col min="107" max="107" width="13.44140625" style="104" customWidth="1"/>
    <col min="108" max="108" width="8.5546875" style="104" bestFit="1" customWidth="1"/>
    <col min="109" max="109" width="4.88671875" style="104" bestFit="1" customWidth="1"/>
    <col min="110" max="110" width="7" style="104" bestFit="1" customWidth="1"/>
    <col min="111" max="112" width="4.88671875" style="104" bestFit="1" customWidth="1"/>
    <col min="113" max="113" width="5.21875" style="104" bestFit="1" customWidth="1"/>
    <col min="114" max="117" width="5.5546875" style="104" bestFit="1" customWidth="1"/>
    <col min="118" max="148" width="4.77734375" style="104"/>
    <col min="149" max="149" width="9" style="104" bestFit="1" customWidth="1"/>
    <col min="150" max="150" width="4.77734375" style="104"/>
    <col min="151" max="151" width="9" style="104" bestFit="1" customWidth="1"/>
    <col min="152" max="153" width="7.21875" style="104" bestFit="1" customWidth="1"/>
    <col min="154" max="154" width="8.33203125" style="104" bestFit="1" customWidth="1"/>
    <col min="155" max="155" width="9.5546875" style="104" bestFit="1" customWidth="1"/>
    <col min="156" max="156" width="8.33203125" style="104" bestFit="1" customWidth="1"/>
    <col min="157" max="157" width="9.5546875" style="104" bestFit="1" customWidth="1"/>
    <col min="158" max="158" width="8.33203125" style="104" bestFit="1" customWidth="1"/>
    <col min="159" max="16384" width="4.77734375" style="104"/>
  </cols>
  <sheetData>
    <row r="1" spans="1:159">
      <c r="ER1" s="104" t="s">
        <v>55</v>
      </c>
    </row>
    <row r="2" spans="1:159" ht="30">
      <c r="A2" s="85"/>
      <c r="B2" s="88" t="s">
        <v>0</v>
      </c>
      <c r="C2" s="261">
        <v>44629</v>
      </c>
      <c r="D2" s="261"/>
      <c r="E2" s="261"/>
      <c r="F2" s="261"/>
      <c r="G2" s="261"/>
      <c r="H2" s="217"/>
      <c r="I2" s="217"/>
      <c r="J2" s="217"/>
      <c r="K2" s="159"/>
      <c r="M2" s="6"/>
      <c r="N2" s="1"/>
      <c r="O2" s="1"/>
      <c r="R2" s="9"/>
      <c r="S2" s="8"/>
      <c r="T2" s="8"/>
      <c r="U2" s="8"/>
      <c r="V2" s="8"/>
      <c r="W2" s="8"/>
      <c r="ER2" s="121"/>
      <c r="ES2" s="122"/>
      <c r="ET2" s="121"/>
      <c r="EU2" s="122"/>
      <c r="EV2" s="123"/>
      <c r="EW2" s="123"/>
      <c r="EX2" s="123"/>
      <c r="EY2" s="124"/>
      <c r="EZ2" s="124"/>
      <c r="FA2" s="125"/>
      <c r="FB2" s="126"/>
    </row>
    <row r="3" spans="1:159" ht="26.25">
      <c r="A3" s="85"/>
      <c r="B3" s="88" t="s">
        <v>1</v>
      </c>
      <c r="C3" s="262">
        <v>85440</v>
      </c>
      <c r="D3" s="262"/>
      <c r="E3" s="262"/>
      <c r="F3" s="87"/>
      <c r="G3" s="87"/>
      <c r="H3" s="87"/>
      <c r="I3" s="87"/>
      <c r="J3" s="87"/>
      <c r="K3" s="8"/>
      <c r="M3" s="6"/>
      <c r="N3" s="1"/>
      <c r="O3" s="1"/>
      <c r="R3" s="10"/>
      <c r="S3" s="8"/>
      <c r="T3" s="8"/>
      <c r="U3" s="8"/>
      <c r="V3" s="8"/>
      <c r="W3" s="8"/>
      <c r="DU3" s="105"/>
      <c r="ER3" s="121"/>
      <c r="ES3" s="105"/>
      <c r="ET3" s="121"/>
      <c r="EU3" s="127"/>
      <c r="EV3" s="107"/>
      <c r="EW3" s="107"/>
      <c r="EX3" s="107"/>
      <c r="EY3" s="107"/>
      <c r="EZ3" s="107"/>
      <c r="FA3" s="107"/>
      <c r="FB3" s="107"/>
    </row>
    <row r="4" spans="1:159" ht="26.25">
      <c r="A4" s="85"/>
      <c r="B4" s="88" t="s">
        <v>2</v>
      </c>
      <c r="C4" s="220" t="s">
        <v>272</v>
      </c>
      <c r="D4" s="86"/>
      <c r="E4" s="86"/>
      <c r="F4" s="87"/>
      <c r="G4" s="87"/>
      <c r="H4" s="87"/>
      <c r="I4" s="87"/>
      <c r="J4" s="87"/>
      <c r="K4" s="8"/>
      <c r="M4" s="6"/>
      <c r="N4" s="1"/>
      <c r="O4" s="1"/>
      <c r="R4" s="10"/>
      <c r="S4" s="8"/>
      <c r="T4" s="8"/>
      <c r="U4" s="8"/>
      <c r="V4" s="8"/>
      <c r="W4" s="8"/>
      <c r="DU4" s="105"/>
      <c r="ER4" s="121"/>
      <c r="ES4" s="105"/>
      <c r="ET4" s="121"/>
      <c r="EU4" s="127"/>
      <c r="EV4" s="107"/>
      <c r="EW4" s="107"/>
      <c r="EX4" s="107"/>
      <c r="EY4" s="107"/>
      <c r="EZ4" s="107"/>
      <c r="FA4" s="107"/>
      <c r="FB4" s="107"/>
    </row>
    <row r="5" spans="1:159" ht="26.25">
      <c r="A5" s="85"/>
      <c r="B5" s="88" t="s">
        <v>3</v>
      </c>
      <c r="C5" s="218" t="s">
        <v>253</v>
      </c>
      <c r="D5" s="87"/>
      <c r="E5" s="87"/>
      <c r="F5" s="87"/>
      <c r="G5" s="87"/>
      <c r="H5" s="87"/>
      <c r="I5" s="87"/>
      <c r="J5" s="87"/>
      <c r="K5" s="8"/>
      <c r="M5" s="6"/>
      <c r="N5" s="1"/>
      <c r="O5" s="1"/>
      <c r="R5" s="10"/>
      <c r="S5" s="8"/>
      <c r="T5" s="8"/>
      <c r="U5" s="8"/>
      <c r="V5" s="8"/>
      <c r="W5" s="8"/>
      <c r="ER5" s="121"/>
      <c r="ES5" s="105"/>
      <c r="ET5" s="121"/>
      <c r="EU5" s="127"/>
      <c r="EV5" s="107"/>
      <c r="EW5" s="107"/>
      <c r="EX5" s="107"/>
      <c r="EY5" s="107"/>
      <c r="EZ5" s="107"/>
      <c r="FA5" s="107"/>
      <c r="FB5" s="107"/>
    </row>
    <row r="6" spans="1:159" ht="26.25">
      <c r="A6" s="85"/>
      <c r="B6" s="88" t="s">
        <v>4</v>
      </c>
      <c r="C6" s="218" t="s">
        <v>254</v>
      </c>
      <c r="D6" s="87"/>
      <c r="E6" s="87"/>
      <c r="F6" s="87"/>
      <c r="G6" s="87"/>
      <c r="H6" s="87"/>
      <c r="I6" s="87"/>
      <c r="J6" s="87"/>
      <c r="K6" s="8"/>
      <c r="R6" s="10"/>
      <c r="S6" s="8"/>
      <c r="T6" s="8"/>
      <c r="U6" s="8"/>
      <c r="V6" s="8"/>
      <c r="W6" s="8"/>
      <c r="ER6" s="121"/>
      <c r="ES6" s="128"/>
      <c r="ET6" s="121"/>
      <c r="EU6" s="129"/>
      <c r="EV6" s="129"/>
      <c r="EW6" s="123"/>
      <c r="EX6" s="107"/>
      <c r="EY6" s="107"/>
      <c r="EZ6" s="107"/>
      <c r="FA6" s="107"/>
      <c r="FB6" s="107"/>
    </row>
    <row r="7" spans="1:159" ht="26.25">
      <c r="A7" s="85"/>
      <c r="B7" s="88" t="s">
        <v>5</v>
      </c>
      <c r="C7" s="263" t="s">
        <v>274</v>
      </c>
      <c r="D7" s="263"/>
      <c r="E7" s="263"/>
      <c r="F7" s="263"/>
      <c r="G7" s="263"/>
      <c r="H7" s="263"/>
      <c r="I7" s="87"/>
      <c r="J7" s="87"/>
      <c r="K7" s="8"/>
      <c r="R7" s="10"/>
      <c r="S7" s="8"/>
      <c r="T7" s="8"/>
      <c r="U7" s="8"/>
      <c r="V7" s="8"/>
      <c r="W7" s="8"/>
      <c r="ER7" s="121"/>
      <c r="ES7" s="128"/>
      <c r="ET7" s="121"/>
      <c r="EU7" s="129"/>
      <c r="EV7" s="129"/>
      <c r="EW7" s="123"/>
      <c r="EX7" s="107"/>
      <c r="EY7" s="107"/>
      <c r="EZ7" s="107"/>
      <c r="FA7" s="107"/>
      <c r="FB7" s="107"/>
    </row>
    <row r="8" spans="1:159" ht="26.25">
      <c r="A8" s="85"/>
      <c r="B8" s="88" t="s">
        <v>6</v>
      </c>
      <c r="C8" s="263" t="s">
        <v>257</v>
      </c>
      <c r="D8" s="263"/>
      <c r="E8" s="263"/>
      <c r="F8" s="246" t="s">
        <v>204</v>
      </c>
      <c r="G8" s="246"/>
      <c r="H8" s="246"/>
      <c r="I8" s="246"/>
      <c r="J8" s="87"/>
      <c r="K8" s="8"/>
      <c r="R8" s="11"/>
      <c r="S8" s="8"/>
      <c r="T8" s="8"/>
      <c r="U8" s="8"/>
      <c r="V8" s="8"/>
      <c r="W8" s="8"/>
      <c r="ER8" s="121"/>
      <c r="ES8" s="128"/>
      <c r="ET8" s="121"/>
      <c r="EU8" s="129"/>
      <c r="EV8" s="129"/>
      <c r="EW8" s="123"/>
      <c r="EX8" s="107"/>
      <c r="EY8" s="107"/>
      <c r="EZ8" s="107"/>
      <c r="FA8" s="107"/>
      <c r="FB8" s="107"/>
    </row>
    <row r="9" spans="1:159" ht="26.25">
      <c r="A9" s="18"/>
      <c r="B9" s="88" t="s">
        <v>120</v>
      </c>
      <c r="C9" s="242">
        <v>44627</v>
      </c>
      <c r="D9" s="242"/>
      <c r="E9" s="242"/>
      <c r="F9" s="245">
        <v>44642</v>
      </c>
      <c r="G9" s="245"/>
      <c r="H9" s="245"/>
      <c r="I9" s="245"/>
      <c r="J9" s="178"/>
      <c r="ER9" s="121"/>
      <c r="ES9" s="128"/>
      <c r="ET9" s="121"/>
      <c r="EU9" s="129"/>
      <c r="EV9" s="129"/>
      <c r="EW9" s="123"/>
      <c r="EX9" s="107"/>
      <c r="EY9" s="107"/>
      <c r="EZ9" s="107"/>
      <c r="FA9" s="107"/>
      <c r="FB9" s="107"/>
    </row>
    <row r="10" spans="1:159" ht="18.75" thickBot="1">
      <c r="A10" s="201"/>
      <c r="B10" s="19"/>
      <c r="C10" s="19"/>
      <c r="D10" s="19"/>
      <c r="E10" s="19"/>
      <c r="F10" s="19"/>
      <c r="G10" s="19"/>
      <c r="H10" s="19"/>
      <c r="I10" s="19"/>
      <c r="J10" s="19"/>
      <c r="K10" s="19"/>
      <c r="L10" s="20"/>
      <c r="M10" s="20"/>
      <c r="N10" s="19"/>
      <c r="O10" s="19"/>
      <c r="P10" s="19"/>
      <c r="Q10" s="19"/>
      <c r="R10" s="19"/>
      <c r="S10" s="19"/>
      <c r="T10" s="19"/>
      <c r="U10" s="19"/>
      <c r="V10" s="19"/>
      <c r="W10" s="19"/>
      <c r="X10" s="21"/>
      <c r="ER10" s="121"/>
      <c r="ES10" s="128"/>
      <c r="ET10" s="121"/>
      <c r="EU10" s="129"/>
      <c r="EV10" s="129"/>
      <c r="EW10" s="123"/>
      <c r="EX10" s="107"/>
      <c r="EY10" s="107"/>
      <c r="EZ10" s="107"/>
      <c r="FA10" s="107"/>
      <c r="FB10" s="107"/>
    </row>
    <row r="11" spans="1:159" ht="27" thickTop="1">
      <c r="A11" s="257" t="s">
        <v>7</v>
      </c>
      <c r="B11" s="258"/>
      <c r="C11" s="258"/>
      <c r="D11" s="258"/>
      <c r="E11" s="258"/>
      <c r="F11" s="258"/>
      <c r="G11" s="258"/>
      <c r="H11" s="258"/>
      <c r="I11" s="258"/>
      <c r="J11" s="258"/>
      <c r="K11" s="258"/>
      <c r="L11" s="258"/>
      <c r="M11" s="258"/>
      <c r="N11" s="258"/>
      <c r="O11" s="258"/>
      <c r="P11" s="258"/>
      <c r="Q11" s="258"/>
      <c r="R11" s="258"/>
      <c r="S11" s="258"/>
      <c r="T11" s="258"/>
      <c r="U11" s="258"/>
      <c r="V11" s="258"/>
      <c r="W11" s="258"/>
      <c r="X11" s="258"/>
      <c r="Y11" s="259"/>
      <c r="BO11"/>
      <c r="BU11" s="106"/>
      <c r="ES11" s="121"/>
      <c r="ET11" s="128"/>
      <c r="EU11" s="121"/>
      <c r="EV11" s="129"/>
      <c r="EW11" s="129"/>
      <c r="EX11" s="123"/>
      <c r="EY11" s="107"/>
      <c r="EZ11" s="107"/>
      <c r="FA11" s="107"/>
      <c r="FB11" s="107"/>
      <c r="FC11" s="107"/>
    </row>
    <row r="12" spans="1:159" ht="20.25">
      <c r="A12" s="215" t="s">
        <v>8</v>
      </c>
      <c r="B12" s="238" t="s">
        <v>9</v>
      </c>
      <c r="C12" s="233"/>
      <c r="D12" s="216" t="s">
        <v>177</v>
      </c>
      <c r="E12" s="238" t="s">
        <v>41</v>
      </c>
      <c r="F12" s="239"/>
      <c r="G12" s="238" t="s">
        <v>42</v>
      </c>
      <c r="H12" s="239"/>
      <c r="I12" s="238" t="s">
        <v>10</v>
      </c>
      <c r="J12" s="239"/>
      <c r="K12" s="215" t="s">
        <v>11</v>
      </c>
      <c r="L12" s="211" t="s">
        <v>19</v>
      </c>
      <c r="M12" s="30" t="s">
        <v>20</v>
      </c>
      <c r="N12" s="34" t="s">
        <v>21</v>
      </c>
      <c r="O12" s="215" t="s">
        <v>50</v>
      </c>
      <c r="P12" s="211" t="s">
        <v>12</v>
      </c>
      <c r="Q12" s="211" t="s">
        <v>15</v>
      </c>
      <c r="R12" s="211" t="s">
        <v>16</v>
      </c>
      <c r="S12" s="211" t="s">
        <v>17</v>
      </c>
      <c r="T12" s="216" t="s">
        <v>18</v>
      </c>
      <c r="U12" s="215" t="s">
        <v>14</v>
      </c>
      <c r="V12" s="211" t="s">
        <v>252</v>
      </c>
      <c r="W12" s="211" t="s">
        <v>52</v>
      </c>
      <c r="X12" s="211" t="s">
        <v>13</v>
      </c>
      <c r="Y12" s="216" t="s">
        <v>99</v>
      </c>
      <c r="BO12"/>
      <c r="BU12" s="106"/>
      <c r="ES12" s="121"/>
      <c r="ET12" s="128"/>
      <c r="EU12" s="121"/>
      <c r="EV12" s="129"/>
      <c r="EW12" s="129"/>
      <c r="EX12" s="123"/>
      <c r="EY12" s="107"/>
      <c r="EZ12" s="107"/>
      <c r="FA12" s="107"/>
      <c r="FB12" s="107"/>
      <c r="FC12" s="107"/>
    </row>
    <row r="13" spans="1:159" ht="19.5" customHeight="1">
      <c r="A13" s="37"/>
      <c r="B13" s="225" t="s">
        <v>98</v>
      </c>
      <c r="C13" s="260"/>
      <c r="D13" s="79" t="s">
        <v>40</v>
      </c>
      <c r="E13" s="225" t="s">
        <v>92</v>
      </c>
      <c r="F13" s="226"/>
      <c r="G13" s="225" t="s">
        <v>92</v>
      </c>
      <c r="H13" s="226"/>
      <c r="I13" s="209" t="s">
        <v>43</v>
      </c>
      <c r="J13" s="210" t="str">
        <f>Summary!L12</f>
        <v>Bray</v>
      </c>
      <c r="K13" s="225" t="s">
        <v>51</v>
      </c>
      <c r="L13" s="234"/>
      <c r="M13" s="234"/>
      <c r="N13" s="226"/>
      <c r="O13" s="235" t="s">
        <v>39</v>
      </c>
      <c r="P13" s="236"/>
      <c r="Q13" s="236"/>
      <c r="R13" s="236"/>
      <c r="S13" s="236"/>
      <c r="T13" s="237"/>
      <c r="U13" s="212" t="s">
        <v>38</v>
      </c>
      <c r="V13" s="28" t="s">
        <v>14</v>
      </c>
      <c r="W13" s="213" t="s">
        <v>94</v>
      </c>
      <c r="X13" s="213"/>
      <c r="Y13" s="214" t="s">
        <v>231</v>
      </c>
      <c r="BO13"/>
      <c r="BU13" s="106"/>
      <c r="ES13" s="121"/>
      <c r="ET13" s="128"/>
      <c r="EU13" s="121"/>
      <c r="EV13" s="129"/>
      <c r="EW13" s="129"/>
      <c r="EX13" s="123"/>
      <c r="EY13" s="107"/>
      <c r="EZ13" s="107"/>
      <c r="FA13" s="107"/>
      <c r="FB13" s="107"/>
      <c r="FC13" s="107"/>
    </row>
    <row r="14" spans="1:159" ht="18">
      <c r="A14" s="63"/>
      <c r="B14" s="65" t="s">
        <v>96</v>
      </c>
      <c r="C14" s="207" t="s">
        <v>97</v>
      </c>
      <c r="D14" s="207"/>
      <c r="E14" s="65" t="s">
        <v>49</v>
      </c>
      <c r="F14" s="208" t="s">
        <v>24</v>
      </c>
      <c r="G14" s="65" t="s">
        <v>49</v>
      </c>
      <c r="H14" s="208" t="s">
        <v>24</v>
      </c>
      <c r="I14" s="65" t="s">
        <v>24</v>
      </c>
      <c r="J14" s="208" t="s">
        <v>24</v>
      </c>
      <c r="K14" s="65" t="s">
        <v>24</v>
      </c>
      <c r="L14" s="222" t="s">
        <v>93</v>
      </c>
      <c r="M14" s="223"/>
      <c r="N14" s="224"/>
      <c r="O14" s="65" t="s">
        <v>24</v>
      </c>
      <c r="P14" s="207" t="s">
        <v>24</v>
      </c>
      <c r="Q14" s="207" t="s">
        <v>24</v>
      </c>
      <c r="R14" s="207" t="s">
        <v>24</v>
      </c>
      <c r="S14" s="207" t="s">
        <v>24</v>
      </c>
      <c r="T14" s="208" t="s">
        <v>24</v>
      </c>
      <c r="U14" s="67"/>
      <c r="V14" s="68"/>
      <c r="W14" s="207" t="s">
        <v>95</v>
      </c>
      <c r="X14" s="207" t="s">
        <v>25</v>
      </c>
      <c r="Y14" s="208"/>
      <c r="BO14"/>
      <c r="BU14" s="106"/>
      <c r="ES14" s="121"/>
      <c r="ET14" s="128"/>
      <c r="EU14" s="121"/>
      <c r="EV14" s="129"/>
      <c r="EW14" s="129"/>
      <c r="EX14" s="123"/>
      <c r="EY14" s="107"/>
      <c r="EZ14" s="107"/>
      <c r="FA14" s="107"/>
      <c r="FB14" s="107"/>
      <c r="FC14" s="107"/>
    </row>
    <row r="15" spans="1:159" ht="39.75" customHeight="1">
      <c r="A15" s="188">
        <v>3751</v>
      </c>
      <c r="B15" s="188">
        <v>0</v>
      </c>
      <c r="C15" s="189">
        <v>12</v>
      </c>
      <c r="D15" s="190"/>
      <c r="E15" s="191">
        <v>14.4</v>
      </c>
      <c r="F15" s="192">
        <v>3.6</v>
      </c>
      <c r="G15" s="189">
        <v>24.4</v>
      </c>
      <c r="H15" s="193">
        <v>6.1</v>
      </c>
      <c r="I15" s="191">
        <v>19</v>
      </c>
      <c r="J15" s="194"/>
      <c r="K15" s="189">
        <v>378</v>
      </c>
      <c r="L15" s="193">
        <v>13.46</v>
      </c>
      <c r="M15" s="193">
        <v>5.43</v>
      </c>
      <c r="N15" s="195">
        <v>0.42</v>
      </c>
      <c r="O15" s="191">
        <v>6</v>
      </c>
      <c r="P15" s="195">
        <v>0.7</v>
      </c>
      <c r="Q15" s="193">
        <v>1.7</v>
      </c>
      <c r="R15" s="189">
        <v>12.7</v>
      </c>
      <c r="S15" s="193">
        <v>0.8</v>
      </c>
      <c r="T15" s="194">
        <v>9</v>
      </c>
      <c r="U15" s="193">
        <v>8.1999999999999993</v>
      </c>
      <c r="V15" s="193"/>
      <c r="W15" s="195">
        <v>0.24</v>
      </c>
      <c r="X15" s="195">
        <v>1.6</v>
      </c>
      <c r="Y15" s="196" t="s">
        <v>270</v>
      </c>
      <c r="BO15"/>
      <c r="BU15" s="106"/>
      <c r="CU15" s="121"/>
      <c r="CV15" s="122"/>
      <c r="CW15" s="121">
        <v>0</v>
      </c>
      <c r="CX15" s="122">
        <v>1</v>
      </c>
      <c r="CY15" s="123">
        <v>2</v>
      </c>
      <c r="CZ15" s="123">
        <v>3</v>
      </c>
      <c r="DA15" s="123" t="s">
        <v>56</v>
      </c>
      <c r="DB15" s="124" t="s">
        <v>57</v>
      </c>
      <c r="DC15" s="124" t="s">
        <v>56</v>
      </c>
      <c r="DD15" s="125" t="s">
        <v>57</v>
      </c>
      <c r="DE15" s="126" t="s">
        <v>56</v>
      </c>
      <c r="DW15" s="105"/>
      <c r="ES15" s="121"/>
      <c r="ET15" s="128"/>
      <c r="EU15" s="121"/>
      <c r="EV15" s="129"/>
      <c r="EW15" s="129"/>
      <c r="EX15" s="123"/>
      <c r="EY15" s="107"/>
      <c r="EZ15" s="107"/>
      <c r="FA15" s="107"/>
      <c r="FB15" s="107"/>
      <c r="FC15" s="107"/>
    </row>
    <row r="16" spans="1:159" ht="30" customHeight="1">
      <c r="A16" s="188">
        <v>3752</v>
      </c>
      <c r="B16" s="188">
        <v>12</v>
      </c>
      <c r="C16" s="189">
        <v>24</v>
      </c>
      <c r="D16" s="190"/>
      <c r="E16" s="191">
        <v>28</v>
      </c>
      <c r="F16" s="192">
        <v>7</v>
      </c>
      <c r="G16" s="189">
        <v>10.8</v>
      </c>
      <c r="H16" s="193">
        <v>2.7</v>
      </c>
      <c r="I16" s="191"/>
      <c r="J16" s="194"/>
      <c r="K16" s="189"/>
      <c r="L16" s="193"/>
      <c r="M16" s="193"/>
      <c r="N16" s="195"/>
      <c r="O16" s="191"/>
      <c r="P16" s="195"/>
      <c r="Q16" s="193"/>
      <c r="R16" s="189"/>
      <c r="S16" s="193"/>
      <c r="T16" s="194"/>
      <c r="U16" s="193"/>
      <c r="V16" s="193"/>
      <c r="W16" s="195"/>
      <c r="X16" s="195"/>
      <c r="Y16" s="196"/>
      <c r="AA16" s="255"/>
      <c r="AB16" s="255"/>
      <c r="AC16" s="255"/>
      <c r="AD16" s="255"/>
      <c r="AE16" s="255"/>
      <c r="AF16" s="255"/>
      <c r="CT16" s="121" t="s">
        <v>21</v>
      </c>
      <c r="CU16" s="128">
        <f>IF(N15&lt;=CW16,CZ16*N15,IF(N15&lt;=CX16,DB16*N15+DA16,IF(N15&lt;=CY16,DD16*N15+DC16,3)))</f>
        <v>1.0971786833855801</v>
      </c>
      <c r="CV16" s="121">
        <v>0</v>
      </c>
      <c r="CW16" s="127">
        <f>CU29*0.01</f>
        <v>0.20300000000000001</v>
      </c>
      <c r="CX16" s="107">
        <f>CU29*0.12</f>
        <v>2.4359999999999999</v>
      </c>
      <c r="CY16" s="107">
        <v>10</v>
      </c>
      <c r="CZ16" s="107">
        <f t="shared" ref="CZ16:CZ28" si="0">SLOPE($CW$15:$CX$15,CV16:CW16)</f>
        <v>4.9261083743842367</v>
      </c>
      <c r="DA16" s="107">
        <f t="shared" ref="DA16:DA28" si="1">INTERCEPT($CX$15:$CY$15,CW16:CX16)</f>
        <v>0.90909090909090917</v>
      </c>
      <c r="DB16" s="107">
        <f t="shared" ref="DB16:DB28" si="2">SLOPE($CX$15:$CY$15,CW16:CX16)</f>
        <v>0.4478280340349306</v>
      </c>
      <c r="DC16" s="107">
        <f t="shared" ref="DC16:DC28" si="3">INTERCEPT($CY$15:$CZ$15,CX16:CY16)</f>
        <v>1.6779481755684822</v>
      </c>
      <c r="DD16" s="107">
        <f t="shared" ref="DD16:DD28" si="4">SLOPE($CY$15:$CZ$15,CX16:CY16)</f>
        <v>0.13220518244315177</v>
      </c>
    </row>
    <row r="17" spans="1:120" ht="27" thickBot="1">
      <c r="A17" s="166"/>
      <c r="B17" s="166"/>
      <c r="C17" s="167"/>
      <c r="D17" s="167"/>
      <c r="E17" s="168"/>
      <c r="F17" s="167"/>
      <c r="G17" s="168"/>
      <c r="H17" s="169"/>
      <c r="I17" s="169"/>
      <c r="J17" s="169"/>
      <c r="K17" s="169"/>
      <c r="L17" s="169"/>
      <c r="M17" s="169"/>
      <c r="N17" s="169"/>
      <c r="O17" s="169"/>
      <c r="P17" s="169"/>
      <c r="Q17" s="254" t="s">
        <v>63</v>
      </c>
      <c r="R17" s="254"/>
      <c r="S17" s="254"/>
      <c r="T17" s="254"/>
      <c r="U17" s="254"/>
      <c r="V17" s="254"/>
      <c r="W17" s="169"/>
      <c r="X17" s="168"/>
      <c r="AA17" s="170"/>
      <c r="AB17" s="170"/>
      <c r="AC17" s="219"/>
      <c r="AD17" s="219"/>
      <c r="AE17" s="171"/>
      <c r="AF17" s="172"/>
      <c r="CT17" s="121" t="s">
        <v>20</v>
      </c>
      <c r="CU17" s="105">
        <f>IF(M15&lt;=0.15*CU29,CZ17*M15,IF(M15&lt;=0.2*CU29,DB17*M15+DA17,IF(M15&gt;0.3*CU29,3,DD17*M15+DC17)))</f>
        <v>2.6748768472906401</v>
      </c>
      <c r="CV17" s="121">
        <v>0</v>
      </c>
      <c r="CW17" s="127">
        <f>CU29*0.15</f>
        <v>3.0449999999999999</v>
      </c>
      <c r="CX17" s="107">
        <f>CU29*0.2</f>
        <v>4.0600000000000005</v>
      </c>
      <c r="CY17" s="107">
        <f>CU29*0.3</f>
        <v>6.09</v>
      </c>
      <c r="CZ17" s="107">
        <f t="shared" si="0"/>
        <v>0.32840722495894914</v>
      </c>
      <c r="DA17" s="107">
        <f t="shared" si="1"/>
        <v>-1.9999999999999987</v>
      </c>
      <c r="DB17" s="107">
        <f t="shared" si="2"/>
        <v>0.98522167487684686</v>
      </c>
      <c r="DC17" s="107">
        <f t="shared" si="3"/>
        <v>-8.8817841970012523E-16</v>
      </c>
      <c r="DD17" s="107">
        <f t="shared" si="4"/>
        <v>0.49261083743842382</v>
      </c>
    </row>
    <row r="18" spans="1:120" ht="26.25">
      <c r="A18" s="256"/>
      <c r="B18" s="256"/>
      <c r="C18" s="256"/>
      <c r="D18" s="256"/>
      <c r="E18" s="256"/>
      <c r="F18" s="256"/>
      <c r="G18" s="256"/>
      <c r="H18" s="2"/>
      <c r="I18" s="2"/>
      <c r="J18" s="2"/>
      <c r="K18" s="2"/>
      <c r="L18" s="5"/>
      <c r="M18" s="5"/>
      <c r="O18" s="59"/>
      <c r="P18" s="59"/>
      <c r="S18" s="164" t="s">
        <v>68</v>
      </c>
      <c r="T18" s="164"/>
      <c r="U18" s="57" t="s">
        <v>25</v>
      </c>
      <c r="V18" s="85" t="s">
        <v>54</v>
      </c>
      <c r="W18" s="164"/>
      <c r="X18" s="55"/>
      <c r="AA18" s="170"/>
      <c r="AB18" s="173"/>
      <c r="AC18" s="252"/>
      <c r="AD18" s="252"/>
      <c r="AE18" s="174"/>
      <c r="AF18" s="175"/>
      <c r="CT18" s="121" t="s">
        <v>19</v>
      </c>
      <c r="CU18" s="105">
        <f>IF(L15&lt;=0.6*CU29,CZ18*L15,IF(L15&lt;=0.75*CU29,DB18*L15+DA18,IF(L15&gt;0.85*CU29,3,DD18*L15+DC18)))</f>
        <v>1.4203612479474552</v>
      </c>
      <c r="CV18" s="121">
        <v>0</v>
      </c>
      <c r="CW18" s="127">
        <f>CU29*0.6</f>
        <v>12.18</v>
      </c>
      <c r="CX18" s="107">
        <f>CU29*0.75</f>
        <v>15.225000000000001</v>
      </c>
      <c r="CY18" s="107">
        <f>CU29*0.85</f>
        <v>17.254999999999999</v>
      </c>
      <c r="CZ18" s="107">
        <f t="shared" si="0"/>
        <v>8.2101806239737285E-2</v>
      </c>
      <c r="DA18" s="107">
        <f t="shared" si="1"/>
        <v>-2.9999999999999973</v>
      </c>
      <c r="DB18" s="107">
        <f t="shared" si="2"/>
        <v>0.32840722495894892</v>
      </c>
      <c r="DC18" s="107">
        <f t="shared" si="3"/>
        <v>-5.5000000000000107</v>
      </c>
      <c r="DD18" s="107">
        <f t="shared" si="4"/>
        <v>0.49261083743842426</v>
      </c>
    </row>
    <row r="19" spans="1:120" ht="26.25">
      <c r="D19" s="248"/>
      <c r="E19" s="248"/>
      <c r="F19" s="248"/>
      <c r="G19" s="248"/>
      <c r="M19" s="13"/>
      <c r="N19" s="12"/>
      <c r="R19" s="56" t="str">
        <f>IF(ISNUMBER(V15),"Estimated CEC","Total Bases")</f>
        <v>Total Bases</v>
      </c>
      <c r="S19" s="249">
        <v>20.3</v>
      </c>
      <c r="T19" s="249"/>
      <c r="U19" s="153"/>
      <c r="V19" s="80"/>
      <c r="W19" s="164"/>
      <c r="AA19" s="170"/>
      <c r="AB19" s="173"/>
      <c r="AC19" s="252"/>
      <c r="AD19" s="252"/>
      <c r="AE19" s="176"/>
      <c r="AF19" s="177"/>
      <c r="CT19" s="121" t="s">
        <v>18</v>
      </c>
      <c r="CU19" s="128">
        <f>IF(T15&lt;=CW19,CZ19*T15,IF(T15&lt;=CX19,DB19*T15+DA19,IF(T15&lt;=CY19,DD19*T15+DC19,3)))</f>
        <v>1.125</v>
      </c>
      <c r="CV19" s="121">
        <v>0</v>
      </c>
      <c r="CW19" s="129">
        <v>6</v>
      </c>
      <c r="CX19" s="129">
        <v>30</v>
      </c>
      <c r="CY19" s="123">
        <v>100</v>
      </c>
      <c r="CZ19" s="107">
        <f t="shared" si="0"/>
        <v>0.16666666666666666</v>
      </c>
      <c r="DA19" s="107">
        <f t="shared" si="1"/>
        <v>0.75</v>
      </c>
      <c r="DB19" s="107">
        <f t="shared" si="2"/>
        <v>4.1666666666666664E-2</v>
      </c>
      <c r="DC19" s="107">
        <f t="shared" si="3"/>
        <v>1.5714285714285716</v>
      </c>
      <c r="DD19" s="107">
        <f t="shared" si="4"/>
        <v>1.4285714285714285E-2</v>
      </c>
      <c r="DG19" s="130"/>
      <c r="DH19" s="108"/>
      <c r="DI19" s="108"/>
      <c r="DJ19" s="108"/>
      <c r="DK19" s="115"/>
      <c r="DL19" s="115"/>
      <c r="DM19" s="108"/>
      <c r="DN19" s="108"/>
      <c r="DO19" s="108"/>
      <c r="DP19" s="109"/>
    </row>
    <row r="20" spans="1:120" ht="26.25">
      <c r="C20" s="38"/>
      <c r="D20" s="253"/>
      <c r="E20" s="253"/>
      <c r="R20" s="56" t="s">
        <v>64</v>
      </c>
      <c r="S20" s="249">
        <v>13.46</v>
      </c>
      <c r="T20" s="249"/>
      <c r="U20" s="154">
        <v>66.3</v>
      </c>
      <c r="V20" s="82" t="s">
        <v>69</v>
      </c>
      <c r="W20" s="80"/>
      <c r="AA20" s="170"/>
      <c r="AB20" s="173"/>
      <c r="AC20" s="252"/>
      <c r="AD20" s="252"/>
      <c r="AE20" s="176"/>
      <c r="AF20" s="177"/>
      <c r="CT20" s="121" t="s">
        <v>17</v>
      </c>
      <c r="CU20" s="128">
        <f>IF(S15&lt;=CW20,CZ20*S15,IF(S15&lt;=CX20,DB20*S15+DA20,IF(S15&lt;=CY20,DD20*S15+DC20,3)))</f>
        <v>1.0454545454545454</v>
      </c>
      <c r="CV20" s="121">
        <v>0</v>
      </c>
      <c r="CW20" s="129">
        <v>0.6</v>
      </c>
      <c r="CX20" s="129">
        <v>5</v>
      </c>
      <c r="CY20" s="123">
        <v>15</v>
      </c>
      <c r="CZ20" s="107">
        <f t="shared" si="0"/>
        <v>1.6666666666666667</v>
      </c>
      <c r="DA20" s="107">
        <f t="shared" si="1"/>
        <v>0.86363636363636365</v>
      </c>
      <c r="DB20" s="107">
        <f t="shared" si="2"/>
        <v>0.22727272727272729</v>
      </c>
      <c r="DC20" s="107">
        <f t="shared" si="3"/>
        <v>1.5</v>
      </c>
      <c r="DD20" s="107">
        <f t="shared" si="4"/>
        <v>0.1</v>
      </c>
      <c r="DG20" s="108"/>
      <c r="DH20" s="108"/>
      <c r="DI20" s="108"/>
      <c r="DJ20" s="108"/>
      <c r="DK20" s="115"/>
      <c r="DL20" s="115"/>
      <c r="DM20" s="110"/>
      <c r="DN20" s="108"/>
      <c r="DO20" s="108"/>
      <c r="DP20" s="109"/>
    </row>
    <row r="21" spans="1:120" ht="26.25">
      <c r="C21" s="38"/>
      <c r="D21" s="247"/>
      <c r="E21" s="247"/>
      <c r="F21" s="248"/>
      <c r="G21" s="248"/>
      <c r="R21" s="56" t="s">
        <v>65</v>
      </c>
      <c r="S21" s="249">
        <v>5.43</v>
      </c>
      <c r="T21" s="249"/>
      <c r="U21" s="154">
        <v>26.7</v>
      </c>
      <c r="V21" s="82" t="s">
        <v>70</v>
      </c>
      <c r="W21" s="82"/>
      <c r="AA21" s="170"/>
      <c r="AB21" s="173"/>
      <c r="AC21" s="252"/>
      <c r="AD21" s="252"/>
      <c r="AE21" s="176"/>
      <c r="AF21" s="177"/>
      <c r="CT21" s="121" t="s">
        <v>16</v>
      </c>
      <c r="CU21" s="128">
        <f>IF(R15&lt;=CW21,CZ21*R15,IF(R15&lt;=CX21,DB21*R15+DA21,IF(R15&lt;=CY21,DD21*R15+DC21,3)))</f>
        <v>1.3166666666666667</v>
      </c>
      <c r="CV21" s="121">
        <v>0</v>
      </c>
      <c r="CW21" s="129">
        <v>7</v>
      </c>
      <c r="CX21" s="129">
        <v>25</v>
      </c>
      <c r="CY21" s="123">
        <v>60</v>
      </c>
      <c r="CZ21" s="107">
        <f t="shared" si="0"/>
        <v>0.14285714285714285</v>
      </c>
      <c r="DA21" s="107">
        <f t="shared" si="1"/>
        <v>0.61111111111111116</v>
      </c>
      <c r="DB21" s="107">
        <f t="shared" si="2"/>
        <v>5.5555555555555552E-2</v>
      </c>
      <c r="DC21" s="107">
        <f t="shared" si="3"/>
        <v>1.2857142857142858</v>
      </c>
      <c r="DD21" s="107">
        <f t="shared" si="4"/>
        <v>2.8571428571428571E-2</v>
      </c>
      <c r="DE21" s="131"/>
      <c r="DG21" s="111"/>
      <c r="DH21" s="112"/>
      <c r="DI21" s="116"/>
      <c r="DJ21" s="116"/>
      <c r="DK21" s="116"/>
      <c r="DL21" s="116"/>
      <c r="DM21" s="111"/>
      <c r="DN21" s="111"/>
      <c r="DO21" s="112"/>
      <c r="DP21" s="113"/>
    </row>
    <row r="22" spans="1:120" ht="26.25">
      <c r="C22" s="38"/>
      <c r="D22" s="247"/>
      <c r="E22" s="247"/>
      <c r="F22" s="251"/>
      <c r="G22" s="251"/>
      <c r="R22" s="56" t="s">
        <v>66</v>
      </c>
      <c r="S22" s="249">
        <v>1</v>
      </c>
      <c r="T22" s="249"/>
      <c r="U22" s="154">
        <v>4.9000000000000004</v>
      </c>
      <c r="V22" s="82" t="s">
        <v>71</v>
      </c>
      <c r="W22" s="82"/>
      <c r="AA22" s="170"/>
      <c r="AB22" s="173"/>
      <c r="AC22" s="252"/>
      <c r="AD22" s="252"/>
      <c r="AE22" s="176"/>
      <c r="AF22" s="177"/>
      <c r="CT22" s="121" t="s">
        <v>15</v>
      </c>
      <c r="CU22" s="128">
        <f>IF(Q15&lt;=CW22,CZ22*Q15,IF(Q15&lt;=CX22,DB22*Q15+DA22,IF(Q15&lt;=CY22,DD22*Q15+DC22,3)))</f>
        <v>1.2142857142857142</v>
      </c>
      <c r="CV22" s="121">
        <v>0</v>
      </c>
      <c r="CW22" s="129">
        <v>0.8</v>
      </c>
      <c r="CX22" s="129">
        <v>5</v>
      </c>
      <c r="CY22" s="123">
        <v>20</v>
      </c>
      <c r="CZ22" s="107">
        <f t="shared" si="0"/>
        <v>1.2499999999999998</v>
      </c>
      <c r="DA22" s="107">
        <f t="shared" si="1"/>
        <v>0.80952380952380953</v>
      </c>
      <c r="DB22" s="107">
        <f t="shared" si="2"/>
        <v>0.23809523809523808</v>
      </c>
      <c r="DC22" s="107">
        <f t="shared" si="3"/>
        <v>1.6666666666666665</v>
      </c>
      <c r="DD22" s="107">
        <f t="shared" si="4"/>
        <v>6.6666666666666666E-2</v>
      </c>
      <c r="DE22" s="131"/>
      <c r="DG22" s="111"/>
      <c r="DH22" s="112"/>
      <c r="DI22" s="116"/>
      <c r="DJ22" s="116"/>
      <c r="DK22" s="116"/>
      <c r="DL22" s="116"/>
      <c r="DM22" s="111"/>
      <c r="DN22" s="111"/>
      <c r="DO22" s="112"/>
      <c r="DP22" s="113"/>
    </row>
    <row r="23" spans="1:120" ht="26.25">
      <c r="C23" s="38"/>
      <c r="D23" s="247"/>
      <c r="E23" s="247"/>
      <c r="F23" s="251"/>
      <c r="G23" s="251"/>
      <c r="R23" s="56" t="s">
        <v>67</v>
      </c>
      <c r="S23" s="249">
        <v>0.42</v>
      </c>
      <c r="T23" s="249"/>
      <c r="U23" s="154">
        <v>2.1</v>
      </c>
      <c r="V23" s="82" t="s">
        <v>72</v>
      </c>
      <c r="W23" s="82"/>
      <c r="CT23" s="121" t="s">
        <v>12</v>
      </c>
      <c r="CU23" s="128">
        <f>IF(P15&lt;=CW23,CZ23*P15,IF(P15&lt;=CX23,DB23*P15+DA23,IF(P15&lt;=CY23,DD23*P15+DC23,3)))</f>
        <v>1.4</v>
      </c>
      <c r="CV23" s="121">
        <v>0</v>
      </c>
      <c r="CW23" s="129">
        <v>0.5</v>
      </c>
      <c r="CX23" s="129">
        <v>1</v>
      </c>
      <c r="CY23" s="123">
        <v>2</v>
      </c>
      <c r="CZ23" s="107">
        <f t="shared" si="0"/>
        <v>2</v>
      </c>
      <c r="DA23" s="107">
        <f t="shared" si="1"/>
        <v>0</v>
      </c>
      <c r="DB23" s="107">
        <f t="shared" si="2"/>
        <v>2</v>
      </c>
      <c r="DC23" s="107">
        <f t="shared" si="3"/>
        <v>1</v>
      </c>
      <c r="DD23" s="107">
        <f t="shared" si="4"/>
        <v>1</v>
      </c>
      <c r="DE23" s="132"/>
      <c r="DG23" s="111"/>
      <c r="DH23" s="112"/>
      <c r="DI23" s="116"/>
      <c r="DJ23" s="116"/>
      <c r="DK23" s="116"/>
      <c r="DL23" s="116"/>
      <c r="DM23" s="111"/>
      <c r="DN23" s="111"/>
      <c r="DO23" s="112"/>
      <c r="DP23" s="113"/>
    </row>
    <row r="24" spans="1:120" ht="26.25">
      <c r="C24" s="38"/>
      <c r="D24" s="247"/>
      <c r="E24" s="247"/>
      <c r="F24" s="248"/>
      <c r="G24" s="248"/>
      <c r="R24" s="56" t="str">
        <f>IF(ISNUMBER(V15),"Hydrogen","  ")</f>
        <v xml:space="preserve">  </v>
      </c>
      <c r="S24" s="249"/>
      <c r="T24" s="249"/>
      <c r="U24" s="154"/>
      <c r="W24" s="82"/>
      <c r="CT24" s="121" t="s">
        <v>58</v>
      </c>
      <c r="CU24" s="128">
        <f>IF(O15&lt;=CW24,CZ24*O15,IF(O15&lt;=CX24,DB24*O15+DA24,IF(O15&lt;=CY24,DD24*O15+DC24,3)))</f>
        <v>1.04</v>
      </c>
      <c r="CV24" s="121">
        <v>0</v>
      </c>
      <c r="CW24" s="129">
        <v>5</v>
      </c>
      <c r="CX24" s="129">
        <v>30</v>
      </c>
      <c r="CY24" s="123">
        <v>50</v>
      </c>
      <c r="CZ24" s="107">
        <f t="shared" si="0"/>
        <v>0.2</v>
      </c>
      <c r="DA24" s="107">
        <f t="shared" si="1"/>
        <v>0.79999999999999993</v>
      </c>
      <c r="DB24" s="107">
        <f t="shared" si="2"/>
        <v>0.04</v>
      </c>
      <c r="DC24" s="107">
        <f t="shared" si="3"/>
        <v>0.5</v>
      </c>
      <c r="DD24" s="107">
        <f t="shared" si="4"/>
        <v>0.05</v>
      </c>
      <c r="DE24" s="132"/>
      <c r="DG24" s="111"/>
      <c r="DH24" s="112"/>
      <c r="DI24" s="116"/>
      <c r="DJ24" s="116"/>
      <c r="DK24" s="116"/>
      <c r="DL24" s="116"/>
      <c r="DM24" s="111"/>
      <c r="DN24" s="111"/>
      <c r="DO24" s="112"/>
      <c r="DP24" s="113"/>
    </row>
    <row r="25" spans="1:120" ht="26.25">
      <c r="O25" s="53"/>
      <c r="P25" s="40"/>
      <c r="Q25" s="41"/>
      <c r="R25" s="41"/>
      <c r="S25" s="56"/>
      <c r="T25" s="41"/>
      <c r="V25" s="58"/>
      <c r="W25" s="58"/>
      <c r="X25" s="16"/>
      <c r="CT25" s="121" t="s">
        <v>11</v>
      </c>
      <c r="CU25" s="128">
        <f>IF(K15&lt;=CW25,CZ25*K15,IF(K15&lt;=CX25,DB25*K15+DA25,IF(K15&lt;=CY25,DD25*K15+DC25,3)))</f>
        <v>2.1559999999999997</v>
      </c>
      <c r="CV25" s="121">
        <v>0</v>
      </c>
      <c r="CW25" s="129">
        <v>150</v>
      </c>
      <c r="CX25" s="129">
        <v>300</v>
      </c>
      <c r="CY25" s="123">
        <v>800</v>
      </c>
      <c r="CZ25" s="107">
        <f t="shared" si="0"/>
        <v>6.6666666666666671E-3</v>
      </c>
      <c r="DA25" s="107">
        <f t="shared" si="1"/>
        <v>0</v>
      </c>
      <c r="DB25" s="107">
        <f t="shared" si="2"/>
        <v>6.6666666666666671E-3</v>
      </c>
      <c r="DC25" s="107">
        <f t="shared" si="3"/>
        <v>1.4</v>
      </c>
      <c r="DD25" s="107">
        <f t="shared" si="4"/>
        <v>2E-3</v>
      </c>
      <c r="DE25" s="132"/>
      <c r="DG25" s="111"/>
      <c r="DH25" s="112"/>
      <c r="DI25" s="116"/>
      <c r="DJ25" s="116"/>
      <c r="DK25" s="116"/>
      <c r="DL25" s="116"/>
      <c r="DM25" s="111"/>
      <c r="DN25" s="111"/>
      <c r="DO25" s="112"/>
      <c r="DP25" s="113"/>
    </row>
    <row r="26" spans="1:120" ht="20.25">
      <c r="O26" s="53"/>
      <c r="P26" s="40"/>
      <c r="Q26" s="41"/>
      <c r="R26" s="41"/>
      <c r="S26" s="39"/>
      <c r="T26" s="41"/>
      <c r="V26" s="39"/>
      <c r="W26" s="39"/>
      <c r="X26" s="16"/>
      <c r="CT26" s="121" t="s">
        <v>10</v>
      </c>
      <c r="CU26" s="128">
        <f>IF(CU30&lt;=CW26,CZ26*CU30,IF(CU30&lt;=CX26,DB26*CU30+DA26,IF(CU30&lt;=CY26,DD26*CU30+DC26,3)))</f>
        <v>1.2250000000000001</v>
      </c>
      <c r="CV26" s="121">
        <v>0</v>
      </c>
      <c r="CW26" s="129">
        <v>10</v>
      </c>
      <c r="CX26" s="129">
        <v>50</v>
      </c>
      <c r="CY26" s="123">
        <v>100</v>
      </c>
      <c r="CZ26" s="107">
        <f t="shared" si="0"/>
        <v>0.1</v>
      </c>
      <c r="DA26" s="107">
        <f t="shared" si="1"/>
        <v>0.75</v>
      </c>
      <c r="DB26" s="107">
        <f t="shared" si="2"/>
        <v>2.5000000000000001E-2</v>
      </c>
      <c r="DC26" s="107">
        <f t="shared" si="3"/>
        <v>1</v>
      </c>
      <c r="DD26" s="107">
        <f t="shared" si="4"/>
        <v>0.02</v>
      </c>
      <c r="DE26" s="133"/>
      <c r="DG26" s="111"/>
      <c r="DH26" s="112"/>
      <c r="DI26" s="116"/>
      <c r="DJ26" s="116"/>
      <c r="DK26" s="116"/>
      <c r="DL26" s="116"/>
      <c r="DM26" s="111"/>
      <c r="DN26" s="111"/>
      <c r="DO26" s="112"/>
      <c r="DP26" s="113"/>
    </row>
    <row r="27" spans="1:120" ht="18">
      <c r="M27" s="17"/>
      <c r="N27" s="14"/>
      <c r="O27" s="54"/>
      <c r="T27" s="14"/>
      <c r="U27" s="14"/>
      <c r="V27" s="14"/>
      <c r="W27" s="14"/>
      <c r="X27" s="15"/>
      <c r="CT27" s="121" t="s">
        <v>42</v>
      </c>
      <c r="CU27" s="128">
        <f>IF(G15&lt;=CW27,CZ27*G15,IF(G15&lt;=CX27,DB27*G15+DA27,IF(G15&lt;=CY27,DD27*G15+DC27,3)))</f>
        <v>1.2215384615384615</v>
      </c>
      <c r="CV27" s="121">
        <v>0</v>
      </c>
      <c r="CW27" s="129">
        <v>10</v>
      </c>
      <c r="CX27" s="129">
        <v>75</v>
      </c>
      <c r="CY27" s="123">
        <v>300</v>
      </c>
      <c r="CZ27" s="107">
        <f t="shared" si="0"/>
        <v>0.1</v>
      </c>
      <c r="DA27" s="107">
        <f t="shared" si="1"/>
        <v>0.84615384615384615</v>
      </c>
      <c r="DB27" s="107">
        <f t="shared" si="2"/>
        <v>1.5384615384615385E-2</v>
      </c>
      <c r="DC27" s="107">
        <f t="shared" si="3"/>
        <v>1.6666666666666665</v>
      </c>
      <c r="DD27" s="107">
        <f t="shared" si="4"/>
        <v>4.4444444444444444E-3</v>
      </c>
      <c r="DE27" s="133"/>
      <c r="DG27" s="111"/>
      <c r="DH27" s="112"/>
      <c r="DI27" s="117"/>
      <c r="DJ27" s="117"/>
      <c r="DK27" s="117"/>
      <c r="DL27" s="117"/>
      <c r="DM27" s="111"/>
      <c r="DN27" s="111"/>
      <c r="DO27" s="112"/>
      <c r="DP27" s="114"/>
    </row>
    <row r="28" spans="1:120" ht="18">
      <c r="CT28" s="121" t="s">
        <v>41</v>
      </c>
      <c r="CU28" s="128">
        <f>IF(E15&lt;=CW28,CZ28*E15,IF(E15&lt;=CX28,DB28*E15+DA28,IF(E15&lt;=CY28,DD28*E15+DC28,3)))</f>
        <v>1.0676923076923077</v>
      </c>
      <c r="CV28" s="121">
        <v>0</v>
      </c>
      <c r="CW28" s="129">
        <v>10</v>
      </c>
      <c r="CX28" s="129">
        <v>75</v>
      </c>
      <c r="CY28" s="123">
        <v>300</v>
      </c>
      <c r="CZ28" s="107">
        <f t="shared" si="0"/>
        <v>0.1</v>
      </c>
      <c r="DA28" s="107">
        <f t="shared" si="1"/>
        <v>0.84615384615384615</v>
      </c>
      <c r="DB28" s="107">
        <f t="shared" si="2"/>
        <v>1.5384615384615385E-2</v>
      </c>
      <c r="DC28" s="107">
        <f t="shared" si="3"/>
        <v>1.6666666666666665</v>
      </c>
      <c r="DD28" s="107">
        <f t="shared" si="4"/>
        <v>4.4444444444444444E-3</v>
      </c>
      <c r="DE28" s="133"/>
      <c r="DG28" s="111"/>
      <c r="DH28" s="112"/>
      <c r="DI28" s="117"/>
      <c r="DJ28" s="117"/>
      <c r="DK28" s="117"/>
      <c r="DL28" s="117"/>
      <c r="DM28" s="111"/>
      <c r="DN28" s="111"/>
      <c r="DO28" s="112"/>
      <c r="DP28" s="114"/>
    </row>
    <row r="29" spans="1:120" ht="18">
      <c r="CT29" s="121" t="s">
        <v>53</v>
      </c>
      <c r="CU29" s="134">
        <f>S19</f>
        <v>20.3</v>
      </c>
      <c r="CV29" s="121"/>
      <c r="CW29" s="129"/>
      <c r="CX29" s="129"/>
      <c r="CY29" s="123"/>
      <c r="CZ29" s="107"/>
      <c r="DA29" s="107"/>
      <c r="DB29" s="107"/>
      <c r="DC29" s="107"/>
      <c r="DD29" s="107"/>
      <c r="DE29" s="133"/>
      <c r="DG29" s="111"/>
      <c r="DH29" s="112"/>
      <c r="DI29" s="117"/>
      <c r="DJ29" s="117"/>
      <c r="DK29" s="117"/>
      <c r="DL29" s="117"/>
      <c r="DM29" s="111"/>
      <c r="DN29" s="111"/>
      <c r="DO29" s="112"/>
      <c r="DP29" s="114"/>
    </row>
    <row r="30" spans="1:120" ht="18">
      <c r="CT30" s="121" t="s">
        <v>62</v>
      </c>
      <c r="CU30" s="104">
        <f>IF(I15&gt;0,I15,J15)</f>
        <v>19</v>
      </c>
      <c r="DB30" s="135"/>
      <c r="DC30" s="135"/>
      <c r="DD30" s="135"/>
      <c r="DE30" s="135"/>
    </row>
    <row r="33" spans="98:112" ht="20.25">
      <c r="CT33" s="136"/>
      <c r="CU33" s="137"/>
      <c r="CV33" s="136"/>
      <c r="CW33" s="136" t="s">
        <v>59</v>
      </c>
      <c r="CX33" s="136" t="s">
        <v>60</v>
      </c>
      <c r="CY33" s="138"/>
      <c r="CZ33" s="138"/>
      <c r="DA33" s="138"/>
      <c r="DB33" s="138"/>
      <c r="DC33" s="138"/>
      <c r="DD33" s="138"/>
    </row>
    <row r="34" spans="98:112" ht="20.25">
      <c r="CT34" s="136"/>
      <c r="CU34" s="137"/>
      <c r="CV34" s="139">
        <v>0</v>
      </c>
      <c r="CW34" s="139">
        <v>1</v>
      </c>
      <c r="CX34" s="139">
        <v>2</v>
      </c>
      <c r="CY34" s="139">
        <v>3</v>
      </c>
      <c r="CZ34" s="140" t="s">
        <v>56</v>
      </c>
      <c r="DA34" s="140" t="s">
        <v>57</v>
      </c>
      <c r="DB34" s="140" t="s">
        <v>56</v>
      </c>
      <c r="DC34" s="140" t="s">
        <v>57</v>
      </c>
      <c r="DD34" s="140" t="s">
        <v>56</v>
      </c>
    </row>
    <row r="35" spans="98:112" ht="20.25">
      <c r="CT35" s="137" t="s">
        <v>61</v>
      </c>
      <c r="CU35" s="141">
        <f>IF(C35&lt;=CW35,CZ35*C35,IF(C35&lt;=CX35,DB35*C35+DA35,IF(C35&lt;=CY35,DD35*C35+DC35,3)))</f>
        <v>0</v>
      </c>
      <c r="CV35" s="139">
        <v>0</v>
      </c>
      <c r="CW35" s="139">
        <v>4.5</v>
      </c>
      <c r="CX35" s="139">
        <v>5</v>
      </c>
      <c r="CY35" s="140">
        <v>6</v>
      </c>
      <c r="CZ35" s="142">
        <f>SLOPE($CY$19:$CZ$19,CV35:CW35)</f>
        <v>-22.185185185185187</v>
      </c>
      <c r="DA35" s="142">
        <f>INTERCEPT($CZ$19:$DA$19,CW35:CX35)</f>
        <v>-5.083333333333333</v>
      </c>
      <c r="DB35" s="142">
        <f>SLOPE($CZ$19:$DA$19,CW35:CX35)</f>
        <v>1.1666666666666665</v>
      </c>
      <c r="DC35" s="142">
        <f>INTERCEPT($DA$19:$DB$19,CX35:CY35)</f>
        <v>4.2916666666666661</v>
      </c>
      <c r="DD35" s="142">
        <f>SLOPE($DA$19:$DB$19,CX35:CY35)</f>
        <v>-0.70833333333333326</v>
      </c>
    </row>
    <row r="36" spans="98:112" ht="20.25">
      <c r="CT36" s="137" t="s">
        <v>10</v>
      </c>
      <c r="CU36" s="141">
        <f>IF(D35&lt;=CW36,CZ36*D35,IF(D35&lt;=CX36,DB36*D35+DA36,IF(D35&lt;=CY36,DD36*D35+DC36,3)))</f>
        <v>0</v>
      </c>
      <c r="CV36" s="139">
        <v>0</v>
      </c>
      <c r="CW36" s="139">
        <v>0.26</v>
      </c>
      <c r="CX36" s="139">
        <v>0.7</v>
      </c>
      <c r="CY36" s="140">
        <v>1</v>
      </c>
      <c r="CZ36" s="142">
        <f>SLOPE($CY$19:$CZ$19,CV36:CW36)</f>
        <v>-383.97435897435901</v>
      </c>
      <c r="DA36" s="142">
        <f t="shared" ref="DA36:DA45" si="5">INTERCEPT($CZ$19:$DA$19,CW36:CX36)</f>
        <v>-0.17803030303030304</v>
      </c>
      <c r="DB36" s="142">
        <f t="shared" ref="DB36:DB45" si="6">SLOPE($CZ$19:$DA$19,CW36:CX36)</f>
        <v>1.3257575757575757</v>
      </c>
      <c r="DC36" s="142">
        <f t="shared" ref="DC36:DC45" si="7">INTERCEPT($DA$19:$DB$19,CX36:CY36)</f>
        <v>2.4027777777777777</v>
      </c>
      <c r="DD36" s="142">
        <f t="shared" ref="DD36:DD45" si="8">SLOPE($DA$19:$DB$19,CX36:CY36)</f>
        <v>-2.3611111111111107</v>
      </c>
    </row>
    <row r="37" spans="98:112" ht="20.25">
      <c r="CT37" s="137" t="s">
        <v>11</v>
      </c>
      <c r="CU37" s="141">
        <f>IF(E35&lt;=CW37,CZ37*E35,IF(E35&lt;=CX37,DB37*E35+DA37,IF(E35&lt;=CY37,DD37*E35+DC37,3)))</f>
        <v>0</v>
      </c>
      <c r="CV37" s="139">
        <v>0</v>
      </c>
      <c r="CW37" s="139">
        <v>2</v>
      </c>
      <c r="CX37" s="139">
        <v>3.5</v>
      </c>
      <c r="CY37" s="140">
        <v>10</v>
      </c>
      <c r="CZ37" s="142">
        <f t="shared" ref="CZ37:CZ45" si="9">SLOPE($CY$19:$CZ$19,CV37:CW37)</f>
        <v>-49.916666666666671</v>
      </c>
      <c r="DA37" s="142">
        <f t="shared" si="5"/>
        <v>-0.61111111111111116</v>
      </c>
      <c r="DB37" s="142">
        <f t="shared" si="6"/>
        <v>0.3888888888888889</v>
      </c>
      <c r="DC37" s="142">
        <f t="shared" si="7"/>
        <v>1.1314102564102564</v>
      </c>
      <c r="DD37" s="142">
        <f t="shared" si="8"/>
        <v>-0.10897435897435896</v>
      </c>
    </row>
    <row r="38" spans="98:112" ht="20.25">
      <c r="CT38" s="137" t="s">
        <v>58</v>
      </c>
      <c r="CU38" s="141">
        <f>IF(F35&lt;=CW38,CZ38*F35,IF(F35&lt;=CX38,DB38*F35+DA38,IF(F35&lt;=CY38,DD38*F35+DC38,3)))</f>
        <v>0</v>
      </c>
      <c r="CV38" s="139">
        <v>0</v>
      </c>
      <c r="CW38" s="139">
        <v>0.26</v>
      </c>
      <c r="CX38" s="139">
        <v>0.5</v>
      </c>
      <c r="CY38" s="140">
        <v>1</v>
      </c>
      <c r="CZ38" s="142">
        <f t="shared" si="9"/>
        <v>-383.97435897435901</v>
      </c>
      <c r="DA38" s="142">
        <f t="shared" si="5"/>
        <v>-0.46527777777777785</v>
      </c>
      <c r="DB38" s="142">
        <f t="shared" si="6"/>
        <v>2.4305555555555558</v>
      </c>
      <c r="DC38" s="142">
        <f t="shared" si="7"/>
        <v>1.4583333333333333</v>
      </c>
      <c r="DD38" s="142">
        <f t="shared" si="8"/>
        <v>-1.4166666666666665</v>
      </c>
    </row>
    <row r="39" spans="98:112" ht="20.25">
      <c r="CT39" s="137" t="s">
        <v>19</v>
      </c>
      <c r="CU39" s="141">
        <f>IF(G35&lt;=CW39,CZ39*G35,IF(G35&lt;=CX39,DB39*G35+DA39,IF(G35&lt;=CY39,DD39*G35+DC39,3)))</f>
        <v>0</v>
      </c>
      <c r="CV39" s="139">
        <v>0</v>
      </c>
      <c r="CW39" s="139">
        <v>1.8</v>
      </c>
      <c r="CX39" s="139">
        <v>3</v>
      </c>
      <c r="CY39" s="140">
        <v>1.5</v>
      </c>
      <c r="CZ39" s="142">
        <f t="shared" si="9"/>
        <v>-55.462962962962955</v>
      </c>
      <c r="DA39" s="142">
        <f t="shared" si="5"/>
        <v>-0.70833333333333326</v>
      </c>
      <c r="DB39" s="142">
        <f t="shared" si="6"/>
        <v>0.4861111111111111</v>
      </c>
      <c r="DC39" s="142">
        <f t="shared" si="7"/>
        <v>-0.66666666666666674</v>
      </c>
      <c r="DD39" s="142">
        <f t="shared" si="8"/>
        <v>0.47222222222222221</v>
      </c>
    </row>
    <row r="40" spans="98:112" ht="20.25">
      <c r="CT40" s="137" t="s">
        <v>20</v>
      </c>
      <c r="CU40" s="141">
        <f>IF(H35&lt;=CW40,CZ40*H35,IF(H35&lt;=CX40,DB40*H35+DA40,IF(H35&lt;=CY40,DD40*H35+DC40,3)))</f>
        <v>0</v>
      </c>
      <c r="CV40" s="139">
        <v>0</v>
      </c>
      <c r="CW40" s="139">
        <v>0.3</v>
      </c>
      <c r="CX40" s="139">
        <v>1</v>
      </c>
      <c r="CY40" s="140">
        <v>5</v>
      </c>
      <c r="CZ40" s="142">
        <f t="shared" si="9"/>
        <v>-332.77777777777777</v>
      </c>
      <c r="DA40" s="142">
        <f t="shared" si="5"/>
        <v>-8.3333333333333426E-2</v>
      </c>
      <c r="DB40" s="142">
        <f t="shared" si="6"/>
        <v>0.83333333333333337</v>
      </c>
      <c r="DC40" s="142">
        <f t="shared" si="7"/>
        <v>0.92708333333333326</v>
      </c>
      <c r="DD40" s="142">
        <f t="shared" si="8"/>
        <v>-0.17708333333333331</v>
      </c>
    </row>
    <row r="41" spans="98:112" ht="20.25">
      <c r="CT41" s="137" t="s">
        <v>12</v>
      </c>
      <c r="CU41" s="141">
        <f>IF(I35&lt;=CW41,CZ41*I35,IF(I35&lt;=CX41,DB41*I35+DA41,IF(I35&lt;=CY41,DD41*I35+DC41,3)))</f>
        <v>0</v>
      </c>
      <c r="CV41" s="139">
        <v>0</v>
      </c>
      <c r="CW41" s="139">
        <v>30</v>
      </c>
      <c r="CX41" s="139">
        <v>80</v>
      </c>
      <c r="CY41" s="140">
        <v>100</v>
      </c>
      <c r="CZ41" s="142">
        <f t="shared" si="9"/>
        <v>-3.3277777777777779</v>
      </c>
      <c r="DA41" s="142">
        <f t="shared" si="5"/>
        <v>-0.18333333333333329</v>
      </c>
      <c r="DB41" s="142">
        <f t="shared" si="6"/>
        <v>1.1666666666666665E-2</v>
      </c>
      <c r="DC41" s="142">
        <f t="shared" si="7"/>
        <v>3.5833333333333335</v>
      </c>
      <c r="DD41" s="142">
        <f t="shared" si="8"/>
        <v>-3.5416666666666666E-2</v>
      </c>
    </row>
    <row r="42" spans="98:112" ht="20.25">
      <c r="CT42" s="137" t="s">
        <v>15</v>
      </c>
      <c r="CU42" s="141">
        <f>IF(J35&lt;=CW42,CZ42*J35,IF(J35&lt;=CX42,DB42*J35+DA42,IF(J35&lt;=CY42,DD42*J35+DC42,3)))</f>
        <v>0</v>
      </c>
      <c r="CV42" s="139">
        <v>0</v>
      </c>
      <c r="CW42" s="139">
        <v>21</v>
      </c>
      <c r="CX42" s="139">
        <v>70</v>
      </c>
      <c r="CY42" s="140">
        <v>200</v>
      </c>
      <c r="CZ42" s="142">
        <f t="shared" si="9"/>
        <v>-4.753968253968254</v>
      </c>
      <c r="DA42" s="142">
        <f t="shared" si="5"/>
        <v>-8.3333333333333315E-2</v>
      </c>
      <c r="DB42" s="142">
        <f t="shared" si="6"/>
        <v>1.1904761904761904E-2</v>
      </c>
      <c r="DC42" s="142">
        <f t="shared" si="7"/>
        <v>1.1314102564102564</v>
      </c>
      <c r="DD42" s="142">
        <f t="shared" si="8"/>
        <v>-5.4487179487179493E-3</v>
      </c>
    </row>
    <row r="43" spans="98:112" ht="20.25">
      <c r="CT43" s="137" t="s">
        <v>16</v>
      </c>
      <c r="CU43" s="141">
        <f>IF(R15&lt;=CW43,CZ43*R15,IF(R15&lt;=CX43,DB43*R15+DA43,IF(R15&lt;=CY43,DD43*R15+DC43,3)))</f>
        <v>-40.89946236559139</v>
      </c>
      <c r="CV43" s="139">
        <v>0</v>
      </c>
      <c r="CW43" s="139">
        <v>31</v>
      </c>
      <c r="CX43" s="139">
        <v>100</v>
      </c>
      <c r="CY43" s="140">
        <v>200</v>
      </c>
      <c r="CZ43" s="142">
        <f t="shared" si="9"/>
        <v>-3.2204301075268815</v>
      </c>
      <c r="DA43" s="142">
        <f t="shared" si="5"/>
        <v>-9.5410628019323596E-2</v>
      </c>
      <c r="DB43" s="142">
        <f t="shared" si="6"/>
        <v>8.4541062801932361E-3</v>
      </c>
      <c r="DC43" s="142">
        <f t="shared" si="7"/>
        <v>1.4583333333333335</v>
      </c>
      <c r="DD43" s="142">
        <f t="shared" si="8"/>
        <v>-7.0833333333333347E-3</v>
      </c>
    </row>
    <row r="44" spans="98:112" ht="20.25">
      <c r="CT44" s="137" t="s">
        <v>17</v>
      </c>
      <c r="CU44" s="141">
        <f>IF(S15&lt;=CW44,CZ44*S15,IF(S15&lt;=CX44,DB44*S15+DA44,IF(S15&lt;=CY44,DD44*S15+DC44,3)))</f>
        <v>-11.40952380952381</v>
      </c>
      <c r="CV44" s="139">
        <v>0</v>
      </c>
      <c r="CW44" s="139">
        <v>7</v>
      </c>
      <c r="CX44" s="139">
        <v>30</v>
      </c>
      <c r="CY44" s="140">
        <v>50</v>
      </c>
      <c r="CZ44" s="142">
        <f t="shared" si="9"/>
        <v>-14.261904761904761</v>
      </c>
      <c r="DA44" s="142">
        <f t="shared" si="5"/>
        <v>-1.0869565217391297E-2</v>
      </c>
      <c r="DB44" s="142">
        <f t="shared" si="6"/>
        <v>2.5362318840579708E-2</v>
      </c>
      <c r="DC44" s="142">
        <f t="shared" si="7"/>
        <v>1.8124999999999998</v>
      </c>
      <c r="DD44" s="142">
        <f t="shared" si="8"/>
        <v>-3.5416666666666666E-2</v>
      </c>
    </row>
    <row r="45" spans="98:112" ht="20.25">
      <c r="CT45" s="137" t="s">
        <v>18</v>
      </c>
      <c r="CU45" s="141">
        <f>IF(T15&lt;=CW45,CZ45*T15,IF(T15&lt;=CX45,DB45*T15+DA45,IF(T15&lt;=CY45,DD45*T15+DC45,3)))</f>
        <v>-29.950000000000003</v>
      </c>
      <c r="CV45" s="139">
        <v>0</v>
      </c>
      <c r="CW45" s="139">
        <v>30</v>
      </c>
      <c r="CX45" s="139">
        <v>250</v>
      </c>
      <c r="CY45" s="140">
        <v>1000</v>
      </c>
      <c r="CZ45" s="142">
        <f t="shared" si="9"/>
        <v>-3.3277777777777779</v>
      </c>
      <c r="DA45" s="142">
        <f t="shared" si="5"/>
        <v>8.7121212121212155E-2</v>
      </c>
      <c r="DB45" s="142">
        <f t="shared" si="6"/>
        <v>2.6515151515151512E-3</v>
      </c>
      <c r="DC45" s="142">
        <f t="shared" si="7"/>
        <v>0.98611111111111116</v>
      </c>
      <c r="DD45" s="142">
        <f t="shared" si="8"/>
        <v>-9.4444444444444448E-4</v>
      </c>
    </row>
    <row r="48" spans="98:112" ht="18.75">
      <c r="CT48" s="143" t="s">
        <v>73</v>
      </c>
      <c r="CZ48" s="144" t="s">
        <v>74</v>
      </c>
      <c r="DA48" s="138"/>
      <c r="DD48" s="121"/>
      <c r="DE48" s="121">
        <v>0</v>
      </c>
      <c r="DF48" s="122">
        <v>0.33</v>
      </c>
      <c r="DG48" s="123">
        <v>0.74</v>
      </c>
      <c r="DH48" s="123">
        <v>1</v>
      </c>
    </row>
    <row r="49" spans="1:117" ht="20.25">
      <c r="CT49" s="144" t="s">
        <v>52</v>
      </c>
      <c r="CW49" s="104">
        <f>DD49</f>
        <v>0.26400000000000001</v>
      </c>
      <c r="CX49" s="104">
        <f>DD49</f>
        <v>0.26400000000000001</v>
      </c>
      <c r="CZ49" s="104">
        <v>180</v>
      </c>
      <c r="DA49" s="138"/>
      <c r="DB49" s="137"/>
      <c r="DC49" s="121" t="s">
        <v>108</v>
      </c>
      <c r="DD49" s="128">
        <f>IF(W15&lt;=DF49,DI49*W15,IF(W15&lt;=DG49,DK49*W15+DJ49,IF(W15&lt;=DH49,DM49*W15+DL49,0.9)))</f>
        <v>0.26400000000000001</v>
      </c>
      <c r="DE49" s="121">
        <v>0</v>
      </c>
      <c r="DF49" s="129">
        <v>0.3</v>
      </c>
      <c r="DG49" s="129">
        <v>0.8</v>
      </c>
      <c r="DH49" s="123">
        <v>2</v>
      </c>
      <c r="DI49" s="107">
        <f>SLOPE($DE$48:$DF$48,DE49:DF49)</f>
        <v>1.1000000000000001</v>
      </c>
      <c r="DJ49" s="107">
        <f>INTERCEPT($DF$48:$DG$48,DF49:DG49)</f>
        <v>8.4000000000000075E-2</v>
      </c>
      <c r="DK49" s="107">
        <f>SLOPE($DF$48:$DG$48,DF49:DG49)</f>
        <v>0.81999999999999984</v>
      </c>
      <c r="DL49" s="107">
        <f>INTERCEPT($DG$48:$DH$48,DG49:DH49)</f>
        <v>0.56666666666666665</v>
      </c>
      <c r="DM49" s="107">
        <f>SLOPE($DG$48:$DH$48,DG49:DH49)</f>
        <v>0.21666666666666667</v>
      </c>
    </row>
    <row r="50" spans="1:117" ht="18.75">
      <c r="CT50" s="144" t="s">
        <v>75</v>
      </c>
      <c r="CV50" s="144" t="s">
        <v>76</v>
      </c>
      <c r="CW50" s="144" t="s">
        <v>77</v>
      </c>
      <c r="CX50" s="144" t="s">
        <v>78</v>
      </c>
      <c r="CZ50" s="104">
        <v>60</v>
      </c>
      <c r="DA50" s="138"/>
      <c r="DB50" s="121"/>
      <c r="DC50" s="105"/>
      <c r="DD50" s="121"/>
      <c r="DE50" s="127"/>
      <c r="DF50" s="107"/>
      <c r="DG50" s="107"/>
      <c r="DH50" s="107"/>
      <c r="DI50" s="107"/>
      <c r="DJ50" s="107"/>
      <c r="DK50" s="107"/>
      <c r="DL50" s="107"/>
    </row>
    <row r="51" spans="1:117">
      <c r="CT51" s="145">
        <v>0</v>
      </c>
      <c r="CU51" s="145">
        <v>0</v>
      </c>
      <c r="CV51" s="145">
        <v>1</v>
      </c>
      <c r="CW51" s="145">
        <v>0</v>
      </c>
      <c r="CX51" s="145">
        <f>CV51/2</f>
        <v>0.5</v>
      </c>
      <c r="DA51" s="138"/>
    </row>
    <row r="52" spans="1:117" ht="16.5">
      <c r="CT52" s="146">
        <f>SIN(((((CX49+CV51)*180/CV51)+90))*PI()/180)</f>
        <v>-0.6753328081210247</v>
      </c>
      <c r="CU52" s="146">
        <f>COS(((((CX49+CV51)*180/CV51)+90))*PI()/180)</f>
        <v>0.73751311735817371</v>
      </c>
      <c r="CV52" s="145"/>
      <c r="CW52" s="145"/>
      <c r="CX52" s="145"/>
      <c r="CZ52" s="104">
        <v>60</v>
      </c>
      <c r="DA52" s="138"/>
    </row>
    <row r="53" spans="1:117">
      <c r="CT53" s="145">
        <v>0</v>
      </c>
      <c r="CU53" s="145">
        <v>0</v>
      </c>
      <c r="CV53" s="145"/>
      <c r="CW53" s="145"/>
      <c r="CX53" s="145"/>
      <c r="CZ53" s="104">
        <f>180-CZ50-CZ51-CZ52</f>
        <v>60</v>
      </c>
      <c r="DA53" s="138"/>
    </row>
    <row r="55" spans="1:117">
      <c r="CT55" s="147" t="s">
        <v>73</v>
      </c>
      <c r="CU55" s="118"/>
      <c r="CV55" s="118"/>
      <c r="CW55" s="118"/>
      <c r="CX55" s="118"/>
    </row>
    <row r="56" spans="1:117">
      <c r="CT56" s="118" t="s">
        <v>14</v>
      </c>
      <c r="CU56" s="118"/>
      <c r="CV56" s="118"/>
      <c r="CW56" s="118"/>
      <c r="CX56" s="118"/>
      <c r="CZ56" s="118" t="s">
        <v>74</v>
      </c>
    </row>
    <row r="57" spans="1:117">
      <c r="CT57" s="118" t="s">
        <v>75</v>
      </c>
      <c r="CU57" s="118"/>
      <c r="CV57" s="118" t="s">
        <v>76</v>
      </c>
      <c r="CW57" s="118" t="s">
        <v>77</v>
      </c>
      <c r="CX57" s="118" t="s">
        <v>78</v>
      </c>
      <c r="CZ57" s="118">
        <v>180</v>
      </c>
    </row>
    <row r="58" spans="1:117" ht="23.25" customHeight="1" thickBot="1">
      <c r="A58" s="250" t="s">
        <v>79</v>
      </c>
      <c r="B58" s="250"/>
      <c r="C58" s="250"/>
      <c r="D58" s="250"/>
      <c r="E58" s="250"/>
      <c r="F58" s="250"/>
      <c r="G58" s="250"/>
      <c r="H58" s="250"/>
      <c r="I58" s="250"/>
      <c r="J58" s="250"/>
      <c r="N58" s="250" t="s">
        <v>90</v>
      </c>
      <c r="O58" s="250"/>
      <c r="P58" s="250"/>
      <c r="Q58" s="250"/>
      <c r="R58" s="250"/>
      <c r="S58" s="250"/>
      <c r="T58" s="250"/>
      <c r="U58" s="250"/>
      <c r="V58" s="250"/>
      <c r="W58" s="250"/>
      <c r="X58" s="250"/>
      <c r="Y58" s="250"/>
      <c r="CT58" s="118">
        <v>0</v>
      </c>
      <c r="CU58" s="118">
        <v>0</v>
      </c>
      <c r="CV58" s="118">
        <f>IF(U15&gt;8,12.5,IF(U15&lt;5.5,16.5,14))</f>
        <v>12.5</v>
      </c>
      <c r="CW58" s="118">
        <v>0</v>
      </c>
      <c r="CX58" s="118">
        <f>CV58/2</f>
        <v>6.25</v>
      </c>
      <c r="CZ58" s="118">
        <f>50*1.3</f>
        <v>65</v>
      </c>
    </row>
    <row r="59" spans="1:117" ht="23.25" customHeight="1">
      <c r="A59" s="60" t="s">
        <v>80</v>
      </c>
      <c r="B59" s="60"/>
      <c r="C59" s="60"/>
      <c r="D59" s="62"/>
      <c r="F59" s="61" t="s">
        <v>28</v>
      </c>
      <c r="J59" s="4"/>
      <c r="N59" s="104"/>
      <c r="O59" s="39"/>
      <c r="P59" s="183" t="str">
        <f>IF(COUNTA(P60:P70) = 0,"","Depth 1")</f>
        <v/>
      </c>
      <c r="Q59" s="183" t="str">
        <f>IF(COUNTA(Q60:Q70) = 0,"","Depth 2")</f>
        <v/>
      </c>
      <c r="R59" s="183" t="str">
        <f>IF(COUNTA(R60:R70) = 0,"","Depth 3")</f>
        <v/>
      </c>
      <c r="S59" s="183" t="str">
        <f>IF(COUNTA(S60:S70) = 0,"","Depth 4")</f>
        <v/>
      </c>
      <c r="T59" s="183" t="str">
        <f>IF(COUNTA(T60:T70) = 0,"","Depth 5")</f>
        <v/>
      </c>
      <c r="U59" s="183" t="str">
        <f>IF(COUNTA(U60:U70) = 0,"","Depth 6")</f>
        <v/>
      </c>
      <c r="V59" s="183" t="str">
        <f>IF(COUNTA(V60:V70) = 0,"","Depth 7")</f>
        <v/>
      </c>
      <c r="W59" s="183" t="str">
        <f>IF(COUNTA(W60:W70) = 0,"","Depth 8")</f>
        <v/>
      </c>
      <c r="X59" s="183" t="str">
        <f>IF(COUNTA(X60:X70) = 0,"","Depth 9")</f>
        <v/>
      </c>
      <c r="Y59" s="183" t="str">
        <f>IF(COUNTA(Y60:Y70) = 0,"","Depth 10")</f>
        <v/>
      </c>
      <c r="CT59" s="119">
        <f>SIN(((((U15+CV58)*180/CV58)+90))*PI()/180)</f>
        <v>0.4707039321653313</v>
      </c>
      <c r="CU59" s="119">
        <f>COS(((((U15+CV58)*180/CV58)+90))*PI()/180)</f>
        <v>0.88229122643495395</v>
      </c>
      <c r="CV59" s="118"/>
      <c r="CW59" s="118"/>
      <c r="CX59" s="118"/>
      <c r="CZ59" s="118">
        <f>33*1.3</f>
        <v>42.9</v>
      </c>
    </row>
    <row r="60" spans="1:117" ht="23.25" customHeight="1">
      <c r="A60" s="60" t="s">
        <v>81</v>
      </c>
      <c r="B60" s="60"/>
      <c r="C60" s="60"/>
      <c r="D60" s="62"/>
      <c r="F60" s="61" t="s">
        <v>29</v>
      </c>
      <c r="J60" s="4"/>
      <c r="N60" s="184"/>
      <c r="O60" s="53"/>
      <c r="P60" s="180"/>
      <c r="Q60" s="181"/>
      <c r="R60" s="182"/>
      <c r="S60" s="180"/>
      <c r="T60" s="180"/>
      <c r="U60" s="180"/>
      <c r="V60" s="180"/>
      <c r="W60" s="180"/>
      <c r="X60" s="180"/>
      <c r="Y60" s="180"/>
      <c r="CT60" s="118">
        <v>0</v>
      </c>
      <c r="CU60" s="118">
        <v>0</v>
      </c>
      <c r="CV60" s="118"/>
      <c r="CW60" s="118"/>
      <c r="CX60" s="118"/>
      <c r="CZ60" s="118">
        <f>180-CZ58-CZ59</f>
        <v>72.099999999999994</v>
      </c>
    </row>
    <row r="61" spans="1:117" ht="23.25" customHeight="1">
      <c r="A61" s="60" t="s">
        <v>66</v>
      </c>
      <c r="B61" s="60"/>
      <c r="C61" s="60"/>
      <c r="D61" s="62"/>
      <c r="F61" s="61" t="s">
        <v>30</v>
      </c>
      <c r="J61" s="4"/>
      <c r="N61" s="184"/>
      <c r="O61" s="53"/>
      <c r="P61" s="180"/>
      <c r="Q61" s="181"/>
      <c r="R61" s="182"/>
      <c r="S61" s="180"/>
      <c r="T61" s="180"/>
      <c r="U61" s="180"/>
      <c r="V61" s="180"/>
      <c r="W61" s="180"/>
      <c r="X61" s="180"/>
      <c r="Y61" s="180"/>
    </row>
    <row r="62" spans="1:117" ht="23.25" customHeight="1">
      <c r="A62" s="60" t="s">
        <v>82</v>
      </c>
      <c r="B62" s="60"/>
      <c r="C62" s="60"/>
      <c r="D62" s="62"/>
      <c r="F62" s="61" t="s">
        <v>31</v>
      </c>
      <c r="J62" s="4"/>
      <c r="N62" s="184"/>
      <c r="O62" s="53"/>
      <c r="P62" s="180"/>
      <c r="Q62" s="181"/>
      <c r="R62" s="182"/>
      <c r="S62" s="180"/>
      <c r="T62" s="180"/>
      <c r="U62" s="180"/>
      <c r="V62" s="180"/>
      <c r="W62" s="180"/>
      <c r="X62" s="180"/>
      <c r="Y62" s="180"/>
    </row>
    <row r="63" spans="1:117" ht="23.25" customHeight="1">
      <c r="A63" s="60" t="s">
        <v>83</v>
      </c>
      <c r="B63" s="60"/>
      <c r="C63" s="60"/>
      <c r="D63" s="62"/>
      <c r="F63" s="61" t="s">
        <v>32</v>
      </c>
      <c r="J63" s="4"/>
      <c r="N63" s="184"/>
      <c r="O63" s="53"/>
      <c r="P63" s="180"/>
      <c r="Q63" s="181"/>
      <c r="R63" s="182"/>
      <c r="S63" s="180"/>
      <c r="T63" s="180"/>
      <c r="U63" s="180"/>
      <c r="V63" s="180"/>
      <c r="W63" s="180"/>
      <c r="X63" s="180"/>
      <c r="Y63" s="180"/>
    </row>
    <row r="64" spans="1:117" ht="23.25" customHeight="1">
      <c r="A64" s="60" t="s">
        <v>84</v>
      </c>
      <c r="B64" s="60"/>
      <c r="C64" s="60"/>
      <c r="D64" s="62"/>
      <c r="F64" s="61" t="s">
        <v>33</v>
      </c>
      <c r="J64" s="4"/>
      <c r="N64" s="184"/>
      <c r="O64" s="53"/>
      <c r="P64" s="180"/>
      <c r="Q64" s="181"/>
      <c r="R64" s="182"/>
      <c r="S64" s="180"/>
      <c r="T64" s="180"/>
      <c r="U64" s="180"/>
      <c r="V64" s="180"/>
      <c r="W64" s="180"/>
      <c r="X64" s="180"/>
      <c r="Y64" s="180"/>
    </row>
    <row r="65" spans="1:25" ht="23.25" customHeight="1">
      <c r="A65" s="60" t="s">
        <v>85</v>
      </c>
      <c r="B65" s="60"/>
      <c r="C65" s="60"/>
      <c r="D65" s="62"/>
      <c r="F65" s="61" t="s">
        <v>34</v>
      </c>
      <c r="J65" s="4"/>
      <c r="N65" s="184"/>
      <c r="O65" s="53"/>
      <c r="P65" s="180"/>
      <c r="Q65" s="181"/>
      <c r="R65" s="182"/>
      <c r="S65" s="180"/>
      <c r="T65" s="180"/>
      <c r="U65" s="180"/>
      <c r="V65" s="180"/>
      <c r="W65" s="180"/>
      <c r="X65" s="180"/>
      <c r="Y65" s="180"/>
    </row>
    <row r="66" spans="1:25" ht="23.25" customHeight="1">
      <c r="A66" s="60" t="s">
        <v>86</v>
      </c>
      <c r="B66" s="60"/>
      <c r="C66" s="60"/>
      <c r="D66" s="62"/>
      <c r="F66" s="61" t="s">
        <v>35</v>
      </c>
      <c r="J66" s="4"/>
      <c r="N66" s="184"/>
      <c r="O66" s="53"/>
      <c r="P66" s="180"/>
      <c r="Q66" s="181"/>
      <c r="R66" s="182"/>
      <c r="S66" s="180"/>
      <c r="T66" s="180"/>
      <c r="U66" s="180"/>
      <c r="V66" s="180"/>
      <c r="W66" s="180"/>
      <c r="X66" s="180"/>
      <c r="Y66" s="180"/>
    </row>
    <row r="67" spans="1:25" ht="23.25" customHeight="1">
      <c r="A67" s="60" t="s">
        <v>87</v>
      </c>
      <c r="B67" s="60"/>
      <c r="C67" s="60"/>
      <c r="D67" s="62"/>
      <c r="F67" s="61" t="s">
        <v>36</v>
      </c>
      <c r="J67" s="4"/>
      <c r="N67" s="184"/>
      <c r="O67" s="53"/>
      <c r="P67" s="180"/>
      <c r="Q67" s="181"/>
      <c r="R67" s="182"/>
      <c r="S67" s="180"/>
      <c r="T67" s="180"/>
      <c r="U67" s="180"/>
      <c r="V67" s="180"/>
      <c r="W67" s="180"/>
      <c r="X67" s="180"/>
      <c r="Y67" s="180"/>
    </row>
    <row r="68" spans="1:25" ht="23.25" customHeight="1">
      <c r="A68" s="60" t="s">
        <v>88</v>
      </c>
      <c r="B68" s="60"/>
      <c r="C68" s="60"/>
      <c r="D68" s="62"/>
      <c r="F68" s="61" t="s">
        <v>89</v>
      </c>
      <c r="J68" s="4"/>
      <c r="N68" s="184"/>
      <c r="O68" s="53"/>
      <c r="P68" s="180"/>
      <c r="Q68" s="181"/>
      <c r="R68" s="182"/>
      <c r="S68" s="180"/>
      <c r="T68" s="180"/>
      <c r="U68" s="180"/>
      <c r="V68" s="180"/>
      <c r="W68" s="180"/>
      <c r="X68" s="180"/>
      <c r="Y68" s="180"/>
    </row>
    <row r="69" spans="1:25" ht="20.25">
      <c r="N69" s="184"/>
      <c r="O69" s="53"/>
      <c r="P69" s="180"/>
      <c r="Q69" s="181"/>
      <c r="R69" s="182"/>
      <c r="S69" s="180"/>
      <c r="T69" s="180"/>
      <c r="U69" s="180"/>
      <c r="V69" s="180"/>
      <c r="W69" s="180"/>
      <c r="X69" s="180"/>
      <c r="Y69" s="180"/>
    </row>
    <row r="70" spans="1:25" ht="20.25">
      <c r="N70" s="184"/>
      <c r="O70" s="53"/>
      <c r="P70" s="180"/>
      <c r="Q70" s="181"/>
      <c r="R70" s="182"/>
      <c r="S70" s="180"/>
      <c r="T70" s="180"/>
      <c r="U70" s="180"/>
      <c r="V70" s="180"/>
      <c r="W70" s="180"/>
      <c r="X70" s="180"/>
      <c r="Y70" s="180"/>
    </row>
    <row r="71" spans="1:25" ht="21" thickBot="1">
      <c r="N71" s="184"/>
      <c r="O71" s="179"/>
      <c r="P71" s="180"/>
      <c r="Q71" s="180"/>
      <c r="R71" s="180"/>
      <c r="S71" s="180"/>
      <c r="T71" s="180"/>
      <c r="U71" s="180"/>
      <c r="V71" s="180"/>
      <c r="W71" s="180"/>
      <c r="X71" s="180"/>
      <c r="Y71" s="180"/>
    </row>
    <row r="72" spans="1:25" ht="15.75" thickTop="1">
      <c r="A72" s="22"/>
      <c r="B72" s="22"/>
      <c r="C72" s="22"/>
      <c r="D72" s="22"/>
      <c r="E72" s="22"/>
      <c r="F72" s="22"/>
      <c r="G72" s="22"/>
      <c r="H72" s="22"/>
      <c r="I72" s="22"/>
      <c r="J72" s="22"/>
      <c r="K72" s="22"/>
      <c r="L72" s="23"/>
      <c r="M72" s="23"/>
      <c r="N72" s="22"/>
      <c r="O72" s="22"/>
      <c r="P72" s="22"/>
      <c r="Q72" s="22"/>
      <c r="R72" s="22"/>
      <c r="S72" s="22"/>
      <c r="T72" s="22"/>
      <c r="U72" s="22"/>
      <c r="V72" s="22"/>
      <c r="W72" s="22"/>
      <c r="X72" s="24"/>
      <c r="Y72" s="24"/>
    </row>
  </sheetData>
  <mergeCells count="45">
    <mergeCell ref="C9:E9"/>
    <mergeCell ref="F9:I9"/>
    <mergeCell ref="C2:G2"/>
    <mergeCell ref="C3:E3"/>
    <mergeCell ref="C7:H7"/>
    <mergeCell ref="C8:E8"/>
    <mergeCell ref="F8:I8"/>
    <mergeCell ref="B13:C13"/>
    <mergeCell ref="E13:F13"/>
    <mergeCell ref="G13:H13"/>
    <mergeCell ref="K13:N13"/>
    <mergeCell ref="O13:T13"/>
    <mergeCell ref="A11:Y11"/>
    <mergeCell ref="B12:C12"/>
    <mergeCell ref="E12:F12"/>
    <mergeCell ref="G12:H12"/>
    <mergeCell ref="I12:J12"/>
    <mergeCell ref="L14:N14"/>
    <mergeCell ref="Q17:V17"/>
    <mergeCell ref="AA16:AF16"/>
    <mergeCell ref="A18:G18"/>
    <mergeCell ref="D19:E19"/>
    <mergeCell ref="F19:G19"/>
    <mergeCell ref="S19:T19"/>
    <mergeCell ref="AC18:AD18"/>
    <mergeCell ref="D20:E20"/>
    <mergeCell ref="S20:T20"/>
    <mergeCell ref="AC19:AD19"/>
    <mergeCell ref="D21:E21"/>
    <mergeCell ref="F21:G21"/>
    <mergeCell ref="S21:T21"/>
    <mergeCell ref="AC20:AD20"/>
    <mergeCell ref="D22:E22"/>
    <mergeCell ref="F22:G22"/>
    <mergeCell ref="S22:T22"/>
    <mergeCell ref="AC21:AD21"/>
    <mergeCell ref="D23:E23"/>
    <mergeCell ref="F23:G23"/>
    <mergeCell ref="S23:T23"/>
    <mergeCell ref="AC22:AD22"/>
    <mergeCell ref="D24:E24"/>
    <mergeCell ref="F24:G24"/>
    <mergeCell ref="S24:T24"/>
    <mergeCell ref="A58:J58"/>
    <mergeCell ref="N58:Y58"/>
  </mergeCells>
  <conditionalFormatting sqref="AC18:AD18">
    <cfRule type="cellIs" dxfId="83" priority="2" operator="equal">
      <formula>0</formula>
    </cfRule>
  </conditionalFormatting>
  <conditionalFormatting sqref="S19:T19">
    <cfRule type="cellIs" dxfId="82" priority="1" operator="equal">
      <formula>0</formula>
    </cfRule>
  </conditionalFormatting>
  <printOptions gridLinesSet="0"/>
  <pageMargins left="0.25" right="0.25" top="0.75" bottom="0.75" header="0.3" footer="0.3"/>
  <pageSetup scale="3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sheetPr transitionEvaluation="1" codeName="Sheet5">
    <pageSetUpPr fitToPage="1"/>
  </sheetPr>
  <dimension ref="A1:FC72"/>
  <sheetViews>
    <sheetView showGridLines="0" zoomScale="60" zoomScaleNormal="60" zoomScaleSheetLayoutView="55" workbookViewId="0">
      <selection activeCell="D15" sqref="D15"/>
    </sheetView>
  </sheetViews>
  <sheetFormatPr defaultColWidth="4.77734375" defaultRowHeight="15"/>
  <cols>
    <col min="1" max="1" width="12.6640625" customWidth="1"/>
    <col min="2" max="3" width="5.77734375" customWidth="1"/>
    <col min="4" max="4" width="21.109375" customWidth="1"/>
    <col min="5" max="9" width="9.77734375" customWidth="1"/>
    <col min="10" max="10" width="9.33203125" customWidth="1"/>
    <col min="11" max="11" width="8.6640625" customWidth="1"/>
    <col min="12" max="13" width="8.6640625" style="4" customWidth="1"/>
    <col min="14" max="21" width="9.77734375" customWidth="1"/>
    <col min="22" max="22" width="14.88671875" bestFit="1" customWidth="1"/>
    <col min="23" max="23" width="16.77734375" bestFit="1" customWidth="1"/>
    <col min="24" max="24" width="8.77734375" style="3" customWidth="1"/>
    <col min="25" max="25" width="18.5546875" bestFit="1" customWidth="1"/>
    <col min="26" max="66" width="4.77734375" customWidth="1"/>
    <col min="67" max="72" width="4.77734375" style="106" customWidth="1"/>
    <col min="73" max="97" width="4.77734375" style="104" customWidth="1"/>
    <col min="98" max="98" width="12.44140625" style="104" bestFit="1" customWidth="1"/>
    <col min="99" max="99" width="15.88671875" style="104" bestFit="1" customWidth="1"/>
    <col min="100" max="100" width="4.77734375" style="104" customWidth="1"/>
    <col min="101" max="101" width="7.77734375" style="104" bestFit="1" customWidth="1"/>
    <col min="102" max="102" width="6.88671875" style="104" bestFit="1" customWidth="1"/>
    <col min="103" max="103" width="6.6640625" style="104" bestFit="1" customWidth="1"/>
    <col min="104" max="104" width="8.5546875" style="104" bestFit="1" customWidth="1"/>
    <col min="105" max="105" width="9.77734375" style="104" bestFit="1" customWidth="1"/>
    <col min="106" max="106" width="8.5546875" style="104" bestFit="1" customWidth="1"/>
    <col min="107" max="107" width="13.44140625" style="104" customWidth="1"/>
    <col min="108" max="108" width="8.5546875" style="104" bestFit="1" customWidth="1"/>
    <col min="109" max="109" width="4.88671875" style="104" bestFit="1" customWidth="1"/>
    <col min="110" max="110" width="7" style="104" bestFit="1" customWidth="1"/>
    <col min="111" max="112" width="4.88671875" style="104" bestFit="1" customWidth="1"/>
    <col min="113" max="113" width="5.21875" style="104" bestFit="1" customWidth="1"/>
    <col min="114" max="117" width="5.5546875" style="104" bestFit="1" customWidth="1"/>
    <col min="118" max="148" width="4.77734375" style="104"/>
    <col min="149" max="149" width="9" style="104" bestFit="1" customWidth="1"/>
    <col min="150" max="150" width="4.77734375" style="104"/>
    <col min="151" max="151" width="9" style="104" bestFit="1" customWidth="1"/>
    <col min="152" max="153" width="7.21875" style="104" bestFit="1" customWidth="1"/>
    <col min="154" max="154" width="8.33203125" style="104" bestFit="1" customWidth="1"/>
    <col min="155" max="155" width="9.5546875" style="104" bestFit="1" customWidth="1"/>
    <col min="156" max="156" width="8.33203125" style="104" bestFit="1" customWidth="1"/>
    <col min="157" max="157" width="9.5546875" style="104" bestFit="1" customWidth="1"/>
    <col min="158" max="158" width="8.33203125" style="104" bestFit="1" customWidth="1"/>
    <col min="159" max="16384" width="4.77734375" style="104"/>
  </cols>
  <sheetData>
    <row r="1" spans="1:159">
      <c r="ER1" s="104" t="s">
        <v>55</v>
      </c>
    </row>
    <row r="2" spans="1:159" ht="30">
      <c r="A2" s="85"/>
      <c r="B2" s="88" t="s">
        <v>0</v>
      </c>
      <c r="C2" s="261">
        <v>44629</v>
      </c>
      <c r="D2" s="261"/>
      <c r="E2" s="261"/>
      <c r="F2" s="261"/>
      <c r="G2" s="261"/>
      <c r="H2" s="217"/>
      <c r="I2" s="217"/>
      <c r="J2" s="217"/>
      <c r="K2" s="159"/>
      <c r="M2" s="6"/>
      <c r="N2" s="1"/>
      <c r="O2" s="1"/>
      <c r="R2" s="9"/>
      <c r="S2" s="8"/>
      <c r="T2" s="8"/>
      <c r="U2" s="8"/>
      <c r="V2" s="8"/>
      <c r="W2" s="8"/>
      <c r="ER2" s="121"/>
      <c r="ES2" s="122"/>
      <c r="ET2" s="121"/>
      <c r="EU2" s="122"/>
      <c r="EV2" s="123"/>
      <c r="EW2" s="123"/>
      <c r="EX2" s="123"/>
      <c r="EY2" s="124"/>
      <c r="EZ2" s="124"/>
      <c r="FA2" s="125"/>
      <c r="FB2" s="126"/>
    </row>
    <row r="3" spans="1:159" ht="26.25">
      <c r="A3" s="85"/>
      <c r="B3" s="88" t="s">
        <v>1</v>
      </c>
      <c r="C3" s="262">
        <v>85440</v>
      </c>
      <c r="D3" s="262"/>
      <c r="E3" s="262"/>
      <c r="F3" s="87"/>
      <c r="G3" s="87"/>
      <c r="H3" s="87"/>
      <c r="I3" s="87"/>
      <c r="J3" s="87"/>
      <c r="K3" s="8"/>
      <c r="M3" s="6"/>
      <c r="N3" s="1"/>
      <c r="O3" s="1"/>
      <c r="R3" s="10"/>
      <c r="S3" s="8"/>
      <c r="T3" s="8"/>
      <c r="U3" s="8"/>
      <c r="V3" s="8"/>
      <c r="W3" s="8"/>
      <c r="DU3" s="105"/>
      <c r="ER3" s="121"/>
      <c r="ES3" s="105"/>
      <c r="ET3" s="121"/>
      <c r="EU3" s="127"/>
      <c r="EV3" s="107"/>
      <c r="EW3" s="107"/>
      <c r="EX3" s="107"/>
      <c r="EY3" s="107"/>
      <c r="EZ3" s="107"/>
      <c r="FA3" s="107"/>
      <c r="FB3" s="107"/>
    </row>
    <row r="4" spans="1:159" ht="26.25">
      <c r="A4" s="85"/>
      <c r="B4" s="88" t="s">
        <v>2</v>
      </c>
      <c r="C4" s="220" t="s">
        <v>272</v>
      </c>
      <c r="D4" s="86"/>
      <c r="E4" s="86"/>
      <c r="F4" s="87"/>
      <c r="G4" s="87"/>
      <c r="H4" s="87"/>
      <c r="I4" s="87"/>
      <c r="J4" s="87"/>
      <c r="K4" s="8"/>
      <c r="M4" s="6"/>
      <c r="N4" s="1"/>
      <c r="O4" s="1"/>
      <c r="R4" s="10"/>
      <c r="S4" s="8"/>
      <c r="T4" s="8"/>
      <c r="U4" s="8"/>
      <c r="V4" s="8"/>
      <c r="W4" s="8"/>
      <c r="DU4" s="105"/>
      <c r="ER4" s="121"/>
      <c r="ES4" s="105"/>
      <c r="ET4" s="121"/>
      <c r="EU4" s="127"/>
      <c r="EV4" s="107"/>
      <c r="EW4" s="107"/>
      <c r="EX4" s="107"/>
      <c r="EY4" s="107"/>
      <c r="EZ4" s="107"/>
      <c r="FA4" s="107"/>
      <c r="FB4" s="107"/>
    </row>
    <row r="5" spans="1:159" ht="26.25">
      <c r="A5" s="85"/>
      <c r="B5" s="88" t="s">
        <v>3</v>
      </c>
      <c r="C5" s="218" t="s">
        <v>253</v>
      </c>
      <c r="D5" s="87"/>
      <c r="E5" s="87"/>
      <c r="F5" s="87"/>
      <c r="G5" s="87"/>
      <c r="H5" s="87"/>
      <c r="I5" s="87"/>
      <c r="J5" s="87"/>
      <c r="K5" s="8"/>
      <c r="M5" s="6"/>
      <c r="N5" s="1"/>
      <c r="O5" s="1"/>
      <c r="R5" s="10"/>
      <c r="S5" s="8"/>
      <c r="T5" s="8"/>
      <c r="U5" s="8"/>
      <c r="V5" s="8"/>
      <c r="W5" s="8"/>
      <c r="ER5" s="121"/>
      <c r="ES5" s="105"/>
      <c r="ET5" s="121"/>
      <c r="EU5" s="127"/>
      <c r="EV5" s="107"/>
      <c r="EW5" s="107"/>
      <c r="EX5" s="107"/>
      <c r="EY5" s="107"/>
      <c r="EZ5" s="107"/>
      <c r="FA5" s="107"/>
      <c r="FB5" s="107"/>
    </row>
    <row r="6" spans="1:159" ht="26.25">
      <c r="A6" s="85"/>
      <c r="B6" s="88" t="s">
        <v>4</v>
      </c>
      <c r="C6" s="218" t="s">
        <v>254</v>
      </c>
      <c r="D6" s="87"/>
      <c r="E6" s="87"/>
      <c r="F6" s="87"/>
      <c r="G6" s="87"/>
      <c r="H6" s="87"/>
      <c r="I6" s="87"/>
      <c r="J6" s="87"/>
      <c r="K6" s="8"/>
      <c r="R6" s="10"/>
      <c r="S6" s="8"/>
      <c r="T6" s="8"/>
      <c r="U6" s="8"/>
      <c r="V6" s="8"/>
      <c r="W6" s="8"/>
      <c r="ER6" s="121"/>
      <c r="ES6" s="128"/>
      <c r="ET6" s="121"/>
      <c r="EU6" s="129"/>
      <c r="EV6" s="129"/>
      <c r="EW6" s="123"/>
      <c r="EX6" s="107"/>
      <c r="EY6" s="107"/>
      <c r="EZ6" s="107"/>
      <c r="FA6" s="107"/>
      <c r="FB6" s="107"/>
    </row>
    <row r="7" spans="1:159" ht="26.25">
      <c r="A7" s="85"/>
      <c r="B7" s="88" t="s">
        <v>5</v>
      </c>
      <c r="C7" s="263" t="s">
        <v>275</v>
      </c>
      <c r="D7" s="263"/>
      <c r="E7" s="263"/>
      <c r="F7" s="263"/>
      <c r="G7" s="263"/>
      <c r="H7" s="263"/>
      <c r="I7" s="87"/>
      <c r="J7" s="87"/>
      <c r="K7" s="8"/>
      <c r="R7" s="10"/>
      <c r="S7" s="8"/>
      <c r="T7" s="8"/>
      <c r="U7" s="8"/>
      <c r="V7" s="8"/>
      <c r="W7" s="8"/>
      <c r="ER7" s="121"/>
      <c r="ES7" s="128"/>
      <c r="ET7" s="121"/>
      <c r="EU7" s="129"/>
      <c r="EV7" s="129"/>
      <c r="EW7" s="123"/>
      <c r="EX7" s="107"/>
      <c r="EY7" s="107"/>
      <c r="EZ7" s="107"/>
      <c r="FA7" s="107"/>
      <c r="FB7" s="107"/>
    </row>
    <row r="8" spans="1:159" ht="26.25">
      <c r="A8" s="85"/>
      <c r="B8" s="88" t="s">
        <v>6</v>
      </c>
      <c r="C8" s="263" t="s">
        <v>257</v>
      </c>
      <c r="D8" s="263"/>
      <c r="E8" s="263"/>
      <c r="F8" s="246" t="s">
        <v>204</v>
      </c>
      <c r="G8" s="246"/>
      <c r="H8" s="246"/>
      <c r="I8" s="246"/>
      <c r="J8" s="87"/>
      <c r="K8" s="8"/>
      <c r="R8" s="11"/>
      <c r="S8" s="8"/>
      <c r="T8" s="8"/>
      <c r="U8" s="8"/>
      <c r="V8" s="8"/>
      <c r="W8" s="8"/>
      <c r="ER8" s="121"/>
      <c r="ES8" s="128"/>
      <c r="ET8" s="121"/>
      <c r="EU8" s="129"/>
      <c r="EV8" s="129"/>
      <c r="EW8" s="123"/>
      <c r="EX8" s="107"/>
      <c r="EY8" s="107"/>
      <c r="EZ8" s="107"/>
      <c r="FA8" s="107"/>
      <c r="FB8" s="107"/>
    </row>
    <row r="9" spans="1:159" ht="26.25">
      <c r="A9" s="18"/>
      <c r="B9" s="88" t="s">
        <v>120</v>
      </c>
      <c r="C9" s="242">
        <v>44627</v>
      </c>
      <c r="D9" s="242"/>
      <c r="E9" s="242"/>
      <c r="F9" s="245">
        <v>44642</v>
      </c>
      <c r="G9" s="245"/>
      <c r="H9" s="245"/>
      <c r="I9" s="245"/>
      <c r="J9" s="178"/>
      <c r="ER9" s="121"/>
      <c r="ES9" s="128"/>
      <c r="ET9" s="121"/>
      <c r="EU9" s="129"/>
      <c r="EV9" s="129"/>
      <c r="EW9" s="123"/>
      <c r="EX9" s="107"/>
      <c r="EY9" s="107"/>
      <c r="EZ9" s="107"/>
      <c r="FA9" s="107"/>
      <c r="FB9" s="107"/>
    </row>
    <row r="10" spans="1:159" ht="18.75" thickBot="1">
      <c r="A10" s="201"/>
      <c r="B10" s="19"/>
      <c r="C10" s="19"/>
      <c r="D10" s="19"/>
      <c r="E10" s="19"/>
      <c r="F10" s="19"/>
      <c r="G10" s="19"/>
      <c r="H10" s="19"/>
      <c r="I10" s="19"/>
      <c r="J10" s="19"/>
      <c r="K10" s="19"/>
      <c r="L10" s="20"/>
      <c r="M10" s="20"/>
      <c r="N10" s="19"/>
      <c r="O10" s="19"/>
      <c r="P10" s="19"/>
      <c r="Q10" s="19"/>
      <c r="R10" s="19"/>
      <c r="S10" s="19"/>
      <c r="T10" s="19"/>
      <c r="U10" s="19"/>
      <c r="V10" s="19"/>
      <c r="W10" s="19"/>
      <c r="X10" s="21"/>
      <c r="ER10" s="121"/>
      <c r="ES10" s="128"/>
      <c r="ET10" s="121"/>
      <c r="EU10" s="129"/>
      <c r="EV10" s="129"/>
      <c r="EW10" s="123"/>
      <c r="EX10" s="107"/>
      <c r="EY10" s="107"/>
      <c r="EZ10" s="107"/>
      <c r="FA10" s="107"/>
      <c r="FB10" s="107"/>
    </row>
    <row r="11" spans="1:159" ht="27" thickTop="1">
      <c r="A11" s="257" t="s">
        <v>7</v>
      </c>
      <c r="B11" s="258"/>
      <c r="C11" s="258"/>
      <c r="D11" s="258"/>
      <c r="E11" s="258"/>
      <c r="F11" s="258"/>
      <c r="G11" s="258"/>
      <c r="H11" s="258"/>
      <c r="I11" s="258"/>
      <c r="J11" s="258"/>
      <c r="K11" s="258"/>
      <c r="L11" s="258"/>
      <c r="M11" s="258"/>
      <c r="N11" s="258"/>
      <c r="O11" s="258"/>
      <c r="P11" s="258"/>
      <c r="Q11" s="258"/>
      <c r="R11" s="258"/>
      <c r="S11" s="258"/>
      <c r="T11" s="258"/>
      <c r="U11" s="258"/>
      <c r="V11" s="258"/>
      <c r="W11" s="258"/>
      <c r="X11" s="258"/>
      <c r="Y11" s="259"/>
      <c r="BO11"/>
      <c r="BU11" s="106"/>
      <c r="ES11" s="121"/>
      <c r="ET11" s="128"/>
      <c r="EU11" s="121"/>
      <c r="EV11" s="129"/>
      <c r="EW11" s="129"/>
      <c r="EX11" s="123"/>
      <c r="EY11" s="107"/>
      <c r="EZ11" s="107"/>
      <c r="FA11" s="107"/>
      <c r="FB11" s="107"/>
      <c r="FC11" s="107"/>
    </row>
    <row r="12" spans="1:159" ht="20.25">
      <c r="A12" s="215" t="s">
        <v>8</v>
      </c>
      <c r="B12" s="238" t="s">
        <v>9</v>
      </c>
      <c r="C12" s="233"/>
      <c r="D12" s="216" t="s">
        <v>177</v>
      </c>
      <c r="E12" s="238" t="s">
        <v>41</v>
      </c>
      <c r="F12" s="239"/>
      <c r="G12" s="238" t="s">
        <v>42</v>
      </c>
      <c r="H12" s="239"/>
      <c r="I12" s="238" t="s">
        <v>10</v>
      </c>
      <c r="J12" s="239"/>
      <c r="K12" s="215" t="s">
        <v>11</v>
      </c>
      <c r="L12" s="211" t="s">
        <v>19</v>
      </c>
      <c r="M12" s="30" t="s">
        <v>20</v>
      </c>
      <c r="N12" s="34" t="s">
        <v>21</v>
      </c>
      <c r="O12" s="215" t="s">
        <v>50</v>
      </c>
      <c r="P12" s="211" t="s">
        <v>12</v>
      </c>
      <c r="Q12" s="211" t="s">
        <v>15</v>
      </c>
      <c r="R12" s="211" t="s">
        <v>16</v>
      </c>
      <c r="S12" s="211" t="s">
        <v>17</v>
      </c>
      <c r="T12" s="216" t="s">
        <v>18</v>
      </c>
      <c r="U12" s="215" t="s">
        <v>14</v>
      </c>
      <c r="V12" s="211" t="s">
        <v>252</v>
      </c>
      <c r="W12" s="211" t="s">
        <v>52</v>
      </c>
      <c r="X12" s="211" t="s">
        <v>13</v>
      </c>
      <c r="Y12" s="216" t="s">
        <v>99</v>
      </c>
      <c r="BO12"/>
      <c r="BU12" s="106"/>
      <c r="ES12" s="121"/>
      <c r="ET12" s="128"/>
      <c r="EU12" s="121"/>
      <c r="EV12" s="129"/>
      <c r="EW12" s="129"/>
      <c r="EX12" s="123"/>
      <c r="EY12" s="107"/>
      <c r="EZ12" s="107"/>
      <c r="FA12" s="107"/>
      <c r="FB12" s="107"/>
      <c r="FC12" s="107"/>
    </row>
    <row r="13" spans="1:159" ht="19.5" customHeight="1">
      <c r="A13" s="37"/>
      <c r="B13" s="225" t="s">
        <v>98</v>
      </c>
      <c r="C13" s="260"/>
      <c r="D13" s="79" t="s">
        <v>40</v>
      </c>
      <c r="E13" s="225" t="s">
        <v>92</v>
      </c>
      <c r="F13" s="226"/>
      <c r="G13" s="225" t="s">
        <v>92</v>
      </c>
      <c r="H13" s="226"/>
      <c r="I13" s="209" t="s">
        <v>43</v>
      </c>
      <c r="J13" s="210" t="str">
        <f>Summary!L12</f>
        <v>Bray</v>
      </c>
      <c r="K13" s="225" t="s">
        <v>51</v>
      </c>
      <c r="L13" s="234"/>
      <c r="M13" s="234"/>
      <c r="N13" s="226"/>
      <c r="O13" s="235" t="s">
        <v>39</v>
      </c>
      <c r="P13" s="236"/>
      <c r="Q13" s="236"/>
      <c r="R13" s="236"/>
      <c r="S13" s="236"/>
      <c r="T13" s="237"/>
      <c r="U13" s="212" t="s">
        <v>38</v>
      </c>
      <c r="V13" s="28" t="s">
        <v>14</v>
      </c>
      <c r="W13" s="213" t="s">
        <v>94</v>
      </c>
      <c r="X13" s="213"/>
      <c r="Y13" s="214" t="s">
        <v>231</v>
      </c>
      <c r="BO13"/>
      <c r="BU13" s="106"/>
      <c r="ES13" s="121"/>
      <c r="ET13" s="128"/>
      <c r="EU13" s="121"/>
      <c r="EV13" s="129"/>
      <c r="EW13" s="129"/>
      <c r="EX13" s="123"/>
      <c r="EY13" s="107"/>
      <c r="EZ13" s="107"/>
      <c r="FA13" s="107"/>
      <c r="FB13" s="107"/>
      <c r="FC13" s="107"/>
    </row>
    <row r="14" spans="1:159" ht="18">
      <c r="A14" s="63"/>
      <c r="B14" s="65" t="s">
        <v>96</v>
      </c>
      <c r="C14" s="207" t="s">
        <v>97</v>
      </c>
      <c r="D14" s="207"/>
      <c r="E14" s="65" t="s">
        <v>49</v>
      </c>
      <c r="F14" s="208" t="s">
        <v>24</v>
      </c>
      <c r="G14" s="65" t="s">
        <v>49</v>
      </c>
      <c r="H14" s="208" t="s">
        <v>24</v>
      </c>
      <c r="I14" s="65" t="s">
        <v>24</v>
      </c>
      <c r="J14" s="208" t="s">
        <v>24</v>
      </c>
      <c r="K14" s="65" t="s">
        <v>24</v>
      </c>
      <c r="L14" s="222" t="s">
        <v>93</v>
      </c>
      <c r="M14" s="223"/>
      <c r="N14" s="224"/>
      <c r="O14" s="65" t="s">
        <v>24</v>
      </c>
      <c r="P14" s="207" t="s">
        <v>24</v>
      </c>
      <c r="Q14" s="207" t="s">
        <v>24</v>
      </c>
      <c r="R14" s="207" t="s">
        <v>24</v>
      </c>
      <c r="S14" s="207" t="s">
        <v>24</v>
      </c>
      <c r="T14" s="208" t="s">
        <v>24</v>
      </c>
      <c r="U14" s="67"/>
      <c r="V14" s="68"/>
      <c r="W14" s="207" t="s">
        <v>95</v>
      </c>
      <c r="X14" s="207" t="s">
        <v>25</v>
      </c>
      <c r="Y14" s="208"/>
      <c r="BO14"/>
      <c r="BU14" s="106"/>
      <c r="ES14" s="121"/>
      <c r="ET14" s="128"/>
      <c r="EU14" s="121"/>
      <c r="EV14" s="129"/>
      <c r="EW14" s="129"/>
      <c r="EX14" s="123"/>
      <c r="EY14" s="107"/>
      <c r="EZ14" s="107"/>
      <c r="FA14" s="107"/>
      <c r="FB14" s="107"/>
      <c r="FC14" s="107"/>
    </row>
    <row r="15" spans="1:159" ht="39.75" customHeight="1">
      <c r="A15" s="188">
        <v>3753</v>
      </c>
      <c r="B15" s="188">
        <v>0</v>
      </c>
      <c r="C15" s="189">
        <v>12</v>
      </c>
      <c r="D15" s="190"/>
      <c r="E15" s="191">
        <v>14.8</v>
      </c>
      <c r="F15" s="192">
        <v>3.7</v>
      </c>
      <c r="G15" s="189">
        <v>15.6</v>
      </c>
      <c r="H15" s="193">
        <v>3.9</v>
      </c>
      <c r="I15" s="191">
        <v>21</v>
      </c>
      <c r="J15" s="194"/>
      <c r="K15" s="189">
        <v>206</v>
      </c>
      <c r="L15" s="193">
        <v>17.600000000000001</v>
      </c>
      <c r="M15" s="193">
        <v>3.68</v>
      </c>
      <c r="N15" s="195">
        <v>0.17</v>
      </c>
      <c r="O15" s="191">
        <v>11</v>
      </c>
      <c r="P15" s="195">
        <v>0.52</v>
      </c>
      <c r="Q15" s="193">
        <v>1.8</v>
      </c>
      <c r="R15" s="189">
        <v>17.899999999999999</v>
      </c>
      <c r="S15" s="193">
        <v>1.7</v>
      </c>
      <c r="T15" s="194">
        <v>27</v>
      </c>
      <c r="U15" s="193">
        <v>7.6</v>
      </c>
      <c r="V15" s="193"/>
      <c r="W15" s="195">
        <v>0.32</v>
      </c>
      <c r="X15" s="195">
        <v>1.6400000000000001</v>
      </c>
      <c r="Y15" s="196" t="s">
        <v>271</v>
      </c>
      <c r="BO15"/>
      <c r="BU15" s="106"/>
      <c r="CU15" s="121"/>
      <c r="CV15" s="122"/>
      <c r="CW15" s="121">
        <v>0</v>
      </c>
      <c r="CX15" s="122">
        <v>1</v>
      </c>
      <c r="CY15" s="123">
        <v>2</v>
      </c>
      <c r="CZ15" s="123">
        <v>3</v>
      </c>
      <c r="DA15" s="123" t="s">
        <v>56</v>
      </c>
      <c r="DB15" s="124" t="s">
        <v>57</v>
      </c>
      <c r="DC15" s="124" t="s">
        <v>56</v>
      </c>
      <c r="DD15" s="125" t="s">
        <v>57</v>
      </c>
      <c r="DE15" s="126" t="s">
        <v>56</v>
      </c>
      <c r="DW15" s="105"/>
      <c r="ES15" s="121"/>
      <c r="ET15" s="128"/>
      <c r="EU15" s="121"/>
      <c r="EV15" s="129"/>
      <c r="EW15" s="129"/>
      <c r="EX15" s="123"/>
      <c r="EY15" s="107"/>
      <c r="EZ15" s="107"/>
      <c r="FA15" s="107"/>
      <c r="FB15" s="107"/>
      <c r="FC15" s="107"/>
    </row>
    <row r="16" spans="1:159" ht="30" customHeight="1">
      <c r="A16" s="188">
        <v>3754</v>
      </c>
      <c r="B16" s="188">
        <v>12</v>
      </c>
      <c r="C16" s="189">
        <v>24</v>
      </c>
      <c r="D16" s="190"/>
      <c r="E16" s="191">
        <v>12</v>
      </c>
      <c r="F16" s="192">
        <v>3</v>
      </c>
      <c r="G16" s="189">
        <v>11.2</v>
      </c>
      <c r="H16" s="193">
        <v>2.8</v>
      </c>
      <c r="I16" s="191"/>
      <c r="J16" s="194"/>
      <c r="K16" s="189"/>
      <c r="L16" s="193"/>
      <c r="M16" s="193"/>
      <c r="N16" s="195"/>
      <c r="O16" s="191"/>
      <c r="P16" s="195"/>
      <c r="Q16" s="193"/>
      <c r="R16" s="189"/>
      <c r="S16" s="193"/>
      <c r="T16" s="194"/>
      <c r="U16" s="193"/>
      <c r="V16" s="193"/>
      <c r="W16" s="195"/>
      <c r="X16" s="195"/>
      <c r="Y16" s="196"/>
      <c r="AA16" s="255"/>
      <c r="AB16" s="255"/>
      <c r="AC16" s="255"/>
      <c r="AD16" s="255"/>
      <c r="AE16" s="255"/>
      <c r="AF16" s="255"/>
      <c r="CT16" s="121" t="s">
        <v>21</v>
      </c>
      <c r="CU16" s="128">
        <f>IF(N15&lt;=CW16,CZ16*N15,IF(N15&lt;=CX16,DB16*N15+DA16,IF(N15&lt;=CY16,DD16*N15+DC16,3)))</f>
        <v>0.77272727272727282</v>
      </c>
      <c r="CV16" s="121">
        <v>0</v>
      </c>
      <c r="CW16" s="127">
        <f>CU29*0.01</f>
        <v>0.22</v>
      </c>
      <c r="CX16" s="107">
        <f>CU29*0.12</f>
        <v>2.6399999999999997</v>
      </c>
      <c r="CY16" s="107">
        <v>10</v>
      </c>
      <c r="CZ16" s="107">
        <f t="shared" ref="CZ16:CZ28" si="0">SLOPE($CW$15:$CX$15,CV16:CW16)</f>
        <v>4.5454545454545459</v>
      </c>
      <c r="DA16" s="107">
        <f t="shared" ref="DA16:DA28" si="1">INTERCEPT($CX$15:$CY$15,CW16:CX16)</f>
        <v>0.90909090909090906</v>
      </c>
      <c r="DB16" s="107">
        <f t="shared" ref="DB16:DB28" si="2">SLOPE($CX$15:$CY$15,CW16:CX16)</f>
        <v>0.41322314049586784</v>
      </c>
      <c r="DC16" s="107">
        <f t="shared" ref="DC16:DC28" si="3">INTERCEPT($CY$15:$CZ$15,CX16:CY16)</f>
        <v>1.6413043478260869</v>
      </c>
      <c r="DD16" s="107">
        <f t="shared" ref="DD16:DD28" si="4">SLOPE($CY$15:$CZ$15,CX16:CY16)</f>
        <v>0.1358695652173913</v>
      </c>
    </row>
    <row r="17" spans="1:120" ht="27" thickBot="1">
      <c r="A17" s="166"/>
      <c r="B17" s="166"/>
      <c r="C17" s="167"/>
      <c r="D17" s="167"/>
      <c r="E17" s="168"/>
      <c r="F17" s="167"/>
      <c r="G17" s="168"/>
      <c r="H17" s="169"/>
      <c r="I17" s="169"/>
      <c r="J17" s="169"/>
      <c r="K17" s="169"/>
      <c r="L17" s="169"/>
      <c r="M17" s="169"/>
      <c r="N17" s="169"/>
      <c r="O17" s="169"/>
      <c r="P17" s="169"/>
      <c r="Q17" s="254" t="s">
        <v>63</v>
      </c>
      <c r="R17" s="254"/>
      <c r="S17" s="254"/>
      <c r="T17" s="254"/>
      <c r="U17" s="254"/>
      <c r="V17" s="254"/>
      <c r="W17" s="169"/>
      <c r="X17" s="168"/>
      <c r="AA17" s="170"/>
      <c r="AB17" s="170"/>
      <c r="AC17" s="219"/>
      <c r="AD17" s="219"/>
      <c r="AE17" s="171"/>
      <c r="AF17" s="172"/>
      <c r="CT17" s="121" t="s">
        <v>20</v>
      </c>
      <c r="CU17" s="105">
        <f>IF(M15&lt;=0.15*CU29,CZ17*M15,IF(M15&lt;=0.2*CU29,DB17*M15+DA17,IF(M15&gt;0.3*CU29,3,DD17*M15+DC17)))</f>
        <v>1.3454545454545457</v>
      </c>
      <c r="CV17" s="121">
        <v>0</v>
      </c>
      <c r="CW17" s="127">
        <f>CU29*0.15</f>
        <v>3.3</v>
      </c>
      <c r="CX17" s="107">
        <f>CU29*0.2</f>
        <v>4.4000000000000004</v>
      </c>
      <c r="CY17" s="107">
        <f>CU29*0.3</f>
        <v>6.6</v>
      </c>
      <c r="CZ17" s="107">
        <f t="shared" si="0"/>
        <v>0.30303030303030304</v>
      </c>
      <c r="DA17" s="107">
        <f t="shared" si="1"/>
        <v>-1.9999999999999987</v>
      </c>
      <c r="DB17" s="107">
        <f t="shared" si="2"/>
        <v>0.90909090909090873</v>
      </c>
      <c r="DC17" s="107">
        <f t="shared" si="3"/>
        <v>-4.4408920985006262E-16</v>
      </c>
      <c r="DD17" s="107">
        <f t="shared" si="4"/>
        <v>0.45454545454545464</v>
      </c>
    </row>
    <row r="18" spans="1:120" ht="26.25">
      <c r="A18" s="256"/>
      <c r="B18" s="256"/>
      <c r="C18" s="256"/>
      <c r="D18" s="256"/>
      <c r="E18" s="256"/>
      <c r="F18" s="256"/>
      <c r="G18" s="256"/>
      <c r="H18" s="2"/>
      <c r="I18" s="2"/>
      <c r="J18" s="2"/>
      <c r="K18" s="2"/>
      <c r="L18" s="5"/>
      <c r="M18" s="5"/>
      <c r="O18" s="59"/>
      <c r="P18" s="59"/>
      <c r="S18" s="164" t="s">
        <v>68</v>
      </c>
      <c r="T18" s="164"/>
      <c r="U18" s="57" t="s">
        <v>25</v>
      </c>
      <c r="V18" s="85" t="s">
        <v>54</v>
      </c>
      <c r="W18" s="164"/>
      <c r="X18" s="55"/>
      <c r="AA18" s="170"/>
      <c r="AB18" s="173"/>
      <c r="AC18" s="252"/>
      <c r="AD18" s="252"/>
      <c r="AE18" s="174"/>
      <c r="AF18" s="175"/>
      <c r="CT18" s="121" t="s">
        <v>19</v>
      </c>
      <c r="CU18" s="105">
        <f>IF(L15&lt;=0.6*CU29,CZ18*L15,IF(L15&lt;=0.75*CU29,DB18*L15+DA18,IF(L15&gt;0.85*CU29,3,DD18*L15+DC18)))</f>
        <v>2.5</v>
      </c>
      <c r="CV18" s="121">
        <v>0</v>
      </c>
      <c r="CW18" s="127">
        <f>CU29*0.6</f>
        <v>13.2</v>
      </c>
      <c r="CX18" s="107">
        <f>CU29*0.75</f>
        <v>16.5</v>
      </c>
      <c r="CY18" s="107">
        <f>CU29*0.85</f>
        <v>18.7</v>
      </c>
      <c r="CZ18" s="107">
        <f t="shared" si="0"/>
        <v>7.575757575757576E-2</v>
      </c>
      <c r="DA18" s="107">
        <f t="shared" si="1"/>
        <v>-2.9999999999999991</v>
      </c>
      <c r="DB18" s="107">
        <f t="shared" si="2"/>
        <v>0.30303030303030298</v>
      </c>
      <c r="DC18" s="107">
        <f t="shared" si="3"/>
        <v>-5.5000000000000036</v>
      </c>
      <c r="DD18" s="107">
        <f t="shared" si="4"/>
        <v>0.45454545454545475</v>
      </c>
    </row>
    <row r="19" spans="1:120" ht="26.25">
      <c r="D19" s="248"/>
      <c r="E19" s="248"/>
      <c r="F19" s="248"/>
      <c r="G19" s="248"/>
      <c r="M19" s="13"/>
      <c r="N19" s="12"/>
      <c r="R19" s="56" t="str">
        <f>IF(ISNUMBER(V15),"Estimated CEC","Total Bases")</f>
        <v>Total Bases</v>
      </c>
      <c r="S19" s="249">
        <v>22</v>
      </c>
      <c r="T19" s="249"/>
      <c r="U19" s="153"/>
      <c r="V19" s="80"/>
      <c r="W19" s="164"/>
      <c r="AA19" s="170"/>
      <c r="AB19" s="173"/>
      <c r="AC19" s="252"/>
      <c r="AD19" s="252"/>
      <c r="AE19" s="176"/>
      <c r="AF19" s="177"/>
      <c r="CT19" s="121" t="s">
        <v>18</v>
      </c>
      <c r="CU19" s="128">
        <f>IF(T15&lt;=CW19,CZ19*T15,IF(T15&lt;=CX19,DB19*T15+DA19,IF(T15&lt;=CY19,DD19*T15+DC19,3)))</f>
        <v>1.875</v>
      </c>
      <c r="CV19" s="121">
        <v>0</v>
      </c>
      <c r="CW19" s="129">
        <v>6</v>
      </c>
      <c r="CX19" s="129">
        <v>30</v>
      </c>
      <c r="CY19" s="123">
        <v>100</v>
      </c>
      <c r="CZ19" s="107">
        <f t="shared" si="0"/>
        <v>0.16666666666666666</v>
      </c>
      <c r="DA19" s="107">
        <f t="shared" si="1"/>
        <v>0.75</v>
      </c>
      <c r="DB19" s="107">
        <f t="shared" si="2"/>
        <v>4.1666666666666664E-2</v>
      </c>
      <c r="DC19" s="107">
        <f t="shared" si="3"/>
        <v>1.5714285714285716</v>
      </c>
      <c r="DD19" s="107">
        <f t="shared" si="4"/>
        <v>1.4285714285714285E-2</v>
      </c>
      <c r="DG19" s="130"/>
      <c r="DH19" s="108"/>
      <c r="DI19" s="108"/>
      <c r="DJ19" s="108"/>
      <c r="DK19" s="115"/>
      <c r="DL19" s="115"/>
      <c r="DM19" s="108"/>
      <c r="DN19" s="108"/>
      <c r="DO19" s="108"/>
      <c r="DP19" s="109"/>
    </row>
    <row r="20" spans="1:120" ht="26.25">
      <c r="C20" s="38"/>
      <c r="D20" s="253"/>
      <c r="E20" s="253"/>
      <c r="R20" s="56" t="s">
        <v>64</v>
      </c>
      <c r="S20" s="249">
        <v>17.600000000000001</v>
      </c>
      <c r="T20" s="249"/>
      <c r="U20" s="154">
        <v>80</v>
      </c>
      <c r="V20" s="82" t="s">
        <v>69</v>
      </c>
      <c r="W20" s="80"/>
      <c r="AA20" s="170"/>
      <c r="AB20" s="173"/>
      <c r="AC20" s="252"/>
      <c r="AD20" s="252"/>
      <c r="AE20" s="176"/>
      <c r="AF20" s="177"/>
      <c r="CT20" s="121" t="s">
        <v>17</v>
      </c>
      <c r="CU20" s="128">
        <f>IF(S15&lt;=CW20,CZ20*S15,IF(S15&lt;=CX20,DB20*S15+DA20,IF(S15&lt;=CY20,DD20*S15+DC20,3)))</f>
        <v>1.25</v>
      </c>
      <c r="CV20" s="121">
        <v>0</v>
      </c>
      <c r="CW20" s="129">
        <v>0.6</v>
      </c>
      <c r="CX20" s="129">
        <v>5</v>
      </c>
      <c r="CY20" s="123">
        <v>15</v>
      </c>
      <c r="CZ20" s="107">
        <f t="shared" si="0"/>
        <v>1.6666666666666667</v>
      </c>
      <c r="DA20" s="107">
        <f t="shared" si="1"/>
        <v>0.86363636363636365</v>
      </c>
      <c r="DB20" s="107">
        <f t="shared" si="2"/>
        <v>0.22727272727272729</v>
      </c>
      <c r="DC20" s="107">
        <f t="shared" si="3"/>
        <v>1.5</v>
      </c>
      <c r="DD20" s="107">
        <f t="shared" si="4"/>
        <v>0.1</v>
      </c>
      <c r="DG20" s="108"/>
      <c r="DH20" s="108"/>
      <c r="DI20" s="108"/>
      <c r="DJ20" s="108"/>
      <c r="DK20" s="115"/>
      <c r="DL20" s="115"/>
      <c r="DM20" s="110"/>
      <c r="DN20" s="108"/>
      <c r="DO20" s="108"/>
      <c r="DP20" s="109"/>
    </row>
    <row r="21" spans="1:120" ht="26.25">
      <c r="C21" s="38"/>
      <c r="D21" s="247"/>
      <c r="E21" s="247"/>
      <c r="F21" s="248"/>
      <c r="G21" s="248"/>
      <c r="R21" s="56" t="s">
        <v>65</v>
      </c>
      <c r="S21" s="249">
        <v>3.68</v>
      </c>
      <c r="T21" s="249"/>
      <c r="U21" s="154">
        <v>16.7</v>
      </c>
      <c r="V21" s="82" t="s">
        <v>70</v>
      </c>
      <c r="W21" s="82"/>
      <c r="AA21" s="170"/>
      <c r="AB21" s="173"/>
      <c r="AC21" s="252"/>
      <c r="AD21" s="252"/>
      <c r="AE21" s="176"/>
      <c r="AF21" s="177"/>
      <c r="CT21" s="121" t="s">
        <v>16</v>
      </c>
      <c r="CU21" s="128">
        <f>IF(R15&lt;=CW21,CZ21*R15,IF(R15&lt;=CX21,DB21*R15+DA21,IF(R15&lt;=CY21,DD21*R15+DC21,3)))</f>
        <v>1.6055555555555556</v>
      </c>
      <c r="CV21" s="121">
        <v>0</v>
      </c>
      <c r="CW21" s="129">
        <v>7</v>
      </c>
      <c r="CX21" s="129">
        <v>25</v>
      </c>
      <c r="CY21" s="123">
        <v>60</v>
      </c>
      <c r="CZ21" s="107">
        <f t="shared" si="0"/>
        <v>0.14285714285714285</v>
      </c>
      <c r="DA21" s="107">
        <f t="shared" si="1"/>
        <v>0.61111111111111116</v>
      </c>
      <c r="DB21" s="107">
        <f t="shared" si="2"/>
        <v>5.5555555555555552E-2</v>
      </c>
      <c r="DC21" s="107">
        <f t="shared" si="3"/>
        <v>1.2857142857142858</v>
      </c>
      <c r="DD21" s="107">
        <f t="shared" si="4"/>
        <v>2.8571428571428571E-2</v>
      </c>
      <c r="DE21" s="131"/>
      <c r="DG21" s="111"/>
      <c r="DH21" s="112"/>
      <c r="DI21" s="116"/>
      <c r="DJ21" s="116"/>
      <c r="DK21" s="116"/>
      <c r="DL21" s="116"/>
      <c r="DM21" s="111"/>
      <c r="DN21" s="111"/>
      <c r="DO21" s="112"/>
      <c r="DP21" s="113"/>
    </row>
    <row r="22" spans="1:120" ht="26.25">
      <c r="C22" s="38"/>
      <c r="D22" s="247"/>
      <c r="E22" s="247"/>
      <c r="F22" s="251"/>
      <c r="G22" s="251"/>
      <c r="R22" s="56" t="s">
        <v>66</v>
      </c>
      <c r="S22" s="249">
        <v>0.5</v>
      </c>
      <c r="T22" s="249"/>
      <c r="U22" s="154">
        <v>2.2999999999999998</v>
      </c>
      <c r="V22" s="82" t="s">
        <v>71</v>
      </c>
      <c r="W22" s="82"/>
      <c r="AA22" s="170"/>
      <c r="AB22" s="173"/>
      <c r="AC22" s="252"/>
      <c r="AD22" s="252"/>
      <c r="AE22" s="176"/>
      <c r="AF22" s="177"/>
      <c r="CT22" s="121" t="s">
        <v>15</v>
      </c>
      <c r="CU22" s="128">
        <f>IF(Q15&lt;=CW22,CZ22*Q15,IF(Q15&lt;=CX22,DB22*Q15+DA22,IF(Q15&lt;=CY22,DD22*Q15+DC22,3)))</f>
        <v>1.2380952380952381</v>
      </c>
      <c r="CV22" s="121">
        <v>0</v>
      </c>
      <c r="CW22" s="129">
        <v>0.8</v>
      </c>
      <c r="CX22" s="129">
        <v>5</v>
      </c>
      <c r="CY22" s="123">
        <v>20</v>
      </c>
      <c r="CZ22" s="107">
        <f t="shared" si="0"/>
        <v>1.2499999999999998</v>
      </c>
      <c r="DA22" s="107">
        <f t="shared" si="1"/>
        <v>0.80952380952380953</v>
      </c>
      <c r="DB22" s="107">
        <f t="shared" si="2"/>
        <v>0.23809523809523808</v>
      </c>
      <c r="DC22" s="107">
        <f t="shared" si="3"/>
        <v>1.6666666666666665</v>
      </c>
      <c r="DD22" s="107">
        <f t="shared" si="4"/>
        <v>6.6666666666666666E-2</v>
      </c>
      <c r="DE22" s="131"/>
      <c r="DG22" s="111"/>
      <c r="DH22" s="112"/>
      <c r="DI22" s="116"/>
      <c r="DJ22" s="116"/>
      <c r="DK22" s="116"/>
      <c r="DL22" s="116"/>
      <c r="DM22" s="111"/>
      <c r="DN22" s="111"/>
      <c r="DO22" s="112"/>
      <c r="DP22" s="113"/>
    </row>
    <row r="23" spans="1:120" ht="26.25">
      <c r="C23" s="38"/>
      <c r="D23" s="247"/>
      <c r="E23" s="247"/>
      <c r="F23" s="251"/>
      <c r="G23" s="251"/>
      <c r="R23" s="56" t="s">
        <v>67</v>
      </c>
      <c r="S23" s="249">
        <v>0.17</v>
      </c>
      <c r="T23" s="249"/>
      <c r="U23" s="154">
        <v>0.8</v>
      </c>
      <c r="V23" s="82" t="s">
        <v>72</v>
      </c>
      <c r="W23" s="82"/>
      <c r="CT23" s="121" t="s">
        <v>12</v>
      </c>
      <c r="CU23" s="128">
        <f>IF(P15&lt;=CW23,CZ23*P15,IF(P15&lt;=CX23,DB23*P15+DA23,IF(P15&lt;=CY23,DD23*P15+DC23,3)))</f>
        <v>1.04</v>
      </c>
      <c r="CV23" s="121">
        <v>0</v>
      </c>
      <c r="CW23" s="129">
        <v>0.5</v>
      </c>
      <c r="CX23" s="129">
        <v>1</v>
      </c>
      <c r="CY23" s="123">
        <v>2</v>
      </c>
      <c r="CZ23" s="107">
        <f t="shared" si="0"/>
        <v>2</v>
      </c>
      <c r="DA23" s="107">
        <f t="shared" si="1"/>
        <v>0</v>
      </c>
      <c r="DB23" s="107">
        <f t="shared" si="2"/>
        <v>2</v>
      </c>
      <c r="DC23" s="107">
        <f t="shared" si="3"/>
        <v>1</v>
      </c>
      <c r="DD23" s="107">
        <f t="shared" si="4"/>
        <v>1</v>
      </c>
      <c r="DE23" s="132"/>
      <c r="DG23" s="111"/>
      <c r="DH23" s="112"/>
      <c r="DI23" s="116"/>
      <c r="DJ23" s="116"/>
      <c r="DK23" s="116"/>
      <c r="DL23" s="116"/>
      <c r="DM23" s="111"/>
      <c r="DN23" s="111"/>
      <c r="DO23" s="112"/>
      <c r="DP23" s="113"/>
    </row>
    <row r="24" spans="1:120" ht="26.25">
      <c r="C24" s="38"/>
      <c r="D24" s="247"/>
      <c r="E24" s="247"/>
      <c r="F24" s="248"/>
      <c r="G24" s="248"/>
      <c r="R24" s="56" t="str">
        <f>IF(ISNUMBER(V15),"Hydrogen","  ")</f>
        <v xml:space="preserve">  </v>
      </c>
      <c r="S24" s="249"/>
      <c r="T24" s="249"/>
      <c r="U24" s="154"/>
      <c r="W24" s="82"/>
      <c r="CT24" s="121" t="s">
        <v>58</v>
      </c>
      <c r="CU24" s="128">
        <f>IF(O15&lt;=CW24,CZ24*O15,IF(O15&lt;=CX24,DB24*O15+DA24,IF(O15&lt;=CY24,DD24*O15+DC24,3)))</f>
        <v>1.24</v>
      </c>
      <c r="CV24" s="121">
        <v>0</v>
      </c>
      <c r="CW24" s="129">
        <v>5</v>
      </c>
      <c r="CX24" s="129">
        <v>30</v>
      </c>
      <c r="CY24" s="123">
        <v>50</v>
      </c>
      <c r="CZ24" s="107">
        <f t="shared" si="0"/>
        <v>0.2</v>
      </c>
      <c r="DA24" s="107">
        <f t="shared" si="1"/>
        <v>0.79999999999999993</v>
      </c>
      <c r="DB24" s="107">
        <f t="shared" si="2"/>
        <v>0.04</v>
      </c>
      <c r="DC24" s="107">
        <f t="shared" si="3"/>
        <v>0.5</v>
      </c>
      <c r="DD24" s="107">
        <f t="shared" si="4"/>
        <v>0.05</v>
      </c>
      <c r="DE24" s="132"/>
      <c r="DG24" s="111"/>
      <c r="DH24" s="112"/>
      <c r="DI24" s="116"/>
      <c r="DJ24" s="116"/>
      <c r="DK24" s="116"/>
      <c r="DL24" s="116"/>
      <c r="DM24" s="111"/>
      <c r="DN24" s="111"/>
      <c r="DO24" s="112"/>
      <c r="DP24" s="113"/>
    </row>
    <row r="25" spans="1:120" ht="26.25">
      <c r="O25" s="53"/>
      <c r="P25" s="40"/>
      <c r="Q25" s="41"/>
      <c r="R25" s="41"/>
      <c r="S25" s="56"/>
      <c r="T25" s="41"/>
      <c r="V25" s="58"/>
      <c r="W25" s="58"/>
      <c r="X25" s="16"/>
      <c r="CT25" s="121" t="s">
        <v>11</v>
      </c>
      <c r="CU25" s="128">
        <f>IF(K15&lt;=CW25,CZ25*K15,IF(K15&lt;=CX25,DB25*K15+DA25,IF(K15&lt;=CY25,DD25*K15+DC25,3)))</f>
        <v>1.3733333333333335</v>
      </c>
      <c r="CV25" s="121">
        <v>0</v>
      </c>
      <c r="CW25" s="129">
        <v>150</v>
      </c>
      <c r="CX25" s="129">
        <v>300</v>
      </c>
      <c r="CY25" s="123">
        <v>800</v>
      </c>
      <c r="CZ25" s="107">
        <f t="shared" si="0"/>
        <v>6.6666666666666671E-3</v>
      </c>
      <c r="DA25" s="107">
        <f t="shared" si="1"/>
        <v>0</v>
      </c>
      <c r="DB25" s="107">
        <f t="shared" si="2"/>
        <v>6.6666666666666671E-3</v>
      </c>
      <c r="DC25" s="107">
        <f t="shared" si="3"/>
        <v>1.4</v>
      </c>
      <c r="DD25" s="107">
        <f t="shared" si="4"/>
        <v>2E-3</v>
      </c>
      <c r="DE25" s="132"/>
      <c r="DG25" s="111"/>
      <c r="DH25" s="112"/>
      <c r="DI25" s="116"/>
      <c r="DJ25" s="116"/>
      <c r="DK25" s="116"/>
      <c r="DL25" s="116"/>
      <c r="DM25" s="111"/>
      <c r="DN25" s="111"/>
      <c r="DO25" s="112"/>
      <c r="DP25" s="113"/>
    </row>
    <row r="26" spans="1:120" ht="20.25">
      <c r="O26" s="53"/>
      <c r="P26" s="40"/>
      <c r="Q26" s="41"/>
      <c r="R26" s="41"/>
      <c r="S26" s="39"/>
      <c r="T26" s="41"/>
      <c r="V26" s="39"/>
      <c r="W26" s="39"/>
      <c r="X26" s="16"/>
      <c r="CT26" s="121" t="s">
        <v>10</v>
      </c>
      <c r="CU26" s="128">
        <f>IF(CU30&lt;=CW26,CZ26*CU30,IF(CU30&lt;=CX26,DB26*CU30+DA26,IF(CU30&lt;=CY26,DD26*CU30+DC26,3)))</f>
        <v>1.2749999999999999</v>
      </c>
      <c r="CV26" s="121">
        <v>0</v>
      </c>
      <c r="CW26" s="129">
        <v>10</v>
      </c>
      <c r="CX26" s="129">
        <v>50</v>
      </c>
      <c r="CY26" s="123">
        <v>100</v>
      </c>
      <c r="CZ26" s="107">
        <f t="shared" si="0"/>
        <v>0.1</v>
      </c>
      <c r="DA26" s="107">
        <f t="shared" si="1"/>
        <v>0.75</v>
      </c>
      <c r="DB26" s="107">
        <f t="shared" si="2"/>
        <v>2.5000000000000001E-2</v>
      </c>
      <c r="DC26" s="107">
        <f t="shared" si="3"/>
        <v>1</v>
      </c>
      <c r="DD26" s="107">
        <f t="shared" si="4"/>
        <v>0.02</v>
      </c>
      <c r="DE26" s="133"/>
      <c r="DG26" s="111"/>
      <c r="DH26" s="112"/>
      <c r="DI26" s="116"/>
      <c r="DJ26" s="116"/>
      <c r="DK26" s="116"/>
      <c r="DL26" s="116"/>
      <c r="DM26" s="111"/>
      <c r="DN26" s="111"/>
      <c r="DO26" s="112"/>
      <c r="DP26" s="113"/>
    </row>
    <row r="27" spans="1:120" ht="18">
      <c r="M27" s="17"/>
      <c r="N27" s="14"/>
      <c r="O27" s="54"/>
      <c r="T27" s="14"/>
      <c r="U27" s="14"/>
      <c r="V27" s="14"/>
      <c r="W27" s="14"/>
      <c r="X27" s="15"/>
      <c r="CT27" s="121" t="s">
        <v>42</v>
      </c>
      <c r="CU27" s="128">
        <f>IF(G15&lt;=CW27,CZ27*G15,IF(G15&lt;=CX27,DB27*G15+DA27,IF(G15&lt;=CY27,DD27*G15+DC27,3)))</f>
        <v>1.0861538461538462</v>
      </c>
      <c r="CV27" s="121">
        <v>0</v>
      </c>
      <c r="CW27" s="129">
        <v>10</v>
      </c>
      <c r="CX27" s="129">
        <v>75</v>
      </c>
      <c r="CY27" s="123">
        <v>300</v>
      </c>
      <c r="CZ27" s="107">
        <f t="shared" si="0"/>
        <v>0.1</v>
      </c>
      <c r="DA27" s="107">
        <f t="shared" si="1"/>
        <v>0.84615384615384615</v>
      </c>
      <c r="DB27" s="107">
        <f t="shared" si="2"/>
        <v>1.5384615384615385E-2</v>
      </c>
      <c r="DC27" s="107">
        <f t="shared" si="3"/>
        <v>1.6666666666666665</v>
      </c>
      <c r="DD27" s="107">
        <f t="shared" si="4"/>
        <v>4.4444444444444444E-3</v>
      </c>
      <c r="DE27" s="133"/>
      <c r="DG27" s="111"/>
      <c r="DH27" s="112"/>
      <c r="DI27" s="117"/>
      <c r="DJ27" s="117"/>
      <c r="DK27" s="117"/>
      <c r="DL27" s="117"/>
      <c r="DM27" s="111"/>
      <c r="DN27" s="111"/>
      <c r="DO27" s="112"/>
      <c r="DP27" s="114"/>
    </row>
    <row r="28" spans="1:120" ht="18">
      <c r="CT28" s="121" t="s">
        <v>41</v>
      </c>
      <c r="CU28" s="128">
        <f>IF(E15&lt;=CW28,CZ28*E15,IF(E15&lt;=CX28,DB28*E15+DA28,IF(E15&lt;=CY28,DD28*E15+DC28,3)))</f>
        <v>1.0738461538461539</v>
      </c>
      <c r="CV28" s="121">
        <v>0</v>
      </c>
      <c r="CW28" s="129">
        <v>10</v>
      </c>
      <c r="CX28" s="129">
        <v>75</v>
      </c>
      <c r="CY28" s="123">
        <v>300</v>
      </c>
      <c r="CZ28" s="107">
        <f t="shared" si="0"/>
        <v>0.1</v>
      </c>
      <c r="DA28" s="107">
        <f t="shared" si="1"/>
        <v>0.84615384615384615</v>
      </c>
      <c r="DB28" s="107">
        <f t="shared" si="2"/>
        <v>1.5384615384615385E-2</v>
      </c>
      <c r="DC28" s="107">
        <f t="shared" si="3"/>
        <v>1.6666666666666665</v>
      </c>
      <c r="DD28" s="107">
        <f t="shared" si="4"/>
        <v>4.4444444444444444E-3</v>
      </c>
      <c r="DE28" s="133"/>
      <c r="DG28" s="111"/>
      <c r="DH28" s="112"/>
      <c r="DI28" s="117"/>
      <c r="DJ28" s="117"/>
      <c r="DK28" s="117"/>
      <c r="DL28" s="117"/>
      <c r="DM28" s="111"/>
      <c r="DN28" s="111"/>
      <c r="DO28" s="112"/>
      <c r="DP28" s="114"/>
    </row>
    <row r="29" spans="1:120" ht="18">
      <c r="CT29" s="121" t="s">
        <v>53</v>
      </c>
      <c r="CU29" s="134">
        <f>S19</f>
        <v>22</v>
      </c>
      <c r="CV29" s="121"/>
      <c r="CW29" s="129"/>
      <c r="CX29" s="129"/>
      <c r="CY29" s="123"/>
      <c r="CZ29" s="107"/>
      <c r="DA29" s="107"/>
      <c r="DB29" s="107"/>
      <c r="DC29" s="107"/>
      <c r="DD29" s="107"/>
      <c r="DE29" s="133"/>
      <c r="DG29" s="111"/>
      <c r="DH29" s="112"/>
      <c r="DI29" s="117"/>
      <c r="DJ29" s="117"/>
      <c r="DK29" s="117"/>
      <c r="DL29" s="117"/>
      <c r="DM29" s="111"/>
      <c r="DN29" s="111"/>
      <c r="DO29" s="112"/>
      <c r="DP29" s="114"/>
    </row>
    <row r="30" spans="1:120" ht="18">
      <c r="CT30" s="121" t="s">
        <v>62</v>
      </c>
      <c r="CU30" s="104">
        <f>IF(I15&gt;0,I15,J15)</f>
        <v>21</v>
      </c>
      <c r="DB30" s="135"/>
      <c r="DC30" s="135"/>
      <c r="DD30" s="135"/>
      <c r="DE30" s="135"/>
    </row>
    <row r="33" spans="98:112" ht="20.25">
      <c r="CT33" s="136"/>
      <c r="CU33" s="137"/>
      <c r="CV33" s="136"/>
      <c r="CW33" s="136" t="s">
        <v>59</v>
      </c>
      <c r="CX33" s="136" t="s">
        <v>60</v>
      </c>
      <c r="CY33" s="138"/>
      <c r="CZ33" s="138"/>
      <c r="DA33" s="138"/>
      <c r="DB33" s="138"/>
      <c r="DC33" s="138"/>
      <c r="DD33" s="138"/>
    </row>
    <row r="34" spans="98:112" ht="20.25">
      <c r="CT34" s="136"/>
      <c r="CU34" s="137"/>
      <c r="CV34" s="139">
        <v>0</v>
      </c>
      <c r="CW34" s="139">
        <v>1</v>
      </c>
      <c r="CX34" s="139">
        <v>2</v>
      </c>
      <c r="CY34" s="139">
        <v>3</v>
      </c>
      <c r="CZ34" s="140" t="s">
        <v>56</v>
      </c>
      <c r="DA34" s="140" t="s">
        <v>57</v>
      </c>
      <c r="DB34" s="140" t="s">
        <v>56</v>
      </c>
      <c r="DC34" s="140" t="s">
        <v>57</v>
      </c>
      <c r="DD34" s="140" t="s">
        <v>56</v>
      </c>
    </row>
    <row r="35" spans="98:112" ht="20.25">
      <c r="CT35" s="137" t="s">
        <v>61</v>
      </c>
      <c r="CU35" s="141">
        <f>IF(C35&lt;=CW35,CZ35*C35,IF(C35&lt;=CX35,DB35*C35+DA35,IF(C35&lt;=CY35,DD35*C35+DC35,3)))</f>
        <v>0</v>
      </c>
      <c r="CV35" s="139">
        <v>0</v>
      </c>
      <c r="CW35" s="139">
        <v>4.5</v>
      </c>
      <c r="CX35" s="139">
        <v>5</v>
      </c>
      <c r="CY35" s="140">
        <v>6</v>
      </c>
      <c r="CZ35" s="142">
        <f>SLOPE($CY$19:$CZ$19,CV35:CW35)</f>
        <v>-22.185185185185187</v>
      </c>
      <c r="DA35" s="142">
        <f>INTERCEPT($CZ$19:$DA$19,CW35:CX35)</f>
        <v>-5.083333333333333</v>
      </c>
      <c r="DB35" s="142">
        <f>SLOPE($CZ$19:$DA$19,CW35:CX35)</f>
        <v>1.1666666666666665</v>
      </c>
      <c r="DC35" s="142">
        <f>INTERCEPT($DA$19:$DB$19,CX35:CY35)</f>
        <v>4.2916666666666661</v>
      </c>
      <c r="DD35" s="142">
        <f>SLOPE($DA$19:$DB$19,CX35:CY35)</f>
        <v>-0.70833333333333326</v>
      </c>
    </row>
    <row r="36" spans="98:112" ht="20.25">
      <c r="CT36" s="137" t="s">
        <v>10</v>
      </c>
      <c r="CU36" s="141">
        <f>IF(D35&lt;=CW36,CZ36*D35,IF(D35&lt;=CX36,DB36*D35+DA36,IF(D35&lt;=CY36,DD36*D35+DC36,3)))</f>
        <v>0</v>
      </c>
      <c r="CV36" s="139">
        <v>0</v>
      </c>
      <c r="CW36" s="139">
        <v>0.26</v>
      </c>
      <c r="CX36" s="139">
        <v>0.7</v>
      </c>
      <c r="CY36" s="140">
        <v>1</v>
      </c>
      <c r="CZ36" s="142">
        <f>SLOPE($CY$19:$CZ$19,CV36:CW36)</f>
        <v>-383.97435897435901</v>
      </c>
      <c r="DA36" s="142">
        <f t="shared" ref="DA36:DA45" si="5">INTERCEPT($CZ$19:$DA$19,CW36:CX36)</f>
        <v>-0.17803030303030304</v>
      </c>
      <c r="DB36" s="142">
        <f t="shared" ref="DB36:DB45" si="6">SLOPE($CZ$19:$DA$19,CW36:CX36)</f>
        <v>1.3257575757575757</v>
      </c>
      <c r="DC36" s="142">
        <f t="shared" ref="DC36:DC45" si="7">INTERCEPT($DA$19:$DB$19,CX36:CY36)</f>
        <v>2.4027777777777777</v>
      </c>
      <c r="DD36" s="142">
        <f t="shared" ref="DD36:DD45" si="8">SLOPE($DA$19:$DB$19,CX36:CY36)</f>
        <v>-2.3611111111111107</v>
      </c>
    </row>
    <row r="37" spans="98:112" ht="20.25">
      <c r="CT37" s="137" t="s">
        <v>11</v>
      </c>
      <c r="CU37" s="141">
        <f>IF(E35&lt;=CW37,CZ37*E35,IF(E35&lt;=CX37,DB37*E35+DA37,IF(E35&lt;=CY37,DD37*E35+DC37,3)))</f>
        <v>0</v>
      </c>
      <c r="CV37" s="139">
        <v>0</v>
      </c>
      <c r="CW37" s="139">
        <v>2</v>
      </c>
      <c r="CX37" s="139">
        <v>3.5</v>
      </c>
      <c r="CY37" s="140">
        <v>10</v>
      </c>
      <c r="CZ37" s="142">
        <f t="shared" ref="CZ37:CZ45" si="9">SLOPE($CY$19:$CZ$19,CV37:CW37)</f>
        <v>-49.916666666666671</v>
      </c>
      <c r="DA37" s="142">
        <f t="shared" si="5"/>
        <v>-0.61111111111111116</v>
      </c>
      <c r="DB37" s="142">
        <f t="shared" si="6"/>
        <v>0.3888888888888889</v>
      </c>
      <c r="DC37" s="142">
        <f t="shared" si="7"/>
        <v>1.1314102564102564</v>
      </c>
      <c r="DD37" s="142">
        <f t="shared" si="8"/>
        <v>-0.10897435897435896</v>
      </c>
    </row>
    <row r="38" spans="98:112" ht="20.25">
      <c r="CT38" s="137" t="s">
        <v>58</v>
      </c>
      <c r="CU38" s="141">
        <f>IF(F35&lt;=CW38,CZ38*F35,IF(F35&lt;=CX38,DB38*F35+DA38,IF(F35&lt;=CY38,DD38*F35+DC38,3)))</f>
        <v>0</v>
      </c>
      <c r="CV38" s="139">
        <v>0</v>
      </c>
      <c r="CW38" s="139">
        <v>0.26</v>
      </c>
      <c r="CX38" s="139">
        <v>0.5</v>
      </c>
      <c r="CY38" s="140">
        <v>1</v>
      </c>
      <c r="CZ38" s="142">
        <f t="shared" si="9"/>
        <v>-383.97435897435901</v>
      </c>
      <c r="DA38" s="142">
        <f t="shared" si="5"/>
        <v>-0.46527777777777785</v>
      </c>
      <c r="DB38" s="142">
        <f t="shared" si="6"/>
        <v>2.4305555555555558</v>
      </c>
      <c r="DC38" s="142">
        <f t="shared" si="7"/>
        <v>1.4583333333333333</v>
      </c>
      <c r="DD38" s="142">
        <f t="shared" si="8"/>
        <v>-1.4166666666666665</v>
      </c>
    </row>
    <row r="39" spans="98:112" ht="20.25">
      <c r="CT39" s="137" t="s">
        <v>19</v>
      </c>
      <c r="CU39" s="141">
        <f>IF(G35&lt;=CW39,CZ39*G35,IF(G35&lt;=CX39,DB39*G35+DA39,IF(G35&lt;=CY39,DD39*G35+DC39,3)))</f>
        <v>0</v>
      </c>
      <c r="CV39" s="139">
        <v>0</v>
      </c>
      <c r="CW39" s="139">
        <v>1.8</v>
      </c>
      <c r="CX39" s="139">
        <v>3</v>
      </c>
      <c r="CY39" s="140">
        <v>1.5</v>
      </c>
      <c r="CZ39" s="142">
        <f t="shared" si="9"/>
        <v>-55.462962962962955</v>
      </c>
      <c r="DA39" s="142">
        <f t="shared" si="5"/>
        <v>-0.70833333333333326</v>
      </c>
      <c r="DB39" s="142">
        <f t="shared" si="6"/>
        <v>0.4861111111111111</v>
      </c>
      <c r="DC39" s="142">
        <f t="shared" si="7"/>
        <v>-0.66666666666666674</v>
      </c>
      <c r="DD39" s="142">
        <f t="shared" si="8"/>
        <v>0.47222222222222221</v>
      </c>
    </row>
    <row r="40" spans="98:112" ht="20.25">
      <c r="CT40" s="137" t="s">
        <v>20</v>
      </c>
      <c r="CU40" s="141">
        <f>IF(H35&lt;=CW40,CZ40*H35,IF(H35&lt;=CX40,DB40*H35+DA40,IF(H35&lt;=CY40,DD40*H35+DC40,3)))</f>
        <v>0</v>
      </c>
      <c r="CV40" s="139">
        <v>0</v>
      </c>
      <c r="CW40" s="139">
        <v>0.3</v>
      </c>
      <c r="CX40" s="139">
        <v>1</v>
      </c>
      <c r="CY40" s="140">
        <v>5</v>
      </c>
      <c r="CZ40" s="142">
        <f t="shared" si="9"/>
        <v>-332.77777777777777</v>
      </c>
      <c r="DA40" s="142">
        <f t="shared" si="5"/>
        <v>-8.3333333333333426E-2</v>
      </c>
      <c r="DB40" s="142">
        <f t="shared" si="6"/>
        <v>0.83333333333333337</v>
      </c>
      <c r="DC40" s="142">
        <f t="shared" si="7"/>
        <v>0.92708333333333326</v>
      </c>
      <c r="DD40" s="142">
        <f t="shared" si="8"/>
        <v>-0.17708333333333331</v>
      </c>
    </row>
    <row r="41" spans="98:112" ht="20.25">
      <c r="CT41" s="137" t="s">
        <v>12</v>
      </c>
      <c r="CU41" s="141">
        <f>IF(I35&lt;=CW41,CZ41*I35,IF(I35&lt;=CX41,DB41*I35+DA41,IF(I35&lt;=CY41,DD41*I35+DC41,3)))</f>
        <v>0</v>
      </c>
      <c r="CV41" s="139">
        <v>0</v>
      </c>
      <c r="CW41" s="139">
        <v>30</v>
      </c>
      <c r="CX41" s="139">
        <v>80</v>
      </c>
      <c r="CY41" s="140">
        <v>100</v>
      </c>
      <c r="CZ41" s="142">
        <f t="shared" si="9"/>
        <v>-3.3277777777777779</v>
      </c>
      <c r="DA41" s="142">
        <f t="shared" si="5"/>
        <v>-0.18333333333333329</v>
      </c>
      <c r="DB41" s="142">
        <f t="shared" si="6"/>
        <v>1.1666666666666665E-2</v>
      </c>
      <c r="DC41" s="142">
        <f t="shared" si="7"/>
        <v>3.5833333333333335</v>
      </c>
      <c r="DD41" s="142">
        <f t="shared" si="8"/>
        <v>-3.5416666666666666E-2</v>
      </c>
    </row>
    <row r="42" spans="98:112" ht="20.25">
      <c r="CT42" s="137" t="s">
        <v>15</v>
      </c>
      <c r="CU42" s="141">
        <f>IF(J35&lt;=CW42,CZ42*J35,IF(J35&lt;=CX42,DB42*J35+DA42,IF(J35&lt;=CY42,DD42*J35+DC42,3)))</f>
        <v>0</v>
      </c>
      <c r="CV42" s="139">
        <v>0</v>
      </c>
      <c r="CW42" s="139">
        <v>21</v>
      </c>
      <c r="CX42" s="139">
        <v>70</v>
      </c>
      <c r="CY42" s="140">
        <v>200</v>
      </c>
      <c r="CZ42" s="142">
        <f t="shared" si="9"/>
        <v>-4.753968253968254</v>
      </c>
      <c r="DA42" s="142">
        <f t="shared" si="5"/>
        <v>-8.3333333333333315E-2</v>
      </c>
      <c r="DB42" s="142">
        <f t="shared" si="6"/>
        <v>1.1904761904761904E-2</v>
      </c>
      <c r="DC42" s="142">
        <f t="shared" si="7"/>
        <v>1.1314102564102564</v>
      </c>
      <c r="DD42" s="142">
        <f t="shared" si="8"/>
        <v>-5.4487179487179493E-3</v>
      </c>
    </row>
    <row r="43" spans="98:112" ht="20.25">
      <c r="CT43" s="137" t="s">
        <v>16</v>
      </c>
      <c r="CU43" s="141">
        <f>IF(R15&lt;=CW43,CZ43*R15,IF(R15&lt;=CX43,DB43*R15+DA43,IF(R15&lt;=CY43,DD43*R15+DC43,3)))</f>
        <v>-57.645698924731178</v>
      </c>
      <c r="CV43" s="139">
        <v>0</v>
      </c>
      <c r="CW43" s="139">
        <v>31</v>
      </c>
      <c r="CX43" s="139">
        <v>100</v>
      </c>
      <c r="CY43" s="140">
        <v>200</v>
      </c>
      <c r="CZ43" s="142">
        <f t="shared" si="9"/>
        <v>-3.2204301075268815</v>
      </c>
      <c r="DA43" s="142">
        <f t="shared" si="5"/>
        <v>-9.5410628019323596E-2</v>
      </c>
      <c r="DB43" s="142">
        <f t="shared" si="6"/>
        <v>8.4541062801932361E-3</v>
      </c>
      <c r="DC43" s="142">
        <f t="shared" si="7"/>
        <v>1.4583333333333335</v>
      </c>
      <c r="DD43" s="142">
        <f t="shared" si="8"/>
        <v>-7.0833333333333347E-3</v>
      </c>
    </row>
    <row r="44" spans="98:112" ht="20.25">
      <c r="CT44" s="137" t="s">
        <v>17</v>
      </c>
      <c r="CU44" s="141">
        <f>IF(S15&lt;=CW44,CZ44*S15,IF(S15&lt;=CX44,DB44*S15+DA44,IF(S15&lt;=CY44,DD44*S15+DC44,3)))</f>
        <v>-24.245238095238093</v>
      </c>
      <c r="CV44" s="139">
        <v>0</v>
      </c>
      <c r="CW44" s="139">
        <v>7</v>
      </c>
      <c r="CX44" s="139">
        <v>30</v>
      </c>
      <c r="CY44" s="140">
        <v>50</v>
      </c>
      <c r="CZ44" s="142">
        <f t="shared" si="9"/>
        <v>-14.261904761904761</v>
      </c>
      <c r="DA44" s="142">
        <f t="shared" si="5"/>
        <v>-1.0869565217391297E-2</v>
      </c>
      <c r="DB44" s="142">
        <f t="shared" si="6"/>
        <v>2.5362318840579708E-2</v>
      </c>
      <c r="DC44" s="142">
        <f t="shared" si="7"/>
        <v>1.8124999999999998</v>
      </c>
      <c r="DD44" s="142">
        <f t="shared" si="8"/>
        <v>-3.5416666666666666E-2</v>
      </c>
    </row>
    <row r="45" spans="98:112" ht="20.25">
      <c r="CT45" s="137" t="s">
        <v>18</v>
      </c>
      <c r="CU45" s="141">
        <f>IF(T15&lt;=CW45,CZ45*T15,IF(T15&lt;=CX45,DB45*T15+DA45,IF(T15&lt;=CY45,DD45*T15+DC45,3)))</f>
        <v>-89.850000000000009</v>
      </c>
      <c r="CV45" s="139">
        <v>0</v>
      </c>
      <c r="CW45" s="139">
        <v>30</v>
      </c>
      <c r="CX45" s="139">
        <v>250</v>
      </c>
      <c r="CY45" s="140">
        <v>1000</v>
      </c>
      <c r="CZ45" s="142">
        <f t="shared" si="9"/>
        <v>-3.3277777777777779</v>
      </c>
      <c r="DA45" s="142">
        <f t="shared" si="5"/>
        <v>8.7121212121212155E-2</v>
      </c>
      <c r="DB45" s="142">
        <f t="shared" si="6"/>
        <v>2.6515151515151512E-3</v>
      </c>
      <c r="DC45" s="142">
        <f t="shared" si="7"/>
        <v>0.98611111111111116</v>
      </c>
      <c r="DD45" s="142">
        <f t="shared" si="8"/>
        <v>-9.4444444444444448E-4</v>
      </c>
    </row>
    <row r="48" spans="98:112" ht="18.75">
      <c r="CT48" s="143" t="s">
        <v>73</v>
      </c>
      <c r="CZ48" s="144" t="s">
        <v>74</v>
      </c>
      <c r="DA48" s="138"/>
      <c r="DD48" s="121"/>
      <c r="DE48" s="121">
        <v>0</v>
      </c>
      <c r="DF48" s="122">
        <v>0.33</v>
      </c>
      <c r="DG48" s="123">
        <v>0.74</v>
      </c>
      <c r="DH48" s="123">
        <v>1</v>
      </c>
    </row>
    <row r="49" spans="1:117" ht="20.25">
      <c r="CT49" s="144" t="s">
        <v>52</v>
      </c>
      <c r="CW49" s="104">
        <f>DD49</f>
        <v>0.34640000000000004</v>
      </c>
      <c r="CX49" s="104">
        <f>DD49</f>
        <v>0.34640000000000004</v>
      </c>
      <c r="CZ49" s="104">
        <v>180</v>
      </c>
      <c r="DA49" s="138"/>
      <c r="DB49" s="137"/>
      <c r="DC49" s="121" t="s">
        <v>108</v>
      </c>
      <c r="DD49" s="128">
        <f>IF(W15&lt;=DF49,DI49*W15,IF(W15&lt;=DG49,DK49*W15+DJ49,IF(W15&lt;=DH49,DM49*W15+DL49,0.9)))</f>
        <v>0.34640000000000004</v>
      </c>
      <c r="DE49" s="121">
        <v>0</v>
      </c>
      <c r="DF49" s="129">
        <v>0.3</v>
      </c>
      <c r="DG49" s="129">
        <v>0.8</v>
      </c>
      <c r="DH49" s="123">
        <v>2</v>
      </c>
      <c r="DI49" s="107">
        <f>SLOPE($DE$48:$DF$48,DE49:DF49)</f>
        <v>1.1000000000000001</v>
      </c>
      <c r="DJ49" s="107">
        <f>INTERCEPT($DF$48:$DG$48,DF49:DG49)</f>
        <v>8.4000000000000075E-2</v>
      </c>
      <c r="DK49" s="107">
        <f>SLOPE($DF$48:$DG$48,DF49:DG49)</f>
        <v>0.81999999999999984</v>
      </c>
      <c r="DL49" s="107">
        <f>INTERCEPT($DG$48:$DH$48,DG49:DH49)</f>
        <v>0.56666666666666665</v>
      </c>
      <c r="DM49" s="107">
        <f>SLOPE($DG$48:$DH$48,DG49:DH49)</f>
        <v>0.21666666666666667</v>
      </c>
    </row>
    <row r="50" spans="1:117" ht="18.75">
      <c r="CT50" s="144" t="s">
        <v>75</v>
      </c>
      <c r="CV50" s="144" t="s">
        <v>76</v>
      </c>
      <c r="CW50" s="144" t="s">
        <v>77</v>
      </c>
      <c r="CX50" s="144" t="s">
        <v>78</v>
      </c>
      <c r="CZ50" s="104">
        <v>60</v>
      </c>
      <c r="DA50" s="138"/>
      <c r="DB50" s="121"/>
      <c r="DC50" s="105"/>
      <c r="DD50" s="121"/>
      <c r="DE50" s="127"/>
      <c r="DF50" s="107"/>
      <c r="DG50" s="107"/>
      <c r="DH50" s="107"/>
      <c r="DI50" s="107"/>
      <c r="DJ50" s="107"/>
      <c r="DK50" s="107"/>
      <c r="DL50" s="107"/>
    </row>
    <row r="51" spans="1:117">
      <c r="CT51" s="145">
        <v>0</v>
      </c>
      <c r="CU51" s="145">
        <v>0</v>
      </c>
      <c r="CV51" s="145">
        <v>1</v>
      </c>
      <c r="CW51" s="145">
        <v>0</v>
      </c>
      <c r="CX51" s="145">
        <f>CV51/2</f>
        <v>0.5</v>
      </c>
      <c r="DA51" s="138"/>
    </row>
    <row r="52" spans="1:117" ht="16.5">
      <c r="CT52" s="146">
        <f>SIN(((((CX49+CV51)*180/CV51)+90))*PI()/180)</f>
        <v>-0.46403829662794838</v>
      </c>
      <c r="CU52" s="146">
        <f>COS(((((CX49+CV51)*180/CV51)+90))*PI()/180)</f>
        <v>0.88581513831195735</v>
      </c>
      <c r="CV52" s="145"/>
      <c r="CW52" s="145"/>
      <c r="CX52" s="145"/>
      <c r="CZ52" s="104">
        <v>60</v>
      </c>
      <c r="DA52" s="138"/>
    </row>
    <row r="53" spans="1:117">
      <c r="CT53" s="145">
        <v>0</v>
      </c>
      <c r="CU53" s="145">
        <v>0</v>
      </c>
      <c r="CV53" s="145"/>
      <c r="CW53" s="145"/>
      <c r="CX53" s="145"/>
      <c r="CZ53" s="104">
        <f>180-CZ50-CZ51-CZ52</f>
        <v>60</v>
      </c>
      <c r="DA53" s="138"/>
    </row>
    <row r="55" spans="1:117">
      <c r="CT55" s="147" t="s">
        <v>73</v>
      </c>
      <c r="CU55" s="118"/>
      <c r="CV55" s="118"/>
      <c r="CW55" s="118"/>
      <c r="CX55" s="118"/>
    </row>
    <row r="56" spans="1:117">
      <c r="CT56" s="118" t="s">
        <v>14</v>
      </c>
      <c r="CU56" s="118"/>
      <c r="CV56" s="118"/>
      <c r="CW56" s="118"/>
      <c r="CX56" s="118"/>
      <c r="CZ56" s="118" t="s">
        <v>74</v>
      </c>
    </row>
    <row r="57" spans="1:117">
      <c r="CT57" s="118" t="s">
        <v>75</v>
      </c>
      <c r="CU57" s="118"/>
      <c r="CV57" s="118" t="s">
        <v>76</v>
      </c>
      <c r="CW57" s="118" t="s">
        <v>77</v>
      </c>
      <c r="CX57" s="118" t="s">
        <v>78</v>
      </c>
      <c r="CZ57" s="118">
        <v>180</v>
      </c>
    </row>
    <row r="58" spans="1:117" ht="23.25" customHeight="1" thickBot="1">
      <c r="A58" s="250" t="s">
        <v>79</v>
      </c>
      <c r="B58" s="250"/>
      <c r="C58" s="250"/>
      <c r="D58" s="250"/>
      <c r="E58" s="250"/>
      <c r="F58" s="250"/>
      <c r="G58" s="250"/>
      <c r="H58" s="250"/>
      <c r="I58" s="250"/>
      <c r="J58" s="250"/>
      <c r="N58" s="250" t="s">
        <v>90</v>
      </c>
      <c r="O58" s="250"/>
      <c r="P58" s="250"/>
      <c r="Q58" s="250"/>
      <c r="R58" s="250"/>
      <c r="S58" s="250"/>
      <c r="T58" s="250"/>
      <c r="U58" s="250"/>
      <c r="V58" s="250"/>
      <c r="W58" s="250"/>
      <c r="X58" s="250"/>
      <c r="Y58" s="250"/>
      <c r="CT58" s="118">
        <v>0</v>
      </c>
      <c r="CU58" s="118">
        <v>0</v>
      </c>
      <c r="CV58" s="118">
        <f>IF(U15&gt;8,12.5,IF(U15&lt;5.5,16.5,14))</f>
        <v>14</v>
      </c>
      <c r="CW58" s="118">
        <v>0</v>
      </c>
      <c r="CX58" s="118">
        <f>CV58/2</f>
        <v>7</v>
      </c>
      <c r="CZ58" s="118">
        <f>50*1.3</f>
        <v>65</v>
      </c>
    </row>
    <row r="59" spans="1:117" ht="23.25" customHeight="1">
      <c r="A59" s="60" t="s">
        <v>80</v>
      </c>
      <c r="B59" s="60"/>
      <c r="C59" s="60"/>
      <c r="D59" s="62"/>
      <c r="F59" s="61" t="s">
        <v>28</v>
      </c>
      <c r="J59" s="4"/>
      <c r="N59" s="104"/>
      <c r="O59" s="39"/>
      <c r="P59" s="183" t="str">
        <f>IF(COUNTA(P60:P70) = 0,"","Depth 1")</f>
        <v/>
      </c>
      <c r="Q59" s="183" t="str">
        <f>IF(COUNTA(Q60:Q70) = 0,"","Depth 2")</f>
        <v/>
      </c>
      <c r="R59" s="183" t="str">
        <f>IF(COUNTA(R60:R70) = 0,"","Depth 3")</f>
        <v/>
      </c>
      <c r="S59" s="183" t="str">
        <f>IF(COUNTA(S60:S70) = 0,"","Depth 4")</f>
        <v/>
      </c>
      <c r="T59" s="183" t="str">
        <f>IF(COUNTA(T60:T70) = 0,"","Depth 5")</f>
        <v/>
      </c>
      <c r="U59" s="183" t="str">
        <f>IF(COUNTA(U60:U70) = 0,"","Depth 6")</f>
        <v/>
      </c>
      <c r="V59" s="183" t="str">
        <f>IF(COUNTA(V60:V70) = 0,"","Depth 7")</f>
        <v/>
      </c>
      <c r="W59" s="183" t="str">
        <f>IF(COUNTA(W60:W70) = 0,"","Depth 8")</f>
        <v/>
      </c>
      <c r="X59" s="183" t="str">
        <f>IF(COUNTA(X60:X70) = 0,"","Depth 9")</f>
        <v/>
      </c>
      <c r="Y59" s="183" t="str">
        <f>IF(COUNTA(Y60:Y70) = 0,"","Depth 10")</f>
        <v/>
      </c>
      <c r="CT59" s="119">
        <f>SIN(((((U15+CV58)*180/CV58)+90))*PI()/180)</f>
        <v>0.13423326581765524</v>
      </c>
      <c r="CU59" s="119">
        <f>COS(((((U15+CV58)*180/CV58)+90))*PI()/180)</f>
        <v>0.99094976176793481</v>
      </c>
      <c r="CV59" s="118"/>
      <c r="CW59" s="118"/>
      <c r="CX59" s="118"/>
      <c r="CZ59" s="118">
        <f>33*1.3</f>
        <v>42.9</v>
      </c>
    </row>
    <row r="60" spans="1:117" ht="23.25" customHeight="1">
      <c r="A60" s="60" t="s">
        <v>81</v>
      </c>
      <c r="B60" s="60"/>
      <c r="C60" s="60"/>
      <c r="D60" s="62"/>
      <c r="F60" s="61" t="s">
        <v>29</v>
      </c>
      <c r="J60" s="4"/>
      <c r="N60" s="184"/>
      <c r="O60" s="53"/>
      <c r="P60" s="180"/>
      <c r="Q60" s="181"/>
      <c r="R60" s="182"/>
      <c r="S60" s="180"/>
      <c r="T60" s="180"/>
      <c r="U60" s="180"/>
      <c r="V60" s="180"/>
      <c r="W60" s="180"/>
      <c r="X60" s="180"/>
      <c r="Y60" s="180"/>
      <c r="CT60" s="118">
        <v>0</v>
      </c>
      <c r="CU60" s="118">
        <v>0</v>
      </c>
      <c r="CV60" s="118"/>
      <c r="CW60" s="118"/>
      <c r="CX60" s="118"/>
      <c r="CZ60" s="118">
        <f>180-CZ58-CZ59</f>
        <v>72.099999999999994</v>
      </c>
    </row>
    <row r="61" spans="1:117" ht="23.25" customHeight="1">
      <c r="A61" s="60" t="s">
        <v>66</v>
      </c>
      <c r="B61" s="60"/>
      <c r="C61" s="60"/>
      <c r="D61" s="62"/>
      <c r="F61" s="61" t="s">
        <v>30</v>
      </c>
      <c r="J61" s="4"/>
      <c r="N61" s="184"/>
      <c r="O61" s="53"/>
      <c r="P61" s="180"/>
      <c r="Q61" s="181"/>
      <c r="R61" s="182"/>
      <c r="S61" s="180"/>
      <c r="T61" s="180"/>
      <c r="U61" s="180"/>
      <c r="V61" s="180"/>
      <c r="W61" s="180"/>
      <c r="X61" s="180"/>
      <c r="Y61" s="180"/>
    </row>
    <row r="62" spans="1:117" ht="23.25" customHeight="1">
      <c r="A62" s="60" t="s">
        <v>82</v>
      </c>
      <c r="B62" s="60"/>
      <c r="C62" s="60"/>
      <c r="D62" s="62"/>
      <c r="F62" s="61" t="s">
        <v>31</v>
      </c>
      <c r="J62" s="4"/>
      <c r="N62" s="184"/>
      <c r="O62" s="53"/>
      <c r="P62" s="180"/>
      <c r="Q62" s="181"/>
      <c r="R62" s="182"/>
      <c r="S62" s="180"/>
      <c r="T62" s="180"/>
      <c r="U62" s="180"/>
      <c r="V62" s="180"/>
      <c r="W62" s="180"/>
      <c r="X62" s="180"/>
      <c r="Y62" s="180"/>
    </row>
    <row r="63" spans="1:117" ht="23.25" customHeight="1">
      <c r="A63" s="60" t="s">
        <v>83</v>
      </c>
      <c r="B63" s="60"/>
      <c r="C63" s="60"/>
      <c r="D63" s="62"/>
      <c r="F63" s="61" t="s">
        <v>32</v>
      </c>
      <c r="J63" s="4"/>
      <c r="N63" s="184"/>
      <c r="O63" s="53"/>
      <c r="P63" s="180"/>
      <c r="Q63" s="181"/>
      <c r="R63" s="182"/>
      <c r="S63" s="180"/>
      <c r="T63" s="180"/>
      <c r="U63" s="180"/>
      <c r="V63" s="180"/>
      <c r="W63" s="180"/>
      <c r="X63" s="180"/>
      <c r="Y63" s="180"/>
    </row>
    <row r="64" spans="1:117" ht="23.25" customHeight="1">
      <c r="A64" s="60" t="s">
        <v>84</v>
      </c>
      <c r="B64" s="60"/>
      <c r="C64" s="60"/>
      <c r="D64" s="62"/>
      <c r="F64" s="61" t="s">
        <v>33</v>
      </c>
      <c r="J64" s="4"/>
      <c r="N64" s="184"/>
      <c r="O64" s="53"/>
      <c r="P64" s="180"/>
      <c r="Q64" s="181"/>
      <c r="R64" s="182"/>
      <c r="S64" s="180"/>
      <c r="T64" s="180"/>
      <c r="U64" s="180"/>
      <c r="V64" s="180"/>
      <c r="W64" s="180"/>
      <c r="X64" s="180"/>
      <c r="Y64" s="180"/>
    </row>
    <row r="65" spans="1:25" ht="23.25" customHeight="1">
      <c r="A65" s="60" t="s">
        <v>85</v>
      </c>
      <c r="B65" s="60"/>
      <c r="C65" s="60"/>
      <c r="D65" s="62"/>
      <c r="F65" s="61" t="s">
        <v>34</v>
      </c>
      <c r="J65" s="4"/>
      <c r="N65" s="184"/>
      <c r="O65" s="53"/>
      <c r="P65" s="180"/>
      <c r="Q65" s="181"/>
      <c r="R65" s="182"/>
      <c r="S65" s="180"/>
      <c r="T65" s="180"/>
      <c r="U65" s="180"/>
      <c r="V65" s="180"/>
      <c r="W65" s="180"/>
      <c r="X65" s="180"/>
      <c r="Y65" s="180"/>
    </row>
    <row r="66" spans="1:25" ht="23.25" customHeight="1">
      <c r="A66" s="60" t="s">
        <v>86</v>
      </c>
      <c r="B66" s="60"/>
      <c r="C66" s="60"/>
      <c r="D66" s="62"/>
      <c r="F66" s="61" t="s">
        <v>35</v>
      </c>
      <c r="J66" s="4"/>
      <c r="N66" s="184"/>
      <c r="O66" s="53"/>
      <c r="P66" s="180"/>
      <c r="Q66" s="181"/>
      <c r="R66" s="182"/>
      <c r="S66" s="180"/>
      <c r="T66" s="180"/>
      <c r="U66" s="180"/>
      <c r="V66" s="180"/>
      <c r="W66" s="180"/>
      <c r="X66" s="180"/>
      <c r="Y66" s="180"/>
    </row>
    <row r="67" spans="1:25" ht="23.25" customHeight="1">
      <c r="A67" s="60" t="s">
        <v>87</v>
      </c>
      <c r="B67" s="60"/>
      <c r="C67" s="60"/>
      <c r="D67" s="62"/>
      <c r="F67" s="61" t="s">
        <v>36</v>
      </c>
      <c r="J67" s="4"/>
      <c r="N67" s="184"/>
      <c r="O67" s="53"/>
      <c r="P67" s="180"/>
      <c r="Q67" s="181"/>
      <c r="R67" s="182"/>
      <c r="S67" s="180"/>
      <c r="T67" s="180"/>
      <c r="U67" s="180"/>
      <c r="V67" s="180"/>
      <c r="W67" s="180"/>
      <c r="X67" s="180"/>
      <c r="Y67" s="180"/>
    </row>
    <row r="68" spans="1:25" ht="23.25" customHeight="1">
      <c r="A68" s="60" t="s">
        <v>88</v>
      </c>
      <c r="B68" s="60"/>
      <c r="C68" s="60"/>
      <c r="D68" s="62"/>
      <c r="F68" s="61" t="s">
        <v>89</v>
      </c>
      <c r="J68" s="4"/>
      <c r="N68" s="184"/>
      <c r="O68" s="53"/>
      <c r="P68" s="180"/>
      <c r="Q68" s="181"/>
      <c r="R68" s="182"/>
      <c r="S68" s="180"/>
      <c r="T68" s="180"/>
      <c r="U68" s="180"/>
      <c r="V68" s="180"/>
      <c r="W68" s="180"/>
      <c r="X68" s="180"/>
      <c r="Y68" s="180"/>
    </row>
    <row r="69" spans="1:25" ht="20.25">
      <c r="N69" s="184"/>
      <c r="O69" s="53"/>
      <c r="P69" s="180"/>
      <c r="Q69" s="181"/>
      <c r="R69" s="182"/>
      <c r="S69" s="180"/>
      <c r="T69" s="180"/>
      <c r="U69" s="180"/>
      <c r="V69" s="180"/>
      <c r="W69" s="180"/>
      <c r="X69" s="180"/>
      <c r="Y69" s="180"/>
    </row>
    <row r="70" spans="1:25" ht="20.25">
      <c r="N70" s="184"/>
      <c r="O70" s="53"/>
      <c r="P70" s="180"/>
      <c r="Q70" s="181"/>
      <c r="R70" s="182"/>
      <c r="S70" s="180"/>
      <c r="T70" s="180"/>
      <c r="U70" s="180"/>
      <c r="V70" s="180"/>
      <c r="W70" s="180"/>
      <c r="X70" s="180"/>
      <c r="Y70" s="180"/>
    </row>
    <row r="71" spans="1:25" ht="21" thickBot="1">
      <c r="N71" s="184"/>
      <c r="O71" s="179"/>
      <c r="P71" s="180"/>
      <c r="Q71" s="180"/>
      <c r="R71" s="180"/>
      <c r="S71" s="180"/>
      <c r="T71" s="180"/>
      <c r="U71" s="180"/>
      <c r="V71" s="180"/>
      <c r="W71" s="180"/>
      <c r="X71" s="180"/>
      <c r="Y71" s="180"/>
    </row>
    <row r="72" spans="1:25" ht="15.75" thickTop="1">
      <c r="A72" s="22"/>
      <c r="B72" s="22"/>
      <c r="C72" s="22"/>
      <c r="D72" s="22"/>
      <c r="E72" s="22"/>
      <c r="F72" s="22"/>
      <c r="G72" s="22"/>
      <c r="H72" s="22"/>
      <c r="I72" s="22"/>
      <c r="J72" s="22"/>
      <c r="K72" s="22"/>
      <c r="L72" s="23"/>
      <c r="M72" s="23"/>
      <c r="N72" s="22"/>
      <c r="O72" s="22"/>
      <c r="P72" s="22"/>
      <c r="Q72" s="22"/>
      <c r="R72" s="22"/>
      <c r="S72" s="22"/>
      <c r="T72" s="22"/>
      <c r="U72" s="22"/>
      <c r="V72" s="22"/>
      <c r="W72" s="22"/>
      <c r="X72" s="24"/>
      <c r="Y72" s="24"/>
    </row>
  </sheetData>
  <mergeCells count="45">
    <mergeCell ref="C9:E9"/>
    <mergeCell ref="F9:I9"/>
    <mergeCell ref="C2:G2"/>
    <mergeCell ref="C3:E3"/>
    <mergeCell ref="C7:H7"/>
    <mergeCell ref="C8:E8"/>
    <mergeCell ref="F8:I8"/>
    <mergeCell ref="B13:C13"/>
    <mergeCell ref="E13:F13"/>
    <mergeCell ref="G13:H13"/>
    <mergeCell ref="K13:N13"/>
    <mergeCell ref="O13:T13"/>
    <mergeCell ref="A11:Y11"/>
    <mergeCell ref="B12:C12"/>
    <mergeCell ref="E12:F12"/>
    <mergeCell ref="G12:H12"/>
    <mergeCell ref="I12:J12"/>
    <mergeCell ref="L14:N14"/>
    <mergeCell ref="Q17:V17"/>
    <mergeCell ref="AA16:AF16"/>
    <mergeCell ref="A18:G18"/>
    <mergeCell ref="D19:E19"/>
    <mergeCell ref="F19:G19"/>
    <mergeCell ref="S19:T19"/>
    <mergeCell ref="AC18:AD18"/>
    <mergeCell ref="D20:E20"/>
    <mergeCell ref="S20:T20"/>
    <mergeCell ref="AC19:AD19"/>
    <mergeCell ref="D21:E21"/>
    <mergeCell ref="F21:G21"/>
    <mergeCell ref="S21:T21"/>
    <mergeCell ref="AC20:AD20"/>
    <mergeCell ref="D22:E22"/>
    <mergeCell ref="F22:G22"/>
    <mergeCell ref="S22:T22"/>
    <mergeCell ref="AC21:AD21"/>
    <mergeCell ref="D23:E23"/>
    <mergeCell ref="F23:G23"/>
    <mergeCell ref="S23:T23"/>
    <mergeCell ref="AC22:AD22"/>
    <mergeCell ref="D24:E24"/>
    <mergeCell ref="F24:G24"/>
    <mergeCell ref="S24:T24"/>
    <mergeCell ref="A58:J58"/>
    <mergeCell ref="N58:Y58"/>
  </mergeCells>
  <conditionalFormatting sqref="AC18:AD18">
    <cfRule type="cellIs" dxfId="81" priority="2" operator="equal">
      <formula>0</formula>
    </cfRule>
  </conditionalFormatting>
  <conditionalFormatting sqref="S19:T19">
    <cfRule type="cellIs" dxfId="80" priority="1" operator="equal">
      <formula>0</formula>
    </cfRule>
  </conditionalFormatting>
  <printOptions gridLinesSet="0"/>
  <pageMargins left="0.25" right="0.25" top="0.75" bottom="0.75" header="0.3" footer="0.3"/>
  <pageSetup scale="31" orientation="portrait" r:id="rId1"/>
  <headerFooter alignWithMargins="0"/>
  <drawing r:id="rId2"/>
</worksheet>
</file>

<file path=xl/worksheets/sheet5.xml><?xml version="1.0" encoding="utf-8"?>
<worksheet xmlns="http://schemas.openxmlformats.org/spreadsheetml/2006/main" xmlns:r="http://schemas.openxmlformats.org/officeDocument/2006/relationships">
  <sheetPr codeName="Sheet3"/>
  <dimension ref="A1:FA7"/>
  <sheetViews>
    <sheetView tabSelected="1" workbookViewId="0">
      <selection activeCell="C3" sqref="C3"/>
    </sheetView>
  </sheetViews>
  <sheetFormatPr defaultColWidth="8.88671875" defaultRowHeight="15"/>
  <cols>
    <col min="1" max="1" width="7.88671875" style="155" bestFit="1" customWidth="1"/>
    <col min="2" max="2" width="14.6640625" style="155" bestFit="1" customWidth="1"/>
    <col min="3" max="3" width="16.44140625" style="155" bestFit="1" customWidth="1"/>
    <col min="4" max="4" width="8.44140625" style="155" bestFit="1" customWidth="1"/>
    <col min="5" max="5" width="9" style="155" bestFit="1" customWidth="1"/>
    <col min="6" max="6" width="7.6640625" style="155" bestFit="1" customWidth="1"/>
    <col min="7" max="7" width="7.5546875" style="155" bestFit="1" customWidth="1"/>
    <col min="8" max="8" width="6.77734375" style="155" bestFit="1" customWidth="1"/>
    <col min="9" max="9" width="12" style="155" bestFit="1" customWidth="1"/>
    <col min="10" max="10" width="6.88671875" style="155" bestFit="1" customWidth="1"/>
    <col min="11" max="11" width="10" style="155" bestFit="1" customWidth="1"/>
    <col min="12" max="12" width="6.44140625" style="155" bestFit="1" customWidth="1"/>
    <col min="13" max="13" width="13.5546875" style="155" bestFit="1" customWidth="1"/>
    <col min="14" max="14" width="12.88671875" style="155" bestFit="1" customWidth="1"/>
    <col min="15" max="15" width="6.109375" style="155" bestFit="1" customWidth="1"/>
    <col min="16" max="16" width="9.6640625" style="155" bestFit="1" customWidth="1"/>
    <col min="17" max="17" width="14.44140625" style="155" bestFit="1" customWidth="1"/>
    <col min="18" max="18" width="12.6640625" style="155" bestFit="1" customWidth="1"/>
    <col min="19" max="19" width="13.5546875" style="155" bestFit="1" customWidth="1"/>
    <col min="20" max="20" width="6" style="155" bestFit="1" customWidth="1"/>
    <col min="21" max="21" width="5.88671875" style="155" bestFit="1" customWidth="1"/>
    <col min="22" max="22" width="6.21875" style="155" bestFit="1" customWidth="1"/>
    <col min="23" max="23" width="7.21875" style="155" bestFit="1" customWidth="1"/>
    <col min="24" max="24" width="3.77734375" style="155" bestFit="1" customWidth="1"/>
    <col min="25" max="25" width="5.88671875" style="155" bestFit="1" customWidth="1"/>
    <col min="26" max="26" width="3.88671875" style="155" bestFit="1" customWidth="1"/>
    <col min="27" max="27" width="5.33203125" style="155" bestFit="1" customWidth="1"/>
    <col min="28" max="29" width="4.77734375" style="155" bestFit="1" customWidth="1"/>
    <col min="30" max="30" width="6" style="155" bestFit="1" customWidth="1"/>
    <col min="31" max="31" width="4.44140625" style="155" bestFit="1" customWidth="1"/>
    <col min="32" max="32" width="5" style="155" bestFit="1" customWidth="1"/>
    <col min="33" max="33" width="4.77734375" style="155" bestFit="1" customWidth="1"/>
    <col min="34" max="34" width="4.5546875" style="155" bestFit="1" customWidth="1"/>
    <col min="35" max="35" width="5.44140625" style="155" bestFit="1" customWidth="1"/>
    <col min="36" max="36" width="5" style="155" bestFit="1" customWidth="1"/>
    <col min="37" max="37" width="4.6640625" style="155" bestFit="1" customWidth="1"/>
    <col min="38" max="38" width="4.77734375" style="155" bestFit="1" customWidth="1"/>
    <col min="39" max="39" width="6.109375" style="155" bestFit="1" customWidth="1"/>
    <col min="40" max="40" width="11.21875" style="155" bestFit="1" customWidth="1"/>
    <col min="41" max="41" width="4.21875" style="155" bestFit="1" customWidth="1"/>
    <col min="42" max="42" width="6.109375" style="155" bestFit="1" customWidth="1"/>
    <col min="43" max="43" width="7.77734375" style="155" bestFit="1" customWidth="1"/>
    <col min="44" max="44" width="8.77734375" style="155" bestFit="1" customWidth="1"/>
    <col min="45" max="45" width="9.5546875" style="155" bestFit="1" customWidth="1"/>
    <col min="46" max="46" width="6.5546875" style="155" bestFit="1" customWidth="1"/>
    <col min="47" max="47" width="5.109375" style="155" bestFit="1" customWidth="1"/>
    <col min="48" max="49" width="5.88671875" style="155" bestFit="1" customWidth="1"/>
    <col min="50" max="50" width="8.44140625" style="155" bestFit="1" customWidth="1"/>
    <col min="51" max="51" width="10.109375" style="155" bestFit="1" customWidth="1"/>
    <col min="52" max="52" width="10.44140625" style="155" bestFit="1" customWidth="1"/>
    <col min="53" max="53" width="10.109375" style="155" bestFit="1" customWidth="1"/>
    <col min="54" max="54" width="6.109375" style="155" bestFit="1" customWidth="1"/>
    <col min="55" max="55" width="9.21875" style="155" bestFit="1" customWidth="1"/>
    <col min="56" max="56" width="10.21875" style="155" bestFit="1" customWidth="1"/>
    <col min="57" max="57" width="10" style="155" bestFit="1" customWidth="1"/>
    <col min="58" max="58" width="9.21875" style="155" bestFit="1" customWidth="1"/>
    <col min="59" max="59" width="10.44140625" style="155" bestFit="1" customWidth="1"/>
    <col min="60" max="61" width="9.109375" style="155" bestFit="1" customWidth="1"/>
    <col min="62" max="62" width="9.88671875" style="155" bestFit="1" customWidth="1"/>
    <col min="63" max="63" width="10.44140625" style="155" bestFit="1" customWidth="1"/>
    <col min="64" max="64" width="7.6640625" style="155" bestFit="1" customWidth="1"/>
    <col min="65" max="65" width="9" style="155" bestFit="1" customWidth="1"/>
    <col min="66" max="66" width="9.6640625" style="155" bestFit="1" customWidth="1"/>
    <col min="67" max="67" width="10.5546875" style="155" bestFit="1" customWidth="1"/>
    <col min="68" max="68" width="5.88671875" style="155" bestFit="1" customWidth="1"/>
    <col min="69" max="69" width="7.6640625" style="155" bestFit="1" customWidth="1"/>
    <col min="70" max="70" width="7.77734375" style="155" bestFit="1" customWidth="1"/>
    <col min="71" max="71" width="8.6640625" style="155" bestFit="1" customWidth="1"/>
    <col min="72" max="72" width="9" style="155" bestFit="1" customWidth="1"/>
    <col min="73" max="73" width="8.6640625" style="155" bestFit="1" customWidth="1"/>
    <col min="74" max="74" width="7.6640625" style="155" bestFit="1" customWidth="1"/>
    <col min="75" max="75" width="7.77734375" style="155" bestFit="1" customWidth="1"/>
    <col min="76" max="76" width="8.44140625" style="155" bestFit="1" customWidth="1"/>
    <col min="77" max="77" width="9" style="155" bestFit="1" customWidth="1"/>
    <col min="78" max="78" width="8.77734375" style="155" bestFit="1" customWidth="1"/>
    <col min="79" max="79" width="8.5546875" style="155" bestFit="1" customWidth="1"/>
    <col min="80" max="80" width="8" style="155" bestFit="1" customWidth="1"/>
    <col min="81" max="81" width="6" style="155" bestFit="1" customWidth="1"/>
    <col min="82" max="82" width="9.21875" style="155" bestFit="1" customWidth="1"/>
    <col min="83" max="83" width="6.33203125" style="155" bestFit="1" customWidth="1"/>
    <col min="84" max="84" width="8.88671875" style="155" bestFit="1" customWidth="1"/>
    <col min="85" max="85" width="9.21875" style="155" bestFit="1" customWidth="1"/>
    <col min="86" max="86" width="8.88671875" style="155" bestFit="1" customWidth="1"/>
    <col min="87" max="87" width="7.88671875" style="155" bestFit="1" customWidth="1"/>
    <col min="88" max="88" width="9.33203125" style="155" bestFit="1" customWidth="1"/>
    <col min="89" max="89" width="9" style="155" bestFit="1" customWidth="1"/>
    <col min="90" max="90" width="10.21875" style="155" bestFit="1" customWidth="1"/>
    <col min="91" max="91" width="6.44140625" style="155" bestFit="1" customWidth="1"/>
    <col min="92" max="92" width="9" style="155" bestFit="1" customWidth="1"/>
    <col min="93" max="93" width="9.77734375" style="155" bestFit="1" customWidth="1"/>
    <col min="94" max="95" width="10.109375" style="155" bestFit="1" customWidth="1"/>
    <col min="96" max="96" width="9.77734375" style="155" bestFit="1" customWidth="1"/>
    <col min="97" max="97" width="10.33203125" style="155" bestFit="1" customWidth="1"/>
    <col min="98" max="98" width="9.5546875" style="155" bestFit="1" customWidth="1"/>
    <col min="99" max="100" width="10" style="155" bestFit="1" customWidth="1"/>
    <col min="101" max="101" width="9.44140625" style="155" bestFit="1" customWidth="1"/>
    <col min="102" max="103" width="10" style="155" bestFit="1" customWidth="1"/>
    <col min="104" max="104" width="9.44140625" style="155" bestFit="1" customWidth="1"/>
    <col min="105" max="105" width="8.88671875" style="155" bestFit="1" customWidth="1"/>
    <col min="106" max="106" width="10.109375" style="155" bestFit="1" customWidth="1"/>
    <col min="107" max="107" width="9.6640625" style="155" bestFit="1" customWidth="1"/>
    <col min="108" max="108" width="5.33203125" style="155" bestFit="1" customWidth="1"/>
    <col min="109" max="109" width="6" style="155" bestFit="1" customWidth="1"/>
    <col min="110" max="110" width="5.77734375" style="155" bestFit="1" customWidth="1"/>
    <col min="111" max="111" width="6.77734375" style="155" bestFit="1" customWidth="1"/>
    <col min="112" max="112" width="6.6640625" style="155" bestFit="1" customWidth="1"/>
    <col min="113" max="113" width="7.109375" style="155" bestFit="1" customWidth="1"/>
    <col min="114" max="114" width="8" style="155" bestFit="1" customWidth="1"/>
    <col min="115" max="115" width="7.6640625" style="155" bestFit="1" customWidth="1"/>
    <col min="116" max="116" width="8.6640625" style="155" bestFit="1" customWidth="1"/>
    <col min="117" max="117" width="8.77734375" style="155" bestFit="1" customWidth="1"/>
    <col min="118" max="118" width="8.44140625" style="155" bestFit="1" customWidth="1"/>
    <col min="119" max="119" width="7.6640625" style="155" bestFit="1" customWidth="1"/>
    <col min="120" max="121" width="8.88671875" style="155" bestFit="1" customWidth="1"/>
    <col min="122" max="122" width="8.6640625" style="155" bestFit="1" customWidth="1"/>
    <col min="123" max="124" width="7.5546875" style="155" bestFit="1" customWidth="1"/>
    <col min="125" max="125" width="8.44140625" style="155" bestFit="1" customWidth="1"/>
    <col min="126" max="126" width="7.6640625" style="155" bestFit="1" customWidth="1"/>
    <col min="127" max="127" width="8.6640625" style="155" bestFit="1" customWidth="1"/>
    <col min="128" max="128" width="8.77734375" style="155" bestFit="1" customWidth="1"/>
    <col min="129" max="129" width="8.44140625" style="155" bestFit="1" customWidth="1"/>
    <col min="130" max="130" width="7.6640625" style="155" bestFit="1" customWidth="1"/>
    <col min="131" max="132" width="8.88671875" style="155" bestFit="1" customWidth="1"/>
    <col min="133" max="133" width="8.6640625" style="155" bestFit="1" customWidth="1"/>
    <col min="134" max="135" width="7.5546875" style="155" bestFit="1" customWidth="1"/>
    <col min="136" max="136" width="8.44140625" style="155" bestFit="1" customWidth="1"/>
    <col min="137" max="137" width="9" style="155" bestFit="1" customWidth="1"/>
    <col min="138" max="138" width="14.44140625" style="155" bestFit="1" customWidth="1"/>
    <col min="139" max="139" width="9.109375" style="155" bestFit="1" customWidth="1"/>
    <col min="140" max="140" width="14.5546875" style="155" bestFit="1" customWidth="1"/>
    <col min="141" max="141" width="7.6640625" style="155" bestFit="1" customWidth="1"/>
    <col min="142" max="142" width="13.109375" style="155" bestFit="1" customWidth="1"/>
    <col min="143" max="143" width="12.6640625" style="155" bestFit="1" customWidth="1"/>
    <col min="144" max="144" width="18.21875" style="155" bestFit="1" customWidth="1"/>
    <col min="145" max="145" width="13" style="155" bestFit="1" customWidth="1"/>
    <col min="146" max="146" width="18.5546875" style="155" bestFit="1" customWidth="1"/>
    <col min="147" max="147" width="7.33203125" style="155" bestFit="1" customWidth="1"/>
    <col min="148" max="148" width="5.5546875" style="155" bestFit="1" customWidth="1"/>
    <col min="149" max="149" width="7.6640625" style="155" bestFit="1" customWidth="1"/>
    <col min="150" max="150" width="7.109375" style="155" bestFit="1" customWidth="1"/>
    <col min="151" max="151" width="6.77734375" style="155" bestFit="1" customWidth="1"/>
    <col min="152" max="152" width="9" style="155" bestFit="1" customWidth="1"/>
    <col min="153" max="153" width="8.77734375" style="155" bestFit="1" customWidth="1"/>
    <col min="154" max="154" width="11.88671875" style="155" bestFit="1" customWidth="1"/>
    <col min="155" max="155" width="9" style="155" bestFit="1" customWidth="1"/>
    <col min="156" max="156" width="7" style="155" bestFit="1" customWidth="1"/>
    <col min="157" max="157" width="8.21875" style="155" bestFit="1" customWidth="1"/>
    <col min="158" max="158" width="5.33203125" style="155" bestFit="1" customWidth="1"/>
    <col min="159" max="159" width="7.88671875" style="155" bestFit="1" customWidth="1"/>
    <col min="160" max="160" width="7.6640625" style="155" bestFit="1" customWidth="1"/>
    <col min="161" max="16384" width="8.88671875" style="155"/>
  </cols>
  <sheetData>
    <row r="1" spans="1:157" ht="15.75">
      <c r="A1" s="203" t="s">
        <v>122</v>
      </c>
      <c r="B1" s="203" t="s">
        <v>123</v>
      </c>
      <c r="C1" s="203" t="s">
        <v>100</v>
      </c>
      <c r="D1" s="203" t="s">
        <v>105</v>
      </c>
      <c r="E1" s="203" t="s">
        <v>101</v>
      </c>
      <c r="F1" s="203" t="s">
        <v>102</v>
      </c>
      <c r="G1" s="203" t="s">
        <v>103</v>
      </c>
      <c r="H1" s="203" t="s">
        <v>104</v>
      </c>
      <c r="I1" s="203" t="s">
        <v>139</v>
      </c>
      <c r="J1" s="203" t="s">
        <v>124</v>
      </c>
      <c r="K1" s="203" t="s">
        <v>175</v>
      </c>
      <c r="L1" s="203" t="s">
        <v>106</v>
      </c>
      <c r="M1" s="203" t="s">
        <v>125</v>
      </c>
      <c r="N1" s="203" t="s">
        <v>126</v>
      </c>
      <c r="O1" s="203" t="s">
        <v>26</v>
      </c>
      <c r="P1" s="203" t="s">
        <v>166</v>
      </c>
      <c r="Q1" s="203" t="s">
        <v>167</v>
      </c>
      <c r="R1" s="203" t="s">
        <v>168</v>
      </c>
      <c r="S1" s="203" t="s">
        <v>151</v>
      </c>
      <c r="T1" s="203" t="s">
        <v>127</v>
      </c>
      <c r="U1" s="203" t="s">
        <v>128</v>
      </c>
      <c r="V1" s="203" t="s">
        <v>129</v>
      </c>
      <c r="W1" s="203" t="s">
        <v>130</v>
      </c>
      <c r="X1" s="203" t="s">
        <v>11</v>
      </c>
      <c r="Y1" s="203" t="s">
        <v>107</v>
      </c>
      <c r="Z1" s="203" t="s">
        <v>12</v>
      </c>
      <c r="AA1" s="203" t="s">
        <v>13</v>
      </c>
      <c r="AB1" s="203" t="s">
        <v>14</v>
      </c>
      <c r="AC1" s="203" t="s">
        <v>108</v>
      </c>
      <c r="AD1" s="203" t="s">
        <v>133</v>
      </c>
      <c r="AE1" s="203" t="s">
        <v>15</v>
      </c>
      <c r="AF1" s="203" t="s">
        <v>16</v>
      </c>
      <c r="AG1" s="203" t="s">
        <v>17</v>
      </c>
      <c r="AH1" s="203" t="s">
        <v>18</v>
      </c>
      <c r="AI1" s="203" t="s">
        <v>19</v>
      </c>
      <c r="AJ1" s="203" t="s">
        <v>20</v>
      </c>
      <c r="AK1" s="203" t="s">
        <v>21</v>
      </c>
      <c r="AL1" s="203" t="s">
        <v>109</v>
      </c>
      <c r="AM1" s="203" t="s">
        <v>110</v>
      </c>
      <c r="AN1" s="203" t="s">
        <v>111</v>
      </c>
      <c r="AO1" s="203" t="s">
        <v>112</v>
      </c>
      <c r="AP1" s="203" t="s">
        <v>113</v>
      </c>
      <c r="AQ1" s="203" t="s">
        <v>134</v>
      </c>
      <c r="AR1" s="203" t="s">
        <v>114</v>
      </c>
      <c r="AS1" s="203" t="s">
        <v>115</v>
      </c>
      <c r="AT1" s="203" t="s">
        <v>117</v>
      </c>
      <c r="AU1" s="203" t="s">
        <v>118</v>
      </c>
      <c r="AV1" s="203" t="s">
        <v>119</v>
      </c>
      <c r="AW1" s="203" t="s">
        <v>116</v>
      </c>
      <c r="AX1" s="203" t="s">
        <v>136</v>
      </c>
      <c r="AY1" s="203" t="s">
        <v>135</v>
      </c>
      <c r="AZ1" s="203" t="s">
        <v>137</v>
      </c>
      <c r="BA1" s="203" t="s">
        <v>138</v>
      </c>
      <c r="BB1" s="203" t="s">
        <v>141</v>
      </c>
      <c r="BC1" s="203" t="s">
        <v>142</v>
      </c>
      <c r="BD1" s="203" t="s">
        <v>143</v>
      </c>
      <c r="BE1" s="203" t="s">
        <v>144</v>
      </c>
      <c r="BF1" s="203" t="s">
        <v>145</v>
      </c>
      <c r="BG1" s="203" t="s">
        <v>146</v>
      </c>
      <c r="BH1" s="203" t="s">
        <v>147</v>
      </c>
      <c r="BI1" s="203" t="s">
        <v>148</v>
      </c>
      <c r="BJ1" s="203" t="s">
        <v>149</v>
      </c>
      <c r="BK1" s="204" t="s">
        <v>205</v>
      </c>
      <c r="BL1" s="203" t="s">
        <v>150</v>
      </c>
      <c r="BM1" s="203" t="s">
        <v>152</v>
      </c>
      <c r="BN1" s="203" t="s">
        <v>153</v>
      </c>
      <c r="BO1" s="203" t="s">
        <v>154</v>
      </c>
      <c r="BP1" s="203" t="s">
        <v>155</v>
      </c>
      <c r="BQ1" s="203" t="s">
        <v>131</v>
      </c>
      <c r="BR1" s="203" t="s">
        <v>132</v>
      </c>
      <c r="BS1" s="203" t="s">
        <v>156</v>
      </c>
      <c r="BT1" s="203" t="s">
        <v>157</v>
      </c>
      <c r="BU1" s="203" t="s">
        <v>158</v>
      </c>
      <c r="BV1" s="203" t="s">
        <v>159</v>
      </c>
      <c r="BW1" s="203" t="s">
        <v>160</v>
      </c>
      <c r="BX1" s="203" t="s">
        <v>161</v>
      </c>
      <c r="BY1" s="203" t="s">
        <v>162</v>
      </c>
      <c r="BZ1" s="203" t="s">
        <v>163</v>
      </c>
      <c r="CA1" s="203" t="s">
        <v>164</v>
      </c>
      <c r="CB1" s="203" t="s">
        <v>165</v>
      </c>
      <c r="CC1" s="203" t="s">
        <v>169</v>
      </c>
      <c r="CD1" s="203" t="s">
        <v>170</v>
      </c>
      <c r="CE1" s="203" t="s">
        <v>171</v>
      </c>
      <c r="CF1" s="203" t="s">
        <v>172</v>
      </c>
      <c r="CG1" s="203" t="s">
        <v>173</v>
      </c>
      <c r="CH1" s="203" t="s">
        <v>174</v>
      </c>
      <c r="CI1" s="203" t="s">
        <v>178</v>
      </c>
      <c r="CJ1" s="203" t="s">
        <v>179</v>
      </c>
      <c r="CK1" s="203" t="s">
        <v>180</v>
      </c>
      <c r="CL1" s="204" t="s">
        <v>206</v>
      </c>
      <c r="CM1" s="203" t="s">
        <v>181</v>
      </c>
      <c r="CN1" s="203" t="s">
        <v>182</v>
      </c>
      <c r="CO1" s="203" t="s">
        <v>183</v>
      </c>
      <c r="CP1" s="203" t="s">
        <v>184</v>
      </c>
      <c r="CQ1" s="203" t="s">
        <v>185</v>
      </c>
      <c r="CR1" s="203" t="s">
        <v>186</v>
      </c>
      <c r="CS1" s="203" t="s">
        <v>187</v>
      </c>
      <c r="CT1" s="203" t="s">
        <v>188</v>
      </c>
      <c r="CU1" s="203" t="s">
        <v>189</v>
      </c>
      <c r="CV1" s="203" t="s">
        <v>190</v>
      </c>
      <c r="CW1" s="203" t="s">
        <v>191</v>
      </c>
      <c r="CX1" s="203" t="s">
        <v>192</v>
      </c>
      <c r="CY1" s="203" t="s">
        <v>193</v>
      </c>
      <c r="CZ1" s="203" t="s">
        <v>194</v>
      </c>
      <c r="DA1" s="203" t="s">
        <v>195</v>
      </c>
      <c r="DB1" s="203" t="s">
        <v>196</v>
      </c>
      <c r="DC1" s="203" t="s">
        <v>197</v>
      </c>
      <c r="DD1" s="203" t="s">
        <v>198</v>
      </c>
      <c r="DE1" s="203" t="s">
        <v>199</v>
      </c>
      <c r="DF1" s="203" t="s">
        <v>200</v>
      </c>
      <c r="DG1" s="203" t="s">
        <v>201</v>
      </c>
      <c r="DH1" s="203" t="s">
        <v>202</v>
      </c>
      <c r="DI1" s="104" t="s">
        <v>207</v>
      </c>
      <c r="DJ1" s="104" t="s">
        <v>208</v>
      </c>
      <c r="DK1" s="104" t="s">
        <v>209</v>
      </c>
      <c r="DL1" s="104" t="s">
        <v>210</v>
      </c>
      <c r="DM1" s="104" t="s">
        <v>211</v>
      </c>
      <c r="DN1" s="104" t="s">
        <v>212</v>
      </c>
      <c r="DO1" s="104" t="s">
        <v>213</v>
      </c>
      <c r="DP1" s="104" t="s">
        <v>214</v>
      </c>
      <c r="DQ1" s="104" t="s">
        <v>215</v>
      </c>
      <c r="DR1" s="104" t="s">
        <v>216</v>
      </c>
      <c r="DS1" s="104" t="s">
        <v>217</v>
      </c>
      <c r="DT1" s="104" t="s">
        <v>218</v>
      </c>
      <c r="DU1" s="104" t="s">
        <v>219</v>
      </c>
      <c r="DV1" s="104" t="s">
        <v>220</v>
      </c>
      <c r="DW1" s="104" t="s">
        <v>221</v>
      </c>
      <c r="DX1" s="104" t="s">
        <v>222</v>
      </c>
      <c r="DY1" s="104" t="s">
        <v>223</v>
      </c>
      <c r="DZ1" s="104" t="s">
        <v>224</v>
      </c>
      <c r="EA1" s="104" t="s">
        <v>225</v>
      </c>
      <c r="EB1" s="104" t="s">
        <v>226</v>
      </c>
      <c r="EC1" s="104" t="s">
        <v>227</v>
      </c>
      <c r="ED1" s="104" t="s">
        <v>228</v>
      </c>
      <c r="EE1" s="104" t="s">
        <v>229</v>
      </c>
      <c r="EF1" s="104" t="s">
        <v>230</v>
      </c>
      <c r="EG1" t="s">
        <v>232</v>
      </c>
      <c r="EH1" t="s">
        <v>233</v>
      </c>
      <c r="EI1" t="s">
        <v>234</v>
      </c>
      <c r="EJ1" t="s">
        <v>235</v>
      </c>
      <c r="EK1" t="s">
        <v>236</v>
      </c>
      <c r="EL1" t="s">
        <v>237</v>
      </c>
      <c r="EM1" t="s">
        <v>238</v>
      </c>
      <c r="EN1" t="s">
        <v>239</v>
      </c>
      <c r="EO1" t="s">
        <v>240</v>
      </c>
      <c r="EP1" t="s">
        <v>241</v>
      </c>
      <c r="EQ1" t="s">
        <v>242</v>
      </c>
      <c r="ER1" t="s">
        <v>243</v>
      </c>
      <c r="ES1" t="s">
        <v>244</v>
      </c>
      <c r="ET1" t="s">
        <v>245</v>
      </c>
      <c r="EU1" t="s">
        <v>246</v>
      </c>
      <c r="EV1" t="s">
        <v>247</v>
      </c>
      <c r="EW1" t="s">
        <v>248</v>
      </c>
      <c r="EX1" t="s">
        <v>249</v>
      </c>
      <c r="EY1" t="s">
        <v>250</v>
      </c>
      <c r="EZ1" t="s">
        <v>251</v>
      </c>
      <c r="FA1" t="s">
        <v>252</v>
      </c>
    </row>
    <row r="2" spans="1:157" ht="15.75">
      <c r="A2" s="160">
        <v>745235</v>
      </c>
      <c r="B2" s="160">
        <v>85440</v>
      </c>
      <c r="C2" s="221" t="s">
        <v>253</v>
      </c>
      <c r="D2" s="264" t="s">
        <v>272</v>
      </c>
      <c r="E2" s="160" t="s">
        <v>254</v>
      </c>
      <c r="F2" s="206" t="s">
        <v>255</v>
      </c>
      <c r="G2" s="160">
        <v>85440</v>
      </c>
      <c r="H2" s="202">
        <v>44628</v>
      </c>
      <c r="I2" s="202">
        <v>44627</v>
      </c>
      <c r="J2" s="221" t="s">
        <v>256</v>
      </c>
      <c r="K2" s="160"/>
      <c r="L2" s="160" t="s">
        <v>257</v>
      </c>
      <c r="M2" s="160">
        <v>0</v>
      </c>
      <c r="N2" s="160">
        <v>12</v>
      </c>
      <c r="O2" s="160" t="s">
        <v>258</v>
      </c>
      <c r="P2" s="160">
        <v>4416</v>
      </c>
      <c r="Q2" s="160" t="s">
        <v>259</v>
      </c>
      <c r="R2" s="160" t="s">
        <v>260</v>
      </c>
      <c r="S2" s="161"/>
      <c r="T2" s="160">
        <v>11.7</v>
      </c>
      <c r="U2" s="160">
        <v>3.6</v>
      </c>
      <c r="V2" s="160">
        <v>32</v>
      </c>
      <c r="W2" s="160"/>
      <c r="X2" s="160">
        <v>802</v>
      </c>
      <c r="Y2" s="160">
        <v>8</v>
      </c>
      <c r="Z2" s="160">
        <v>0.75</v>
      </c>
      <c r="AA2" s="160">
        <v>1.72</v>
      </c>
      <c r="AB2" s="160">
        <v>7.4</v>
      </c>
      <c r="AC2" s="160">
        <v>0.3</v>
      </c>
      <c r="AD2" s="160"/>
      <c r="AE2" s="160">
        <v>3.3</v>
      </c>
      <c r="AF2" s="160">
        <v>15</v>
      </c>
      <c r="AG2" s="160">
        <v>1.3</v>
      </c>
      <c r="AH2" s="160">
        <v>13</v>
      </c>
      <c r="AI2" s="160">
        <v>1864.9</v>
      </c>
      <c r="AJ2" s="160">
        <v>493.4</v>
      </c>
      <c r="AK2" s="160">
        <v>70.099999999999994</v>
      </c>
      <c r="AL2" s="160"/>
      <c r="AM2" s="160"/>
      <c r="AN2" s="160"/>
      <c r="AO2" s="160"/>
      <c r="AP2" s="160"/>
      <c r="AQ2" s="160"/>
      <c r="AR2" s="160"/>
      <c r="AS2" s="160"/>
      <c r="AT2" s="160"/>
      <c r="AU2" s="160"/>
      <c r="AV2" s="160"/>
      <c r="AW2" s="160"/>
      <c r="AX2" s="160"/>
      <c r="AY2" s="160"/>
      <c r="AZ2" s="160"/>
      <c r="BA2" s="160"/>
      <c r="BB2"/>
      <c r="BC2"/>
      <c r="BD2"/>
      <c r="BE2"/>
      <c r="BF2"/>
      <c r="BG2"/>
      <c r="BH2"/>
      <c r="BI2"/>
      <c r="BJ2"/>
      <c r="BK2"/>
      <c r="BL2"/>
      <c r="BM2"/>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c r="CM2" s="160"/>
      <c r="CN2" s="160"/>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row>
    <row r="3" spans="1:157" ht="15.75">
      <c r="A3" s="160">
        <v>745236</v>
      </c>
      <c r="B3" s="160">
        <v>85440</v>
      </c>
      <c r="C3" s="221" t="s">
        <v>253</v>
      </c>
      <c r="D3" s="264" t="s">
        <v>272</v>
      </c>
      <c r="E3" s="160" t="s">
        <v>254</v>
      </c>
      <c r="F3" s="206" t="s">
        <v>261</v>
      </c>
      <c r="G3" s="160">
        <v>85440</v>
      </c>
      <c r="H3" s="202">
        <v>44628</v>
      </c>
      <c r="I3" s="202">
        <v>44627</v>
      </c>
      <c r="J3" s="221" t="s">
        <v>256</v>
      </c>
      <c r="K3" s="160"/>
      <c r="L3" s="160" t="s">
        <v>257</v>
      </c>
      <c r="M3" s="160">
        <v>12</v>
      </c>
      <c r="N3" s="160">
        <v>24</v>
      </c>
      <c r="O3" s="160" t="s">
        <v>262</v>
      </c>
      <c r="P3" s="160">
        <v>4416</v>
      </c>
      <c r="Q3" s="160" t="s">
        <v>259</v>
      </c>
      <c r="R3" s="160" t="s">
        <v>260</v>
      </c>
      <c r="S3" s="161"/>
      <c r="T3" s="160">
        <v>23.9</v>
      </c>
      <c r="U3" s="160">
        <v>1.7</v>
      </c>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c r="BC3"/>
      <c r="BD3"/>
      <c r="BE3"/>
      <c r="BF3"/>
      <c r="BG3"/>
      <c r="BH3"/>
      <c r="BI3"/>
      <c r="BJ3"/>
      <c r="BK3"/>
      <c r="BL3"/>
      <c r="BM3"/>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c r="CM3" s="160"/>
      <c r="CN3" s="160"/>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row>
    <row r="4" spans="1:157" ht="15.75">
      <c r="A4" s="160">
        <v>745237</v>
      </c>
      <c r="B4" s="160">
        <v>85440</v>
      </c>
      <c r="C4" s="221" t="s">
        <v>253</v>
      </c>
      <c r="D4" s="264" t="s">
        <v>272</v>
      </c>
      <c r="E4" s="160" t="s">
        <v>254</v>
      </c>
      <c r="F4" s="206" t="s">
        <v>263</v>
      </c>
      <c r="G4" s="160">
        <v>85440</v>
      </c>
      <c r="H4" s="202">
        <v>44628</v>
      </c>
      <c r="I4" s="202">
        <v>44627</v>
      </c>
      <c r="J4" s="221" t="s">
        <v>264</v>
      </c>
      <c r="K4" s="160"/>
      <c r="L4" s="160" t="s">
        <v>257</v>
      </c>
      <c r="M4" s="160">
        <v>0</v>
      </c>
      <c r="N4" s="160">
        <v>12</v>
      </c>
      <c r="O4" s="160" t="s">
        <v>258</v>
      </c>
      <c r="P4" s="160">
        <v>4416</v>
      </c>
      <c r="Q4" s="160" t="s">
        <v>259</v>
      </c>
      <c r="R4" s="160" t="s">
        <v>260</v>
      </c>
      <c r="S4" s="161"/>
      <c r="T4" s="160">
        <v>3.6</v>
      </c>
      <c r="U4" s="160">
        <v>6.1</v>
      </c>
      <c r="V4" s="160">
        <v>19</v>
      </c>
      <c r="W4" s="160"/>
      <c r="X4" s="160">
        <v>378</v>
      </c>
      <c r="Y4" s="160">
        <v>6</v>
      </c>
      <c r="Z4" s="160">
        <v>0.7</v>
      </c>
      <c r="AA4" s="160">
        <v>1.6</v>
      </c>
      <c r="AB4" s="160">
        <v>8.1999999999999993</v>
      </c>
      <c r="AC4" s="160">
        <v>0.24</v>
      </c>
      <c r="AD4" s="160"/>
      <c r="AE4" s="160">
        <v>1.7</v>
      </c>
      <c r="AF4" s="160">
        <v>12.7</v>
      </c>
      <c r="AG4" s="160">
        <v>0.8</v>
      </c>
      <c r="AH4" s="160">
        <v>9</v>
      </c>
      <c r="AI4" s="160">
        <v>2692.5</v>
      </c>
      <c r="AJ4" s="160">
        <v>656.9</v>
      </c>
      <c r="AK4" s="160">
        <v>95.6</v>
      </c>
      <c r="AL4" s="160"/>
      <c r="AM4" s="160"/>
      <c r="AN4" s="160"/>
      <c r="AO4" s="160"/>
      <c r="AP4" s="160"/>
      <c r="AQ4" s="160"/>
      <c r="AR4" s="160"/>
      <c r="AS4" s="160"/>
      <c r="AT4" s="160"/>
      <c r="AU4" s="160"/>
      <c r="AV4" s="160"/>
      <c r="AW4" s="160"/>
      <c r="AX4" s="160"/>
      <c r="AY4" s="160"/>
      <c r="AZ4" s="160"/>
      <c r="BA4" s="160"/>
      <c r="BB4"/>
      <c r="BC4"/>
      <c r="BD4"/>
      <c r="BE4"/>
      <c r="BF4"/>
      <c r="BG4"/>
      <c r="BH4"/>
      <c r="BI4"/>
      <c r="BJ4"/>
      <c r="BK4"/>
      <c r="BL4"/>
      <c r="BM4"/>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c r="CM4" s="160"/>
      <c r="CN4" s="160"/>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row>
    <row r="5" spans="1:157" ht="15.75">
      <c r="A5" s="160">
        <v>745238</v>
      </c>
      <c r="B5" s="160">
        <v>85440</v>
      </c>
      <c r="C5" s="221" t="s">
        <v>253</v>
      </c>
      <c r="D5" s="264" t="s">
        <v>272</v>
      </c>
      <c r="E5" s="160" t="s">
        <v>254</v>
      </c>
      <c r="F5" s="206" t="s">
        <v>265</v>
      </c>
      <c r="G5" s="160">
        <v>85440</v>
      </c>
      <c r="H5" s="202">
        <v>44628</v>
      </c>
      <c r="I5" s="202">
        <v>44627</v>
      </c>
      <c r="J5" s="221" t="s">
        <v>264</v>
      </c>
      <c r="K5" s="160"/>
      <c r="L5" s="160" t="s">
        <v>257</v>
      </c>
      <c r="M5" s="160">
        <v>12</v>
      </c>
      <c r="N5" s="160">
        <v>24</v>
      </c>
      <c r="O5" s="160" t="s">
        <v>262</v>
      </c>
      <c r="P5" s="160">
        <v>4416</v>
      </c>
      <c r="Q5" s="160" t="s">
        <v>259</v>
      </c>
      <c r="R5" s="160" t="s">
        <v>260</v>
      </c>
      <c r="S5" s="161"/>
      <c r="T5" s="160">
        <v>7</v>
      </c>
      <c r="U5" s="160">
        <v>2.7</v>
      </c>
      <c r="V5" s="160"/>
      <c r="W5" s="160"/>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c r="BC5"/>
      <c r="BD5"/>
      <c r="BE5"/>
      <c r="BF5"/>
      <c r="BG5"/>
      <c r="BH5"/>
      <c r="BI5"/>
      <c r="BJ5"/>
      <c r="BK5"/>
      <c r="BL5"/>
      <c r="BM5"/>
      <c r="BN5" s="160"/>
      <c r="BO5" s="160"/>
      <c r="BP5" s="160"/>
      <c r="BQ5" s="160"/>
      <c r="BR5" s="160"/>
      <c r="BS5" s="160"/>
      <c r="BT5" s="160"/>
      <c r="BU5" s="160"/>
      <c r="BV5" s="160"/>
      <c r="BW5" s="160"/>
      <c r="BX5" s="160"/>
      <c r="BY5" s="160"/>
      <c r="BZ5" s="160"/>
      <c r="CA5" s="160"/>
      <c r="CB5" s="160"/>
      <c r="CC5" s="160"/>
      <c r="CD5" s="160"/>
      <c r="CE5" s="160"/>
      <c r="CF5" s="160"/>
      <c r="CG5" s="160"/>
      <c r="CH5" s="160"/>
      <c r="CI5" s="160"/>
      <c r="CJ5" s="160"/>
      <c r="CK5" s="160"/>
      <c r="CL5"/>
      <c r="CM5" s="160"/>
      <c r="CN5" s="160"/>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row>
    <row r="6" spans="1:157" ht="15.75">
      <c r="A6" s="160">
        <v>745239</v>
      </c>
      <c r="B6" s="160">
        <v>85440</v>
      </c>
      <c r="C6" s="221" t="s">
        <v>253</v>
      </c>
      <c r="D6" s="264" t="s">
        <v>272</v>
      </c>
      <c r="E6" s="160" t="s">
        <v>254</v>
      </c>
      <c r="F6" s="206" t="s">
        <v>266</v>
      </c>
      <c r="G6" s="160">
        <v>85440</v>
      </c>
      <c r="H6" s="202">
        <v>44628</v>
      </c>
      <c r="I6" s="202">
        <v>44627</v>
      </c>
      <c r="J6" s="221" t="s">
        <v>267</v>
      </c>
      <c r="K6" s="160"/>
      <c r="L6" s="160" t="s">
        <v>257</v>
      </c>
      <c r="M6" s="160">
        <v>0</v>
      </c>
      <c r="N6" s="160">
        <v>12</v>
      </c>
      <c r="O6" s="160" t="s">
        <v>258</v>
      </c>
      <c r="P6" s="160">
        <v>4416</v>
      </c>
      <c r="Q6" s="160" t="s">
        <v>259</v>
      </c>
      <c r="R6" s="160" t="s">
        <v>260</v>
      </c>
      <c r="S6" s="161"/>
      <c r="T6" s="160">
        <v>3.7</v>
      </c>
      <c r="U6" s="160">
        <v>3.9</v>
      </c>
      <c r="V6" s="160">
        <v>21</v>
      </c>
      <c r="W6" s="160"/>
      <c r="X6" s="160">
        <v>206</v>
      </c>
      <c r="Y6" s="160">
        <v>11</v>
      </c>
      <c r="Z6" s="160">
        <v>0.52</v>
      </c>
      <c r="AA6" s="160">
        <v>1.6400000000000001</v>
      </c>
      <c r="AB6" s="160">
        <v>7.6</v>
      </c>
      <c r="AC6" s="160">
        <v>0.32</v>
      </c>
      <c r="AD6" s="160"/>
      <c r="AE6" s="160">
        <v>1.8</v>
      </c>
      <c r="AF6" s="160">
        <v>17.899999999999999</v>
      </c>
      <c r="AG6" s="160">
        <v>1.7</v>
      </c>
      <c r="AH6" s="160">
        <v>27</v>
      </c>
      <c r="AI6" s="160">
        <v>3519.4</v>
      </c>
      <c r="AJ6" s="160">
        <v>445.3</v>
      </c>
      <c r="AK6" s="160">
        <v>40.1</v>
      </c>
      <c r="AL6" s="160"/>
      <c r="AM6" s="160"/>
      <c r="AN6" s="160"/>
      <c r="AO6" s="160"/>
      <c r="AP6" s="160"/>
      <c r="AQ6" s="160"/>
      <c r="AR6" s="160"/>
      <c r="AS6" s="160"/>
      <c r="AT6" s="160"/>
      <c r="AU6" s="160"/>
      <c r="AV6" s="160"/>
      <c r="AW6" s="160"/>
      <c r="AX6" s="160"/>
      <c r="AY6" s="160"/>
      <c r="AZ6" s="160"/>
      <c r="BA6" s="160"/>
      <c r="BB6"/>
      <c r="BC6"/>
      <c r="BD6"/>
      <c r="BE6"/>
      <c r="BF6"/>
      <c r="BG6"/>
      <c r="BH6"/>
      <c r="BI6"/>
      <c r="BJ6"/>
      <c r="BK6"/>
      <c r="BL6"/>
      <c r="BM6"/>
      <c r="BN6" s="160"/>
      <c r="BO6" s="160"/>
      <c r="BP6" s="160"/>
      <c r="BQ6" s="160"/>
      <c r="BR6" s="160"/>
      <c r="BS6" s="160"/>
      <c r="BT6" s="160"/>
      <c r="BU6" s="160"/>
      <c r="BV6" s="160"/>
      <c r="BW6" s="160"/>
      <c r="BX6" s="160"/>
      <c r="BY6" s="160"/>
      <c r="BZ6" s="160"/>
      <c r="CA6" s="160"/>
      <c r="CB6" s="160"/>
      <c r="CC6" s="160"/>
      <c r="CD6" s="160"/>
      <c r="CE6" s="160"/>
      <c r="CF6" s="160"/>
      <c r="CG6" s="160"/>
      <c r="CH6" s="160"/>
      <c r="CI6" s="160"/>
      <c r="CJ6" s="160"/>
      <c r="CK6" s="160"/>
      <c r="CL6"/>
      <c r="CM6" s="160"/>
      <c r="CN6" s="160"/>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row>
    <row r="7" spans="1:157" ht="15.75">
      <c r="A7" s="160">
        <v>745240</v>
      </c>
      <c r="B7" s="160">
        <v>85440</v>
      </c>
      <c r="C7" s="221" t="s">
        <v>253</v>
      </c>
      <c r="D7" s="264" t="s">
        <v>272</v>
      </c>
      <c r="E7" s="160" t="s">
        <v>254</v>
      </c>
      <c r="F7" s="206" t="s">
        <v>268</v>
      </c>
      <c r="G7" s="160">
        <v>85440</v>
      </c>
      <c r="H7" s="202">
        <v>44628</v>
      </c>
      <c r="I7" s="202">
        <v>44627</v>
      </c>
      <c r="J7" s="221" t="s">
        <v>267</v>
      </c>
      <c r="K7" s="160"/>
      <c r="L7" s="160" t="s">
        <v>257</v>
      </c>
      <c r="M7" s="160">
        <v>12</v>
      </c>
      <c r="N7" s="160">
        <v>24</v>
      </c>
      <c r="O7" s="160" t="s">
        <v>262</v>
      </c>
      <c r="P7" s="160">
        <v>4416</v>
      </c>
      <c r="Q7" s="160" t="s">
        <v>259</v>
      </c>
      <c r="R7" s="160" t="s">
        <v>260</v>
      </c>
      <c r="S7" s="161"/>
      <c r="T7" s="160">
        <v>3</v>
      </c>
      <c r="U7" s="160">
        <v>2.8</v>
      </c>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c r="BC7"/>
      <c r="BD7"/>
      <c r="BE7"/>
      <c r="BF7"/>
      <c r="BG7"/>
      <c r="BH7"/>
      <c r="BI7"/>
      <c r="BJ7"/>
      <c r="BK7"/>
      <c r="BL7"/>
      <c r="BM7"/>
      <c r="BN7" s="160"/>
      <c r="BO7" s="160"/>
      <c r="BP7" s="160"/>
      <c r="BQ7" s="160"/>
      <c r="BR7" s="160"/>
      <c r="BS7" s="160"/>
      <c r="BT7" s="160"/>
      <c r="BU7" s="160"/>
      <c r="BV7" s="160"/>
      <c r="BW7" s="160"/>
      <c r="BX7" s="160"/>
      <c r="BY7" s="160"/>
      <c r="BZ7" s="160"/>
      <c r="CA7" s="160"/>
      <c r="CB7" s="160"/>
      <c r="CC7" s="160"/>
      <c r="CD7" s="160"/>
      <c r="CE7" s="160"/>
      <c r="CF7" s="160"/>
      <c r="CG7" s="160"/>
      <c r="CH7" s="160"/>
      <c r="CI7" s="160"/>
      <c r="CJ7" s="160"/>
      <c r="CK7" s="160"/>
      <c r="CL7"/>
      <c r="CM7" s="160"/>
      <c r="CN7" s="160"/>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row>
  </sheetData>
  <phoneticPr fontId="62"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3 7 c c a 6 6 - 1 5 3 d - 4 2 9 9 - 9 8 4 a - 9 d 8 b f f 5 5 b 8 5 6 "   x m l n s = " h t t p : / / s c h e m a s . m i c r o s o f t . c o m / D a t a M a s h u p " > A A A A A B M D A A B Q S w M E F A A C A A g A w n h p V I v I e J u j A A A A 9 g A A A B I A H A B D b 2 5 m a W c v U G F j a 2 F n Z S 5 4 b W w g o h g A K K A U A A A A A A A A A A A A A A A A A A A A A A A A A A A A h Y + x D o I w G I R f h X S n L X U x 5 K c O r p K Y E I 1 r U y o 0 w o + h x f J u D j 6 S r y B G U T f H u / s u u b t f b 7 A a 2 y a 6 m N 7 Z D j O S U E 4 i g 7 o r L V Y Z G f w x X p K V h K 3 S J 1 W Z a I L R p a O z G a m 9 P 6 e M h R B o W N C u r 5 j g P G G H f F P o 2 r Q q t u i 8 Q m 3 I p 1 X + b x E J + 9 c Y K W j C B R V 8 2 g R s N i G 3 + A X E l D 3 T H x P W Q + O H 3 k i D 8 a 4 A N k t g 7 w / y A V B L A w Q U A A I A C A D C e G 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n h p V C i K R 7 g O A A A A E Q A A A B M A H A B G b 3 J t d W x h c y 9 T Z W N 0 a W 9 u M S 5 t I K I Y A C i g F A A A A A A A A A A A A A A A A A A A A A A A A A A A A C t O T S 7 J z M 9 T C I b Q h t Y A U E s B A i 0 A F A A C A A g A w n h p V I v I e J u j A A A A 9 g A A A B I A A A A A A A A A A A A A A A A A A A A A A E N v b m Z p Z y 9 Q Y W N r Y W d l L n h t b F B L A Q I t A B Q A A g A I A M J 4 a V Q P y u m r p A A A A O k A A A A T A A A A A A A A A A A A A A A A A O 8 A A A B b Q 2 9 u d G V u d F 9 U e X B l c 1 0 u e G 1 s U E s B A i 0 A F A A C A A g A w n h p V C 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G d 3 6 R 6 8 4 K N H m j W E l u e 2 U H Y A A A A A A g A A A A A A A 2 Y A A M A A A A A Q A A A A m W G l m z W z i W W q 3 w / C 3 g 8 l i Q A A A A A E g A A A o A A A A B A A A A C r 4 P c q k W O v + O c R b u H S D X b R U A A A A I V V Q x U b f b n o O B J 2 z h 2 P 4 k J 4 5 T 1 S o a 6 c 8 6 n w e H a W x 0 N Q k w p F g S v u T z g O 4 q 5 H I R t C H V S J s R 2 C U + + M Y N / L P P A h e 7 / F Z 8 5 y s N O g 5 K L + f G A D K W t 2 F A A A A B 6 o c d 1 U D E q r F B 2 l J w 2 Q c Y E L + U t b < / D a t a M a s h u p > 
</file>

<file path=customXml/itemProps1.xml><?xml version="1.0" encoding="utf-8"?>
<ds:datastoreItem xmlns:ds="http://schemas.openxmlformats.org/officeDocument/2006/customXml" ds:itemID="{909E848E-E9F2-4AD4-B09A-09423CEFC4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Summary</vt:lpstr>
      <vt:lpstr>Yard01</vt:lpstr>
      <vt:lpstr>Yard02</vt:lpstr>
      <vt:lpstr>Yard03</vt:lpstr>
      <vt:lpstr>RawData</vt:lpstr>
      <vt:lpstr>Summary!Print_Area</vt:lpstr>
      <vt:lpstr>Yard01!Print_Area</vt:lpstr>
      <vt:lpstr>Yard02!Print_Area</vt:lpstr>
      <vt:lpstr>Yard03!Print_Area</vt:lpstr>
      <vt:lpstr>Summary!Print_Titles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KTL</dc:creator>
  <cp:lastModifiedBy>David Marshall</cp:lastModifiedBy>
  <cp:lastPrinted>2022-08-22T21:53:27Z</cp:lastPrinted>
  <dcterms:created xsi:type="dcterms:W3CDTF">1997-01-24T23:48:24Z</dcterms:created>
  <dcterms:modified xsi:type="dcterms:W3CDTF">2022-08-22T21:58:28Z</dcterms:modified>
</cp:coreProperties>
</file>