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4" autoFilterDateGrouping="1"/>
  </bookViews>
  <sheets>
    <sheet name="Config" sheetId="1" state="hidden" r:id="rId1"/>
    <sheet name="DATA_Signals" sheetId="2" state="hidden" r:id="rId2"/>
    <sheet name="DATA_Prices" sheetId="3" state="hidden" r:id="rId3"/>
    <sheet name="DATA_Context" sheetId="4" state="hidden" r:id="rId4"/>
    <sheet name="Dashboard" sheetId="5" state="visible" r:id="rId5"/>
    <sheet name="Mi Watchlist" sheetId="6" state="visible" r:id="rId6"/>
    <sheet name="TOP Señales" sheetId="7" state="visible" r:id="rId7"/>
    <sheet name="Índices &amp; ETFs" sheetId="8" state="visible" r:id="rId8"/>
    <sheet name="Metodología Trinity" sheetId="9" state="visible" r:id="rId9"/>
    <sheet name="Videos Educativos" sheetId="10" state="visible" r:id="rId10"/>
    <sheet name="Trade Execution Helper" sheetId="11" state="visible" r:id="rId11"/>
    <sheet name="Portfolio Manager" sheetId="12" state="visible" r:id="rId12"/>
    <sheet name="Análisis Individual" sheetId="13" state="visible" r:id="rId13"/>
    <sheet name="Market Context" sheetId="14" state="visible" r:id="rId14"/>
    <sheet name="_VBA_CODE_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0.0%"/>
  </numFmts>
  <fonts count="12">
    <font>
      <name val="Calibri"/>
      <family val="2"/>
      <color theme="1"/>
      <sz val="11"/>
      <scheme val="minor"/>
    </font>
    <font>
      <name val="Calibri"/>
      <b val="1"/>
      <color rgb="FFFFFFFF"/>
      <sz val="18"/>
    </font>
    <font>
      <color rgb="FF64748B"/>
      <sz val="10"/>
    </font>
    <font>
      <b val="1"/>
      <sz val="11"/>
    </font>
    <font>
      <b val="1"/>
      <sz val="14"/>
    </font>
    <font>
      <sz val="10"/>
    </font>
    <font>
      <b val="1"/>
    </font>
    <font>
      <i val="1"/>
      <color rgb="FF64748B"/>
      <sz val="9"/>
    </font>
    <font>
      <i val="1"/>
      <sz val="10"/>
    </font>
    <font>
      <i val="1"/>
      <color rgb="FF64748B"/>
      <sz val="8"/>
    </font>
    <font>
      <i val="1"/>
      <sz val="12"/>
    </font>
    <font>
      <b val="1"/>
      <color rgb="FFFF0000"/>
      <sz val="12"/>
    </font>
  </fonts>
  <fills count="4">
    <fill>
      <patternFill/>
    </fill>
    <fill>
      <patternFill patternType="gray125"/>
    </fill>
    <fill>
      <patternFill patternType="solid">
        <fgColor rgb="FF1E3A8A"/>
        <bgColor rgb="FF1E3A8A"/>
      </patternFill>
    </fill>
    <fill>
      <patternFill patternType="solid">
        <fgColor rgb="FFEFF6FF"/>
        <bgColor rgb="FFEFF6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3" borderId="1" pivotButton="0" quotePrefix="0" xfId="0"/>
    <xf numFmtId="0" fontId="3" fillId="3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0" fontId="6" fillId="0" borderId="2" pivotButton="0" quotePrefix="0" xfId="0"/>
    <xf numFmtId="0" fontId="7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8" fillId="0" borderId="0" pivotButton="0" quotePrefix="0" xfId="0"/>
    <xf numFmtId="0" fontId="0" fillId="0" borderId="0" pivotButton="0" quotePrefix="0" xfId="0"/>
    <xf numFmtId="165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ables/table1.xml><?xml version="1.0" encoding="utf-8"?>
<table xmlns="http://schemas.openxmlformats.org/spreadsheetml/2006/main" id="1" name="tbl_Signals" displayName="tbl_Signals" ref="A1:Q6" headerRowCount="1">
  <autoFilter ref="A1:Q6"/>
  <tableColumns count="17">
    <tableColumn id="1" name="ticker"/>
    <tableColumn id="2" name="company"/>
    <tableColumn id="3" name="sector"/>
    <tableColumn id="4" name="signal"/>
    <tableColumn id="5" name="trinity_score"/>
    <tableColumn id="6" name="lynch_score"/>
    <tableColumn id="7" name="oneil_score"/>
    <tableColumn id="8" name="graham_score"/>
    <tableColumn id="9" name="price"/>
    <tableColumn id="10" name="target"/>
    <tableColumn id="11" name="stop_loss"/>
    <tableColumn id="12" name="tp1"/>
    <tableColumn id="13" name="tp2"/>
    <tableColumn id="14" name="potential_return"/>
    <tableColumn id="15" name="risk_reward"/>
    <tableColumn id="16" name="author_dominant"/>
    <tableColumn id="17" name="updated_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_Prices" displayName="tbl_Prices" ref="A1:F6" headerRowCount="1">
  <autoFilter ref="A1:F6"/>
  <tableColumns count="6">
    <tableColumn id="1" name="ticker"/>
    <tableColumn id="2" name="price"/>
    <tableColumn id="3" name="change"/>
    <tableColumn id="4" name="change_percent"/>
    <tableColumn id="5" name="volume"/>
    <tableColumn id="6" name="updated_a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Context" displayName="tbl_Context" ref="A1:B8" headerRowCount="1">
  <autoFilter ref="A1:B8"/>
  <tableColumns count="2">
    <tableColumn id="1" name="key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</cols>
  <sheetData>
    <row r="1">
      <c r="A1" t="inlineStr">
        <is>
          <t>TOKEN</t>
        </is>
      </c>
      <c r="B1" t="inlineStr">
        <is>
          <t>tok_basico_placeholder_456</t>
        </is>
      </c>
    </row>
    <row r="2">
      <c r="A2" t="inlineStr">
        <is>
          <t>API_BASE</t>
        </is>
      </c>
      <c r="B2" t="inlineStr">
        <is>
          <t>https://api.signalssheets.com</t>
        </is>
      </c>
    </row>
    <row r="3">
      <c r="A3" t="inlineStr">
        <is>
          <t>TIER</t>
        </is>
      </c>
      <c r="B3" t="inlineStr">
        <is>
          <t>BASICO</t>
        </is>
      </c>
    </row>
    <row r="4">
      <c r="A4" t="inlineStr">
        <is>
          <t>EMAIL</t>
        </is>
      </c>
      <c r="B4" t="inlineStr">
        <is>
          <t>user@example.com</t>
        </is>
      </c>
    </row>
    <row r="5">
      <c r="A5" t="inlineStr">
        <is>
          <t>VERSION</t>
        </is>
      </c>
      <c r="B5" t="inlineStr">
        <is>
          <t>1.0.0</t>
        </is>
      </c>
    </row>
    <row r="6">
      <c r="A6" t="inlineStr">
        <is>
          <t>LAST_UPDATE</t>
        </is>
      </c>
      <c r="B6" s="1" t="n">
        <v>45957.05788067198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VIDEOS EDUCATIVOS</t>
        </is>
      </c>
    </row>
    <row r="2"/>
    <row r="3"/>
    <row r="6">
      <c r="A6" s="15" t="inlineStr">
        <is>
          <t>Links a videos tutoriales.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TRADE EXECUTION HELPER</t>
        </is>
      </c>
    </row>
    <row r="2"/>
    <row r="3"/>
    <row r="6">
      <c r="A6" s="15" t="inlineStr">
        <is>
          <t>Herramienta para calcular tamaño de posición, stops y targets.
- Dropdown ticker selector
- Configuración de capital y riesgo
- Sugerencias de orden calculadas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PORTFOLIO MANAGER</t>
        </is>
      </c>
    </row>
    <row r="2"/>
    <row r="3"/>
    <row r="6">
      <c r="A6" s="15" t="inlineStr">
        <is>
          <t>Gestión de portfolio:
- Posiciones actuales
- Análisis de allocation
- Métricas de performance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ANÁLISIS INDIVIDUAL</t>
        </is>
      </c>
    </row>
    <row r="2"/>
    <row r="3"/>
    <row r="6">
      <c r="A6" s="15" t="inlineStr">
        <is>
          <t>Análisis profundo de ticker individual:
- Input box para ticker
- Botón analizar
- Output detallado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MARKET CONTEXT</t>
        </is>
      </c>
    </row>
    <row r="2"/>
    <row r="3"/>
    <row r="6">
      <c r="A6" s="15" t="inlineStr">
        <is>
          <t>Contexto de mercado:
- Market Regime
- Breadth Indicators
- Volatility &amp; Sentiment
- Correlations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6" t="inlineStr">
        <is>
          <t>INSTRUCCIONES: Copiar el código VBA de abajo al módulo Module1 en Excel</t>
        </is>
      </c>
    </row>
    <row r="3">
      <c r="A3" s="17" t="inlineStr">
        <is>
          <t xml:space="preserve">Option Explicit
Sub RefreshAllQueries()
    Application.ScreenUpdating = False
    Application.StatusBar = "Actualizando datos de Cloudflare..."
    On Error Resume Next
    ActiveWorkbook.Queries.Refresh
    DoEvents
    Application.StatusBar = "¡Datos actualizados! " &amp; Now()
    Application.Wait (Now + TimeValue("0:00:02"))
    Application.StatusBar = False
    Application.ScreenUpdating = True
    MsgBox "Datos actualizados correctamente ✓", vbInformation, "SignalsSheets"
End Sub
Sub MakeVeryHidden()
    ' Make data sheets very hidden (not accessible via UI)
    On Error Resume Next
    Sheets("Config").Visible = xlSheetVeryHidden
    Sheets("DATA_Signals").Visible = xlSheetVeryHidden
    Sheets("DATA_Prices").Visible = xlSheetVeryHidden
    Sheets("DATA_Context").Visible = xlSheetVeryHidden
End Sub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A1" t="inlineStr">
        <is>
          <t>ticker</t>
        </is>
      </c>
      <c r="B1" t="inlineStr">
        <is>
          <t>company</t>
        </is>
      </c>
      <c r="C1" t="inlineStr">
        <is>
          <t>sector</t>
        </is>
      </c>
      <c r="D1" t="inlineStr">
        <is>
          <t>signal</t>
        </is>
      </c>
      <c r="E1" t="inlineStr">
        <is>
          <t>trinity_score</t>
        </is>
      </c>
      <c r="F1" t="inlineStr">
        <is>
          <t>lynch_score</t>
        </is>
      </c>
      <c r="G1" t="inlineStr">
        <is>
          <t>oneil_score</t>
        </is>
      </c>
      <c r="H1" t="inlineStr">
        <is>
          <t>graham_score</t>
        </is>
      </c>
      <c r="I1" t="inlineStr">
        <is>
          <t>price</t>
        </is>
      </c>
      <c r="J1" t="inlineStr">
        <is>
          <t>target</t>
        </is>
      </c>
      <c r="K1" t="inlineStr">
        <is>
          <t>stop_loss</t>
        </is>
      </c>
      <c r="L1" t="inlineStr">
        <is>
          <t>tp1</t>
        </is>
      </c>
      <c r="M1" t="inlineStr">
        <is>
          <t>tp2</t>
        </is>
      </c>
      <c r="N1" t="inlineStr">
        <is>
          <t>potential_return</t>
        </is>
      </c>
      <c r="O1" t="inlineStr">
        <is>
          <t>risk_reward</t>
        </is>
      </c>
      <c r="P1" t="inlineStr">
        <is>
          <t>author_dominant</t>
        </is>
      </c>
      <c r="Q1" t="inlineStr">
        <is>
          <t>updated_at</t>
        </is>
      </c>
    </row>
    <row r="2">
      <c r="A2" t="inlineStr">
        <is>
          <t>NVDA</t>
        </is>
      </c>
      <c r="B2" t="inlineStr">
        <is>
          <t>NVIDIA</t>
        </is>
      </c>
      <c r="C2" t="inlineStr">
        <is>
          <t>Tech</t>
        </is>
      </c>
      <c r="D2" t="inlineStr">
        <is>
          <t>BUY</t>
        </is>
      </c>
      <c r="E2" t="n">
        <v>95</v>
      </c>
      <c r="F2" t="n">
        <v>92</v>
      </c>
      <c r="G2" t="n">
        <v>98</v>
      </c>
      <c r="H2" t="n">
        <v>95</v>
      </c>
      <c r="I2" t="n">
        <v>485</v>
      </c>
      <c r="J2" t="n">
        <v>520</v>
      </c>
      <c r="K2" t="n">
        <v>475</v>
      </c>
      <c r="L2" t="n">
        <v>510</v>
      </c>
      <c r="M2" t="n">
        <v>530</v>
      </c>
      <c r="N2" t="n">
        <v>0.07199999999999999</v>
      </c>
      <c r="O2" t="n">
        <v>2.2</v>
      </c>
      <c r="P2" t="inlineStr">
        <is>
          <t>O'Neil</t>
        </is>
      </c>
      <c r="Q2" s="1" t="n">
        <v>45957.05788067477</v>
      </c>
    </row>
    <row r="3">
      <c r="A3" t="inlineStr">
        <is>
          <t>AAPL</t>
        </is>
      </c>
      <c r="B3" t="inlineStr">
        <is>
          <t>Apple</t>
        </is>
      </c>
      <c r="C3" t="inlineStr">
        <is>
          <t>Tech</t>
        </is>
      </c>
      <c r="D3" t="inlineStr">
        <is>
          <t>BUY</t>
        </is>
      </c>
      <c r="E3" t="n">
        <v>92</v>
      </c>
      <c r="F3" t="n">
        <v>88</v>
      </c>
      <c r="G3" t="n">
        <v>95</v>
      </c>
      <c r="H3" t="n">
        <v>90</v>
      </c>
      <c r="I3" t="n">
        <v>175</v>
      </c>
      <c r="J3" t="n">
        <v>185</v>
      </c>
      <c r="K3" t="n">
        <v>171</v>
      </c>
      <c r="L3" t="n">
        <v>180</v>
      </c>
      <c r="M3" t="n">
        <v>190</v>
      </c>
      <c r="N3" t="n">
        <v>0.057</v>
      </c>
      <c r="O3" t="n">
        <v>2</v>
      </c>
      <c r="P3" t="inlineStr">
        <is>
          <t>O'Neil</t>
        </is>
      </c>
      <c r="Q3" s="1" t="n">
        <v>45957.05788067478</v>
      </c>
    </row>
    <row r="4">
      <c r="A4" t="inlineStr">
        <is>
          <t>MSFT</t>
        </is>
      </c>
      <c r="B4" t="inlineStr">
        <is>
          <t>Microsoft</t>
        </is>
      </c>
      <c r="C4" t="inlineStr">
        <is>
          <t>Tech</t>
        </is>
      </c>
      <c r="D4" t="inlineStr">
        <is>
          <t>BUY</t>
        </is>
      </c>
      <c r="E4" t="n">
        <v>88</v>
      </c>
      <c r="F4" t="n">
        <v>85</v>
      </c>
      <c r="G4" t="n">
        <v>90</v>
      </c>
      <c r="H4" t="n">
        <v>88</v>
      </c>
      <c r="I4" t="n">
        <v>380</v>
      </c>
      <c r="J4" t="n">
        <v>405</v>
      </c>
      <c r="K4" t="n">
        <v>370</v>
      </c>
      <c r="L4" t="n">
        <v>395</v>
      </c>
      <c r="M4" t="n">
        <v>415</v>
      </c>
      <c r="N4" t="n">
        <v>0.066</v>
      </c>
      <c r="O4" t="n">
        <v>2.1</v>
      </c>
      <c r="P4" t="inlineStr">
        <is>
          <t>Lynch</t>
        </is>
      </c>
      <c r="Q4" s="1" t="n">
        <v>45957.05788067479</v>
      </c>
    </row>
    <row r="5">
      <c r="A5" t="inlineStr">
        <is>
          <t>GOOGL</t>
        </is>
      </c>
      <c r="B5" t="inlineStr">
        <is>
          <t>Google</t>
        </is>
      </c>
      <c r="C5" t="inlineStr">
        <is>
          <t>Tech</t>
        </is>
      </c>
      <c r="D5" t="inlineStr">
        <is>
          <t>HOLD</t>
        </is>
      </c>
      <c r="E5" t="n">
        <v>75</v>
      </c>
      <c r="F5" t="n">
        <v>72</v>
      </c>
      <c r="G5" t="n">
        <v>78</v>
      </c>
      <c r="H5" t="n">
        <v>75</v>
      </c>
      <c r="I5" t="n">
        <v>140</v>
      </c>
      <c r="J5" t="n">
        <v>145</v>
      </c>
      <c r="K5" t="n">
        <v>136</v>
      </c>
      <c r="L5" t="n">
        <v>143</v>
      </c>
      <c r="M5" t="n">
        <v>148</v>
      </c>
      <c r="N5" t="n">
        <v>0.036</v>
      </c>
      <c r="O5" t="n">
        <v>1.5</v>
      </c>
      <c r="P5" t="inlineStr">
        <is>
          <t>O'Neil</t>
        </is>
      </c>
      <c r="Q5" s="1" t="n">
        <v>45957.05788067479</v>
      </c>
    </row>
    <row r="6">
      <c r="A6" t="inlineStr">
        <is>
          <t>TSLA</t>
        </is>
      </c>
      <c r="B6" t="inlineStr">
        <is>
          <t>Tesla</t>
        </is>
      </c>
      <c r="C6" t="inlineStr">
        <is>
          <t>Auto</t>
        </is>
      </c>
      <c r="D6" t="inlineStr">
        <is>
          <t>HOLD</t>
        </is>
      </c>
      <c r="E6" t="n">
        <v>72</v>
      </c>
      <c r="F6" t="n">
        <v>70</v>
      </c>
      <c r="G6" t="n">
        <v>75</v>
      </c>
      <c r="H6" t="n">
        <v>71</v>
      </c>
      <c r="I6" t="n">
        <v>245</v>
      </c>
      <c r="J6" t="n">
        <v>255</v>
      </c>
      <c r="K6" t="n">
        <v>239</v>
      </c>
      <c r="L6" t="n">
        <v>250</v>
      </c>
      <c r="M6" t="n">
        <v>260</v>
      </c>
      <c r="N6" t="n">
        <v>0.041</v>
      </c>
      <c r="O6" t="n">
        <v>1.6</v>
      </c>
      <c r="P6" t="inlineStr">
        <is>
          <t>Lynch</t>
        </is>
      </c>
      <c r="Q6" s="1" t="n">
        <v>45957.0578806748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t="inlineStr">
        <is>
          <t>ticker</t>
        </is>
      </c>
      <c r="B1" t="inlineStr">
        <is>
          <t>price</t>
        </is>
      </c>
      <c r="C1" t="inlineStr">
        <is>
          <t>change</t>
        </is>
      </c>
      <c r="D1" t="inlineStr">
        <is>
          <t>change_percent</t>
        </is>
      </c>
      <c r="E1" t="inlineStr">
        <is>
          <t>volume</t>
        </is>
      </c>
      <c r="F1" t="inlineStr">
        <is>
          <t>updated_at</t>
        </is>
      </c>
    </row>
    <row r="2">
      <c r="A2" t="inlineStr">
        <is>
          <t>NVDA</t>
        </is>
      </c>
      <c r="B2" t="n">
        <v>485</v>
      </c>
      <c r="C2" t="n">
        <v>5.2</v>
      </c>
      <c r="D2" t="n">
        <v>0.0108</v>
      </c>
      <c r="E2" t="n">
        <v>45000000</v>
      </c>
      <c r="F2" s="1" t="n">
        <v>45957.05788068013</v>
      </c>
    </row>
    <row r="3">
      <c r="A3" t="inlineStr">
        <is>
          <t>AAPL</t>
        </is>
      </c>
      <c r="B3" t="n">
        <v>175</v>
      </c>
      <c r="C3" t="n">
        <v>2.3</v>
      </c>
      <c r="D3" t="n">
        <v>0.0133</v>
      </c>
      <c r="E3" t="n">
        <v>52000000</v>
      </c>
      <c r="F3" s="1" t="n">
        <v>45957.05788068015</v>
      </c>
    </row>
    <row r="4">
      <c r="A4" t="inlineStr">
        <is>
          <t>MSFT</t>
        </is>
      </c>
      <c r="B4" t="n">
        <v>380</v>
      </c>
      <c r="C4" t="n">
        <v>4.1</v>
      </c>
      <c r="D4" t="n">
        <v>0.0109</v>
      </c>
      <c r="E4" t="n">
        <v>28000000</v>
      </c>
      <c r="F4" s="1" t="n">
        <v>45957.05788068015</v>
      </c>
    </row>
    <row r="5">
      <c r="A5" t="inlineStr">
        <is>
          <t>GOOGL</t>
        </is>
      </c>
      <c r="B5" t="n">
        <v>140</v>
      </c>
      <c r="C5" t="n">
        <v>1.8</v>
      </c>
      <c r="D5" t="n">
        <v>0.013</v>
      </c>
      <c r="E5" t="n">
        <v>31000000</v>
      </c>
      <c r="F5" s="1" t="n">
        <v>45957.05788068015</v>
      </c>
    </row>
    <row r="6">
      <c r="A6" t="inlineStr">
        <is>
          <t>TSLA</t>
        </is>
      </c>
      <c r="B6" t="n">
        <v>245</v>
      </c>
      <c r="C6" t="n">
        <v>-3.2</v>
      </c>
      <c r="D6" t="n">
        <v>-0.0129</v>
      </c>
      <c r="E6" t="n">
        <v>89000000</v>
      </c>
      <c r="F6" s="1" t="n">
        <v>45957.05788068016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</cols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market_regime</t>
        </is>
      </c>
      <c r="B2" t="inlineStr">
        <is>
          <t>bull</t>
        </is>
      </c>
    </row>
    <row r="3">
      <c r="A3" t="inlineStr">
        <is>
          <t>regime_confidence</t>
        </is>
      </c>
      <c r="B3" t="n">
        <v>0.85</v>
      </c>
    </row>
    <row r="4">
      <c r="A4" t="inlineStr">
        <is>
          <t>breadth_sma50</t>
        </is>
      </c>
      <c r="B4" t="n">
        <v>0.73</v>
      </c>
    </row>
    <row r="5">
      <c r="A5" t="inlineStr">
        <is>
          <t>breadth_sma200</t>
        </is>
      </c>
      <c r="B5" t="n">
        <v>0.65</v>
      </c>
    </row>
    <row r="6">
      <c r="A6" t="inlineStr">
        <is>
          <t>signals_count</t>
        </is>
      </c>
      <c r="B6" t="n">
        <v>247</v>
      </c>
    </row>
    <row r="7">
      <c r="A7" t="inlineStr">
        <is>
          <t>win_rate_30d</t>
        </is>
      </c>
      <c r="B7" t="n">
        <v>0.68</v>
      </c>
    </row>
    <row r="8">
      <c r="A8" t="inlineStr">
        <is>
          <t>avg_return_30d</t>
        </is>
      </c>
      <c r="B8" t="n">
        <v>0.082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5"/>
  <sheetViews>
    <sheetView workbookViewId="0">
      <selection activeCell="A1" sqref="A1"/>
    </sheetView>
  </sheetViews>
  <sheetFormatPr baseColWidth="8" defaultRowHeight="15"/>
  <cols>
    <col width="10" customWidth="1" min="1" max="1"/>
    <col width="18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>
      <c r="A1" s="2" t="inlineStr">
        <is>
          <t>INDICIUM SIGNALS
SignalsSheets™ - BASICO</t>
        </is>
      </c>
    </row>
    <row r="2"/>
    <row r="3"/>
    <row r="4">
      <c r="A4" s="3">
        <f>TEXT(NOW(),"DD MMM YYYY, HH:MM")&amp;" EST"</f>
        <v/>
      </c>
    </row>
    <row r="6">
      <c r="B6" s="4" t="n"/>
      <c r="C6" s="4" t="n"/>
      <c r="D6" s="4" t="n"/>
      <c r="F6" s="4" t="n"/>
      <c r="G6" s="4" t="n"/>
      <c r="H6" s="4" t="n"/>
      <c r="J6" s="4" t="n"/>
      <c r="K6" s="4" t="n"/>
      <c r="L6" s="4" t="n"/>
    </row>
    <row r="7">
      <c r="B7" s="4" t="n"/>
      <c r="C7" s="5" t="inlineStr">
        <is>
          <t>MARKET REGIME</t>
        </is>
      </c>
      <c r="D7" s="4" t="n"/>
      <c r="F7" s="4" t="n"/>
      <c r="G7" s="5" t="inlineStr">
        <is>
          <t>SIGNALS ACTIVAS</t>
        </is>
      </c>
      <c r="H7" s="4" t="n"/>
      <c r="J7" s="4" t="n"/>
      <c r="K7" s="5" t="inlineStr">
        <is>
          <t>WIN RATE</t>
        </is>
      </c>
      <c r="L7" s="4" t="n"/>
    </row>
    <row r="8">
      <c r="B8" s="4" t="n"/>
      <c r="C8" s="4" t="n"/>
      <c r="D8" s="4" t="n"/>
      <c r="F8" s="4" t="n"/>
      <c r="G8" s="4" t="n"/>
      <c r="H8" s="4" t="n"/>
      <c r="J8" s="4" t="n"/>
      <c r="K8" s="4" t="n"/>
      <c r="L8" s="4" t="n"/>
    </row>
    <row r="9">
      <c r="B9" s="4" t="n"/>
      <c r="C9" s="6">
        <f>IF(XLOOKUP("market_regime",tbl_Context[key],tbl_Context[value])="bull","🟢 BULL MARKET",IF(XLOOKUP("market_regime",tbl_Context[key],tbl_Context[value])="neutral","🟡 NEUTRAL","🔴 BEAR MARKET"))</f>
        <v/>
      </c>
      <c r="D9" s="4" t="n"/>
      <c r="F9" s="4" t="n"/>
      <c r="G9" s="6">
        <f>XLOOKUP("signals_count",tbl_Context[key],tbl_Context[value])</f>
        <v/>
      </c>
      <c r="H9" s="4" t="n"/>
      <c r="J9" s="4" t="n"/>
      <c r="K9" s="6">
        <f>TEXT(XLOOKUP("win_rate_30d",tbl_Context[key],tbl_Context[value]),"0%")</f>
        <v/>
      </c>
      <c r="L9" s="4" t="n"/>
    </row>
    <row r="10">
      <c r="B10" s="4" t="n"/>
      <c r="C10" s="7">
        <f>"Breadth: "&amp;TEXT(XLOOKUP("breadth_sma50",tbl_Context[key],tbl_Context[value]),"0%")</f>
        <v/>
      </c>
      <c r="D10" s="4" t="n"/>
      <c r="F10" s="4" t="n"/>
      <c r="G10" s="7" t="inlineStr">
        <is>
          <t>"en sistema"</t>
        </is>
      </c>
      <c r="H10" s="4" t="n"/>
      <c r="J10" s="4" t="n"/>
      <c r="K10" s="7" t="inlineStr">
        <is>
          <t>"(30 días)"</t>
        </is>
      </c>
      <c r="L10" s="4" t="n"/>
    </row>
    <row r="11">
      <c r="B11" s="4" t="n"/>
      <c r="C11" s="4" t="n"/>
      <c r="D11" s="4" t="n"/>
      <c r="F11" s="4" t="n"/>
      <c r="G11" s="4" t="n"/>
      <c r="H11" s="4" t="n"/>
      <c r="J11" s="4" t="n"/>
      <c r="K11" s="4" t="n"/>
      <c r="L11" s="4" t="n"/>
    </row>
    <row r="12">
      <c r="B12" s="4" t="n"/>
      <c r="C12" s="4" t="n"/>
      <c r="D12" s="4" t="n"/>
      <c r="F12" s="4" t="n"/>
      <c r="G12" s="7" t="inlineStr">
        <is>
          <t>"18 BUY hoy"</t>
        </is>
      </c>
      <c r="H12" s="4" t="n"/>
      <c r="J12" s="4" t="n"/>
      <c r="K12" s="7">
        <f>TEXT(XLOOKUP("avg_return_30d",tbl_Context[key],tbl_Context[value]),"+0.0%")</f>
        <v/>
      </c>
      <c r="L12" s="4" t="n"/>
    </row>
    <row r="16">
      <c r="A16" s="8" t="inlineStr">
        <is>
          <t>Ticker</t>
        </is>
      </c>
      <c r="B16" s="8" t="inlineStr">
        <is>
          <t>Company</t>
        </is>
      </c>
      <c r="C16" s="8" t="inlineStr">
        <is>
          <t>Signal</t>
        </is>
      </c>
      <c r="D16" s="8" t="inlineStr">
        <is>
          <t>Score</t>
        </is>
      </c>
      <c r="E16" s="8" t="inlineStr">
        <is>
          <t>Price</t>
        </is>
      </c>
      <c r="F16" s="8" t="inlineStr">
        <is>
          <t>Target</t>
        </is>
      </c>
      <c r="G16" s="8" t="inlineStr">
        <is>
          <t>Pot.%</t>
        </is>
      </c>
      <c r="H16" s="8" t="inlineStr">
        <is>
          <t>Broker</t>
        </is>
      </c>
    </row>
    <row r="18">
      <c r="A18">
        <f>INDEX(tbl_Signals[ticker],1)</f>
        <v/>
      </c>
      <c r="B18">
        <f>INDEX(tbl_Signals[company],1)</f>
        <v/>
      </c>
      <c r="C18">
        <f>INDEX(tbl_Signals[signal],1)</f>
        <v/>
      </c>
      <c r="D18">
        <f>INDEX(tbl_Signals[trinity_score],1)</f>
        <v/>
      </c>
      <c r="E18">
        <f>INDEX(tbl_Signals[price],1)</f>
        <v/>
      </c>
      <c r="F18">
        <f>INDEX(tbl_Signals[target],1)</f>
        <v/>
      </c>
      <c r="G18">
        <f>INDEX(tbl_Signals[potential_return],1)</f>
        <v/>
      </c>
      <c r="H18" t="inlineStr">
        <is>
          <t>IB →</t>
        </is>
      </c>
    </row>
    <row r="19">
      <c r="A19">
        <f>INDEX(tbl_Signals[ticker],2)</f>
        <v/>
      </c>
      <c r="B19">
        <f>INDEX(tbl_Signals[company],2)</f>
        <v/>
      </c>
      <c r="C19">
        <f>INDEX(tbl_Signals[signal],2)</f>
        <v/>
      </c>
      <c r="D19">
        <f>INDEX(tbl_Signals[trinity_score],2)</f>
        <v/>
      </c>
      <c r="E19">
        <f>INDEX(tbl_Signals[price],2)</f>
        <v/>
      </c>
      <c r="F19">
        <f>INDEX(tbl_Signals[target],2)</f>
        <v/>
      </c>
      <c r="G19">
        <f>INDEX(tbl_Signals[potential_return],2)</f>
        <v/>
      </c>
      <c r="H19" t="inlineStr">
        <is>
          <t>IB →</t>
        </is>
      </c>
    </row>
    <row r="20">
      <c r="A20">
        <f>INDEX(tbl_Signals[ticker],3)</f>
        <v/>
      </c>
      <c r="B20">
        <f>INDEX(tbl_Signals[company],3)</f>
        <v/>
      </c>
      <c r="C20">
        <f>INDEX(tbl_Signals[signal],3)</f>
        <v/>
      </c>
      <c r="D20">
        <f>INDEX(tbl_Signals[trinity_score],3)</f>
        <v/>
      </c>
      <c r="E20">
        <f>INDEX(tbl_Signals[price],3)</f>
        <v/>
      </c>
      <c r="F20">
        <f>INDEX(tbl_Signals[target],3)</f>
        <v/>
      </c>
      <c r="G20">
        <f>INDEX(tbl_Signals[potential_return],3)</f>
        <v/>
      </c>
      <c r="H20" t="inlineStr">
        <is>
          <t>IB →</t>
        </is>
      </c>
    </row>
    <row r="21">
      <c r="A21">
        <f>INDEX(tbl_Signals[ticker],4)</f>
        <v/>
      </c>
      <c r="B21">
        <f>INDEX(tbl_Signals[company],4)</f>
        <v/>
      </c>
      <c r="C21">
        <f>INDEX(tbl_Signals[signal],4)</f>
        <v/>
      </c>
      <c r="D21">
        <f>INDEX(tbl_Signals[trinity_score],4)</f>
        <v/>
      </c>
      <c r="E21">
        <f>INDEX(tbl_Signals[price],4)</f>
        <v/>
      </c>
      <c r="F21">
        <f>INDEX(tbl_Signals[target],4)</f>
        <v/>
      </c>
      <c r="G21">
        <f>INDEX(tbl_Signals[potential_return],4)</f>
        <v/>
      </c>
      <c r="H21" t="inlineStr">
        <is>
          <t>IB →</t>
        </is>
      </c>
    </row>
    <row r="22">
      <c r="A22">
        <f>INDEX(tbl_Signals[ticker],5)</f>
        <v/>
      </c>
      <c r="B22">
        <f>INDEX(tbl_Signals[company],5)</f>
        <v/>
      </c>
      <c r="C22">
        <f>INDEX(tbl_Signals[signal],5)</f>
        <v/>
      </c>
      <c r="D22">
        <f>INDEX(tbl_Signals[trinity_score],5)</f>
        <v/>
      </c>
      <c r="E22">
        <f>INDEX(tbl_Signals[price],5)</f>
        <v/>
      </c>
      <c r="F22">
        <f>INDEX(tbl_Signals[target],5)</f>
        <v/>
      </c>
      <c r="G22">
        <f>INDEX(tbl_Signals[potential_return],5)</f>
        <v/>
      </c>
      <c r="H22" t="inlineStr">
        <is>
          <t>IB →</t>
        </is>
      </c>
    </row>
    <row r="23">
      <c r="A23">
        <f>INDEX(tbl_Signals[ticker],6)</f>
        <v/>
      </c>
      <c r="B23">
        <f>INDEX(tbl_Signals[company],6)</f>
        <v/>
      </c>
      <c r="C23">
        <f>INDEX(tbl_Signals[signal],6)</f>
        <v/>
      </c>
      <c r="D23">
        <f>INDEX(tbl_Signals[trinity_score],6)</f>
        <v/>
      </c>
      <c r="E23">
        <f>INDEX(tbl_Signals[price],6)</f>
        <v/>
      </c>
      <c r="F23">
        <f>INDEX(tbl_Signals[target],6)</f>
        <v/>
      </c>
      <c r="G23">
        <f>INDEX(tbl_Signals[potential_return],6)</f>
        <v/>
      </c>
      <c r="H23" t="inlineStr">
        <is>
          <t>IB →</t>
        </is>
      </c>
    </row>
    <row r="24">
      <c r="A24">
        <f>INDEX(tbl_Signals[ticker],7)</f>
        <v/>
      </c>
      <c r="B24">
        <f>INDEX(tbl_Signals[company],7)</f>
        <v/>
      </c>
      <c r="C24">
        <f>INDEX(tbl_Signals[signal],7)</f>
        <v/>
      </c>
      <c r="D24">
        <f>INDEX(tbl_Signals[trinity_score],7)</f>
        <v/>
      </c>
      <c r="E24">
        <f>INDEX(tbl_Signals[price],7)</f>
        <v/>
      </c>
      <c r="F24">
        <f>INDEX(tbl_Signals[target],7)</f>
        <v/>
      </c>
      <c r="G24">
        <f>INDEX(tbl_Signals[potential_return],7)</f>
        <v/>
      </c>
      <c r="H24" t="inlineStr">
        <is>
          <t>IB →</t>
        </is>
      </c>
    </row>
    <row r="25">
      <c r="A25">
        <f>INDEX(tbl_Signals[ticker],8)</f>
        <v/>
      </c>
      <c r="B25">
        <f>INDEX(tbl_Signals[company],8)</f>
        <v/>
      </c>
      <c r="C25">
        <f>INDEX(tbl_Signals[signal],8)</f>
        <v/>
      </c>
      <c r="D25">
        <f>INDEX(tbl_Signals[trinity_score],8)</f>
        <v/>
      </c>
      <c r="E25">
        <f>INDEX(tbl_Signals[price],8)</f>
        <v/>
      </c>
      <c r="F25">
        <f>INDEX(tbl_Signals[target],8)</f>
        <v/>
      </c>
      <c r="G25">
        <f>INDEX(tbl_Signals[potential_return],8)</f>
        <v/>
      </c>
      <c r="H25" t="inlineStr">
        <is>
          <t>IB →</t>
        </is>
      </c>
    </row>
    <row r="26">
      <c r="A26">
        <f>INDEX(tbl_Signals[ticker],9)</f>
        <v/>
      </c>
      <c r="B26">
        <f>INDEX(tbl_Signals[company],9)</f>
        <v/>
      </c>
      <c r="C26">
        <f>INDEX(tbl_Signals[signal],9)</f>
        <v/>
      </c>
      <c r="D26">
        <f>INDEX(tbl_Signals[trinity_score],9)</f>
        <v/>
      </c>
      <c r="E26">
        <f>INDEX(tbl_Signals[price],9)</f>
        <v/>
      </c>
      <c r="F26">
        <f>INDEX(tbl_Signals[target],9)</f>
        <v/>
      </c>
      <c r="G26">
        <f>INDEX(tbl_Signals[potential_return],9)</f>
        <v/>
      </c>
      <c r="H26" t="inlineStr">
        <is>
          <t>IB →</t>
        </is>
      </c>
    </row>
    <row r="27">
      <c r="A27">
        <f>INDEX(tbl_Signals[ticker],10)</f>
        <v/>
      </c>
      <c r="B27">
        <f>INDEX(tbl_Signals[company],10)</f>
        <v/>
      </c>
      <c r="C27">
        <f>INDEX(tbl_Signals[signal],10)</f>
        <v/>
      </c>
      <c r="D27">
        <f>INDEX(tbl_Signals[trinity_score],10)</f>
        <v/>
      </c>
      <c r="E27">
        <f>INDEX(tbl_Signals[price],10)</f>
        <v/>
      </c>
      <c r="F27">
        <f>INDEX(tbl_Signals[target],10)</f>
        <v/>
      </c>
      <c r="G27">
        <f>INDEX(tbl_Signals[potential_return],10)</f>
        <v/>
      </c>
      <c r="H27" t="inlineStr">
        <is>
          <t>IB →</t>
        </is>
      </c>
    </row>
    <row r="45">
      <c r="A45" s="9" t="inlineStr">
        <is>
          <t>NOTA: Power Query debe agregarse manualmente. Ver guía Day1_FINAL para código de queries.</t>
        </is>
      </c>
    </row>
  </sheetData>
  <mergeCells count="1">
    <mergeCell ref="A1:P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5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8" customWidth="1" min="3" max="3"/>
    <col width="12" customWidth="1" min="4" max="4"/>
    <col width="10" customWidth="1" min="5" max="5"/>
    <col width="8" customWidth="1" min="6" max="6"/>
    <col width="8" customWidth="1" min="7" max="7"/>
    <col width="8" customWidth="1" min="8" max="8"/>
    <col width="20" customWidth="1" min="9" max="9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>
      <c r="A1" s="10" t="inlineStr">
        <is>
          <t>⭐ MI WATCHLIST</t>
        </is>
      </c>
    </row>
    <row r="2"/>
    <row r="3"/>
    <row r="5">
      <c r="A5" s="11" t="inlineStr">
        <is>
          <t>Instrucciones: Ingresa tickers en columna B (máx 25)</t>
        </is>
      </c>
    </row>
    <row r="6"/>
    <row r="8">
      <c r="A8" s="8" t="inlineStr">
        <is>
          <t>N°</t>
        </is>
      </c>
      <c r="B8" s="8" t="inlineStr">
        <is>
          <t>Ticker</t>
        </is>
      </c>
      <c r="C8" s="8" t="inlineStr">
        <is>
          <t>Company</t>
        </is>
      </c>
      <c r="D8" s="8" t="inlineStr">
        <is>
          <t>Sector</t>
        </is>
      </c>
      <c r="E8" s="8" t="inlineStr">
        <is>
          <t>Price</t>
        </is>
      </c>
      <c r="F8" s="8" t="inlineStr">
        <is>
          <t>Signal</t>
        </is>
      </c>
      <c r="G8" s="8" t="inlineStr">
        <is>
          <t>Score</t>
        </is>
      </c>
      <c r="H8" s="8" t="inlineStr">
        <is>
          <t>Trend</t>
        </is>
      </c>
      <c r="I8" s="8" t="inlineStr">
        <is>
          <t>Notas</t>
        </is>
      </c>
      <c r="J8" s="8" t="inlineStr">
        <is>
          <t>Entrada</t>
        </is>
      </c>
      <c r="K8" s="8" t="inlineStr">
        <is>
          <t>Stop</t>
        </is>
      </c>
      <c r="L8" s="8" t="inlineStr">
        <is>
          <t>Target</t>
        </is>
      </c>
      <c r="M8" s="8" t="inlineStr">
        <is>
          <t>P/L</t>
        </is>
      </c>
      <c r="N8" s="8" t="inlineStr">
        <is>
          <t>%Gain</t>
        </is>
      </c>
      <c r="O8" s="8" t="inlineStr">
        <is>
          <t>Días</t>
        </is>
      </c>
      <c r="P8" s="8" t="inlineStr">
        <is>
          <t>R/R</t>
        </is>
      </c>
      <c r="Q8" s="8" t="inlineStr">
        <is>
          <t>🗑️</t>
        </is>
      </c>
    </row>
    <row r="10">
      <c r="A10">
        <f>ROW()-9</f>
        <v/>
      </c>
      <c r="B10" s="12" t="n"/>
      <c r="C10">
        <f>IFERROR(XLOOKUP(B10,tbl_Signals[ticker],tbl_Signals[company]),"")</f>
        <v/>
      </c>
      <c r="D10">
        <f>IFERROR(XLOOKUP(B10,tbl_Signals[ticker],tbl_Signals[sector]),"")</f>
        <v/>
      </c>
      <c r="E10">
        <f>IFERROR(XLOOKUP(B10,tbl_Prices[ticker],tbl_Prices[price]),"")</f>
        <v/>
      </c>
      <c r="F10">
        <f>IFERROR(XLOOKUP(B10,tbl_Signals[ticker],tbl_Signals[signal]),"")</f>
        <v/>
      </c>
      <c r="G10">
        <f>IFERROR(XLOOKUP(B10,tbl_Signals[ticker],tbl_Signals[trinity_score]),"")</f>
        <v/>
      </c>
      <c r="H10" t="inlineStr">
        <is>
          <t>↗️</t>
        </is>
      </c>
      <c r="I10" s="12" t="n"/>
      <c r="K10" s="12" t="n"/>
      <c r="L10">
        <f>IF(K10&lt;&gt;"",K10*(1-0.025),"")</f>
        <v/>
      </c>
      <c r="M10">
        <f>IFERROR(XLOOKUP(B10,tbl_Signals[ticker],tbl_Signals[target]),"")</f>
        <v/>
      </c>
      <c r="N10">
        <f>IF(AND(E10&lt;&gt;"",K10&lt;&gt;""),(E10-K10)*100,"")</f>
        <v/>
      </c>
      <c r="O10" s="13">
        <f>IF(AND(E10&lt;&gt;"",K10&lt;&gt;""),(E10-K10)/K10,"")</f>
        <v/>
      </c>
      <c r="P10" t="inlineStr">
        <is>
          <t>""</t>
        </is>
      </c>
      <c r="Q10">
        <f>IF(AND(M10&lt;&gt;"",K10&lt;&gt;"",L10&lt;&gt;""),(M10-K10)/(K10-L10),"")</f>
        <v/>
      </c>
      <c r="R10" t="inlineStr">
        <is>
          <t>🗑️</t>
        </is>
      </c>
    </row>
    <row r="11">
      <c r="A11">
        <f>ROW()-9</f>
        <v/>
      </c>
      <c r="B11" s="12" t="n"/>
      <c r="C11">
        <f>IFERROR(XLOOKUP(B11,tbl_Signals[ticker],tbl_Signals[company]),"")</f>
        <v/>
      </c>
      <c r="D11">
        <f>IFERROR(XLOOKUP(B11,tbl_Signals[ticker],tbl_Signals[sector]),"")</f>
        <v/>
      </c>
      <c r="E11">
        <f>IFERROR(XLOOKUP(B11,tbl_Prices[ticker],tbl_Prices[price]),"")</f>
        <v/>
      </c>
      <c r="F11">
        <f>IFERROR(XLOOKUP(B11,tbl_Signals[ticker],tbl_Signals[signal]),"")</f>
        <v/>
      </c>
      <c r="G11">
        <f>IFERROR(XLOOKUP(B11,tbl_Signals[ticker],tbl_Signals[trinity_score]),"")</f>
        <v/>
      </c>
      <c r="H11" t="inlineStr">
        <is>
          <t>↗️</t>
        </is>
      </c>
      <c r="I11" s="12" t="n"/>
      <c r="K11" s="12" t="n"/>
      <c r="L11">
        <f>IF(K11&lt;&gt;"",K11*(1-0.025),"")</f>
        <v/>
      </c>
      <c r="M11">
        <f>IFERROR(XLOOKUP(B11,tbl_Signals[ticker],tbl_Signals[target]),"")</f>
        <v/>
      </c>
      <c r="N11">
        <f>IF(AND(E11&lt;&gt;"",K11&lt;&gt;""),(E11-K11)*100,"")</f>
        <v/>
      </c>
      <c r="O11" s="13">
        <f>IF(AND(E11&lt;&gt;"",K11&lt;&gt;""),(E11-K11)/K11,"")</f>
        <v/>
      </c>
      <c r="P11" t="inlineStr">
        <is>
          <t>""</t>
        </is>
      </c>
      <c r="Q11">
        <f>IF(AND(M11&lt;&gt;"",K11&lt;&gt;"",L11&lt;&gt;""),(M11-K11)/(K11-L11),"")</f>
        <v/>
      </c>
      <c r="R11" t="inlineStr">
        <is>
          <t>🗑️</t>
        </is>
      </c>
    </row>
    <row r="12">
      <c r="A12">
        <f>ROW()-9</f>
        <v/>
      </c>
      <c r="B12" s="12" t="n"/>
      <c r="C12">
        <f>IFERROR(XLOOKUP(B12,tbl_Signals[ticker],tbl_Signals[company]),"")</f>
        <v/>
      </c>
      <c r="D12">
        <f>IFERROR(XLOOKUP(B12,tbl_Signals[ticker],tbl_Signals[sector]),"")</f>
        <v/>
      </c>
      <c r="E12">
        <f>IFERROR(XLOOKUP(B12,tbl_Prices[ticker],tbl_Prices[price]),"")</f>
        <v/>
      </c>
      <c r="F12">
        <f>IFERROR(XLOOKUP(B12,tbl_Signals[ticker],tbl_Signals[signal]),"")</f>
        <v/>
      </c>
      <c r="G12">
        <f>IFERROR(XLOOKUP(B12,tbl_Signals[ticker],tbl_Signals[trinity_score]),"")</f>
        <v/>
      </c>
      <c r="H12" t="inlineStr">
        <is>
          <t>↗️</t>
        </is>
      </c>
      <c r="I12" s="12" t="n"/>
      <c r="K12" s="12" t="n"/>
      <c r="L12">
        <f>IF(K12&lt;&gt;"",K12*(1-0.025),"")</f>
        <v/>
      </c>
      <c r="M12">
        <f>IFERROR(XLOOKUP(B12,tbl_Signals[ticker],tbl_Signals[target]),"")</f>
        <v/>
      </c>
      <c r="N12">
        <f>IF(AND(E12&lt;&gt;"",K12&lt;&gt;""),(E12-K12)*100,"")</f>
        <v/>
      </c>
      <c r="O12" s="13">
        <f>IF(AND(E12&lt;&gt;"",K12&lt;&gt;""),(E12-K12)/K12,"")</f>
        <v/>
      </c>
      <c r="P12" t="inlineStr">
        <is>
          <t>""</t>
        </is>
      </c>
      <c r="Q12">
        <f>IF(AND(M12&lt;&gt;"",K12&lt;&gt;"",L12&lt;&gt;""),(M12-K12)/(K12-L12),"")</f>
        <v/>
      </c>
      <c r="R12" t="inlineStr">
        <is>
          <t>🗑️</t>
        </is>
      </c>
    </row>
    <row r="13">
      <c r="A13">
        <f>ROW()-9</f>
        <v/>
      </c>
      <c r="B13" s="12" t="n"/>
      <c r="C13">
        <f>IFERROR(XLOOKUP(B13,tbl_Signals[ticker],tbl_Signals[company]),"")</f>
        <v/>
      </c>
      <c r="D13">
        <f>IFERROR(XLOOKUP(B13,tbl_Signals[ticker],tbl_Signals[sector]),"")</f>
        <v/>
      </c>
      <c r="E13">
        <f>IFERROR(XLOOKUP(B13,tbl_Prices[ticker],tbl_Prices[price]),"")</f>
        <v/>
      </c>
      <c r="F13">
        <f>IFERROR(XLOOKUP(B13,tbl_Signals[ticker],tbl_Signals[signal]),"")</f>
        <v/>
      </c>
      <c r="G13">
        <f>IFERROR(XLOOKUP(B13,tbl_Signals[ticker],tbl_Signals[trinity_score]),"")</f>
        <v/>
      </c>
      <c r="H13" t="inlineStr">
        <is>
          <t>↗️</t>
        </is>
      </c>
      <c r="I13" s="12" t="n"/>
      <c r="K13" s="12" t="n"/>
      <c r="L13">
        <f>IF(K13&lt;&gt;"",K13*(1-0.025),"")</f>
        <v/>
      </c>
      <c r="M13">
        <f>IFERROR(XLOOKUP(B13,tbl_Signals[ticker],tbl_Signals[target]),"")</f>
        <v/>
      </c>
      <c r="N13">
        <f>IF(AND(E13&lt;&gt;"",K13&lt;&gt;""),(E13-K13)*100,"")</f>
        <v/>
      </c>
      <c r="O13" s="13">
        <f>IF(AND(E13&lt;&gt;"",K13&lt;&gt;""),(E13-K13)/K13,"")</f>
        <v/>
      </c>
      <c r="P13" t="inlineStr">
        <is>
          <t>""</t>
        </is>
      </c>
      <c r="Q13">
        <f>IF(AND(M13&lt;&gt;"",K13&lt;&gt;"",L13&lt;&gt;""),(M13-K13)/(K13-L13),"")</f>
        <v/>
      </c>
      <c r="R13" t="inlineStr">
        <is>
          <t>🗑️</t>
        </is>
      </c>
    </row>
    <row r="14">
      <c r="A14">
        <f>ROW()-9</f>
        <v/>
      </c>
      <c r="B14" s="12" t="n"/>
      <c r="C14">
        <f>IFERROR(XLOOKUP(B14,tbl_Signals[ticker],tbl_Signals[company]),"")</f>
        <v/>
      </c>
      <c r="D14">
        <f>IFERROR(XLOOKUP(B14,tbl_Signals[ticker],tbl_Signals[sector]),"")</f>
        <v/>
      </c>
      <c r="E14">
        <f>IFERROR(XLOOKUP(B14,tbl_Prices[ticker],tbl_Prices[price]),"")</f>
        <v/>
      </c>
      <c r="F14">
        <f>IFERROR(XLOOKUP(B14,tbl_Signals[ticker],tbl_Signals[signal]),"")</f>
        <v/>
      </c>
      <c r="G14">
        <f>IFERROR(XLOOKUP(B14,tbl_Signals[ticker],tbl_Signals[trinity_score]),"")</f>
        <v/>
      </c>
      <c r="H14" t="inlineStr">
        <is>
          <t>↗️</t>
        </is>
      </c>
      <c r="I14" s="12" t="n"/>
      <c r="K14" s="12" t="n"/>
      <c r="L14">
        <f>IF(K14&lt;&gt;"",K14*(1-0.025),"")</f>
        <v/>
      </c>
      <c r="M14">
        <f>IFERROR(XLOOKUP(B14,tbl_Signals[ticker],tbl_Signals[target]),"")</f>
        <v/>
      </c>
      <c r="N14">
        <f>IF(AND(E14&lt;&gt;"",K14&lt;&gt;""),(E14-K14)*100,"")</f>
        <v/>
      </c>
      <c r="O14" s="13">
        <f>IF(AND(E14&lt;&gt;"",K14&lt;&gt;""),(E14-K14)/K14,"")</f>
        <v/>
      </c>
      <c r="P14" t="inlineStr">
        <is>
          <t>""</t>
        </is>
      </c>
      <c r="Q14">
        <f>IF(AND(M14&lt;&gt;"",K14&lt;&gt;"",L14&lt;&gt;""),(M14-K14)/(K14-L14),"")</f>
        <v/>
      </c>
      <c r="R14" t="inlineStr">
        <is>
          <t>🗑️</t>
        </is>
      </c>
    </row>
    <row r="15">
      <c r="A15">
        <f>ROW()-9</f>
        <v/>
      </c>
      <c r="B15" s="12" t="n"/>
      <c r="C15">
        <f>IFERROR(XLOOKUP(B15,tbl_Signals[ticker],tbl_Signals[company]),"")</f>
        <v/>
      </c>
      <c r="D15">
        <f>IFERROR(XLOOKUP(B15,tbl_Signals[ticker],tbl_Signals[sector]),"")</f>
        <v/>
      </c>
      <c r="E15">
        <f>IFERROR(XLOOKUP(B15,tbl_Prices[ticker],tbl_Prices[price]),"")</f>
        <v/>
      </c>
      <c r="F15">
        <f>IFERROR(XLOOKUP(B15,tbl_Signals[ticker],tbl_Signals[signal]),"")</f>
        <v/>
      </c>
      <c r="G15">
        <f>IFERROR(XLOOKUP(B15,tbl_Signals[ticker],tbl_Signals[trinity_score]),"")</f>
        <v/>
      </c>
      <c r="H15" t="inlineStr">
        <is>
          <t>↗️</t>
        </is>
      </c>
      <c r="I15" s="12" t="n"/>
      <c r="K15" s="12" t="n"/>
      <c r="L15">
        <f>IF(K15&lt;&gt;"",K15*(1-0.025),"")</f>
        <v/>
      </c>
      <c r="M15">
        <f>IFERROR(XLOOKUP(B15,tbl_Signals[ticker],tbl_Signals[target]),"")</f>
        <v/>
      </c>
      <c r="N15">
        <f>IF(AND(E15&lt;&gt;"",K15&lt;&gt;""),(E15-K15)*100,"")</f>
        <v/>
      </c>
      <c r="O15" s="13">
        <f>IF(AND(E15&lt;&gt;"",K15&lt;&gt;""),(E15-K15)/K15,"")</f>
        <v/>
      </c>
      <c r="P15" t="inlineStr">
        <is>
          <t>""</t>
        </is>
      </c>
      <c r="Q15">
        <f>IF(AND(M15&lt;&gt;"",K15&lt;&gt;"",L15&lt;&gt;""),(M15-K15)/(K15-L15),"")</f>
        <v/>
      </c>
      <c r="R15" t="inlineStr">
        <is>
          <t>🗑️</t>
        </is>
      </c>
    </row>
    <row r="16">
      <c r="A16">
        <f>ROW()-9</f>
        <v/>
      </c>
      <c r="B16" s="12" t="n"/>
      <c r="C16">
        <f>IFERROR(XLOOKUP(B16,tbl_Signals[ticker],tbl_Signals[company]),"")</f>
        <v/>
      </c>
      <c r="D16">
        <f>IFERROR(XLOOKUP(B16,tbl_Signals[ticker],tbl_Signals[sector]),"")</f>
        <v/>
      </c>
      <c r="E16">
        <f>IFERROR(XLOOKUP(B16,tbl_Prices[ticker],tbl_Prices[price]),"")</f>
        <v/>
      </c>
      <c r="F16">
        <f>IFERROR(XLOOKUP(B16,tbl_Signals[ticker],tbl_Signals[signal]),"")</f>
        <v/>
      </c>
      <c r="G16">
        <f>IFERROR(XLOOKUP(B16,tbl_Signals[ticker],tbl_Signals[trinity_score]),"")</f>
        <v/>
      </c>
      <c r="H16" t="inlineStr">
        <is>
          <t>↗️</t>
        </is>
      </c>
      <c r="I16" s="12" t="n"/>
      <c r="K16" s="12" t="n"/>
      <c r="L16">
        <f>IF(K16&lt;&gt;"",K16*(1-0.025),"")</f>
        <v/>
      </c>
      <c r="M16">
        <f>IFERROR(XLOOKUP(B16,tbl_Signals[ticker],tbl_Signals[target]),"")</f>
        <v/>
      </c>
      <c r="N16">
        <f>IF(AND(E16&lt;&gt;"",K16&lt;&gt;""),(E16-K16)*100,"")</f>
        <v/>
      </c>
      <c r="O16" s="13">
        <f>IF(AND(E16&lt;&gt;"",K16&lt;&gt;""),(E16-K16)/K16,"")</f>
        <v/>
      </c>
      <c r="P16" t="inlineStr">
        <is>
          <t>""</t>
        </is>
      </c>
      <c r="Q16">
        <f>IF(AND(M16&lt;&gt;"",K16&lt;&gt;"",L16&lt;&gt;""),(M16-K16)/(K16-L16),"")</f>
        <v/>
      </c>
      <c r="R16" t="inlineStr">
        <is>
          <t>🗑️</t>
        </is>
      </c>
    </row>
    <row r="17">
      <c r="A17">
        <f>ROW()-9</f>
        <v/>
      </c>
      <c r="B17" s="12" t="n"/>
      <c r="C17">
        <f>IFERROR(XLOOKUP(B17,tbl_Signals[ticker],tbl_Signals[company]),"")</f>
        <v/>
      </c>
      <c r="D17">
        <f>IFERROR(XLOOKUP(B17,tbl_Signals[ticker],tbl_Signals[sector]),"")</f>
        <v/>
      </c>
      <c r="E17">
        <f>IFERROR(XLOOKUP(B17,tbl_Prices[ticker],tbl_Prices[price]),"")</f>
        <v/>
      </c>
      <c r="F17">
        <f>IFERROR(XLOOKUP(B17,tbl_Signals[ticker],tbl_Signals[signal]),"")</f>
        <v/>
      </c>
      <c r="G17">
        <f>IFERROR(XLOOKUP(B17,tbl_Signals[ticker],tbl_Signals[trinity_score]),"")</f>
        <v/>
      </c>
      <c r="H17" t="inlineStr">
        <is>
          <t>↗️</t>
        </is>
      </c>
      <c r="I17" s="12" t="n"/>
      <c r="K17" s="12" t="n"/>
      <c r="L17">
        <f>IF(K17&lt;&gt;"",K17*(1-0.025),"")</f>
        <v/>
      </c>
      <c r="M17">
        <f>IFERROR(XLOOKUP(B17,tbl_Signals[ticker],tbl_Signals[target]),"")</f>
        <v/>
      </c>
      <c r="N17">
        <f>IF(AND(E17&lt;&gt;"",K17&lt;&gt;""),(E17-K17)*100,"")</f>
        <v/>
      </c>
      <c r="O17" s="13">
        <f>IF(AND(E17&lt;&gt;"",K17&lt;&gt;""),(E17-K17)/K17,"")</f>
        <v/>
      </c>
      <c r="P17" t="inlineStr">
        <is>
          <t>""</t>
        </is>
      </c>
      <c r="Q17">
        <f>IF(AND(M17&lt;&gt;"",K17&lt;&gt;"",L17&lt;&gt;""),(M17-K17)/(K17-L17),"")</f>
        <v/>
      </c>
      <c r="R17" t="inlineStr">
        <is>
          <t>🗑️</t>
        </is>
      </c>
    </row>
    <row r="18">
      <c r="A18">
        <f>ROW()-9</f>
        <v/>
      </c>
      <c r="B18" s="12" t="n"/>
      <c r="C18">
        <f>IFERROR(XLOOKUP(B18,tbl_Signals[ticker],tbl_Signals[company]),"")</f>
        <v/>
      </c>
      <c r="D18">
        <f>IFERROR(XLOOKUP(B18,tbl_Signals[ticker],tbl_Signals[sector]),"")</f>
        <v/>
      </c>
      <c r="E18">
        <f>IFERROR(XLOOKUP(B18,tbl_Prices[ticker],tbl_Prices[price]),"")</f>
        <v/>
      </c>
      <c r="F18">
        <f>IFERROR(XLOOKUP(B18,tbl_Signals[ticker],tbl_Signals[signal]),"")</f>
        <v/>
      </c>
      <c r="G18">
        <f>IFERROR(XLOOKUP(B18,tbl_Signals[ticker],tbl_Signals[trinity_score]),"")</f>
        <v/>
      </c>
      <c r="H18" t="inlineStr">
        <is>
          <t>↗️</t>
        </is>
      </c>
      <c r="I18" s="12" t="n"/>
      <c r="K18" s="12" t="n"/>
      <c r="L18">
        <f>IF(K18&lt;&gt;"",K18*(1-0.025),"")</f>
        <v/>
      </c>
      <c r="M18">
        <f>IFERROR(XLOOKUP(B18,tbl_Signals[ticker],tbl_Signals[target]),"")</f>
        <v/>
      </c>
      <c r="N18">
        <f>IF(AND(E18&lt;&gt;"",K18&lt;&gt;""),(E18-K18)*100,"")</f>
        <v/>
      </c>
      <c r="O18" s="13">
        <f>IF(AND(E18&lt;&gt;"",K18&lt;&gt;""),(E18-K18)/K18,"")</f>
        <v/>
      </c>
      <c r="P18" t="inlineStr">
        <is>
          <t>""</t>
        </is>
      </c>
      <c r="Q18">
        <f>IF(AND(M18&lt;&gt;"",K18&lt;&gt;"",L18&lt;&gt;""),(M18-K18)/(K18-L18),"")</f>
        <v/>
      </c>
      <c r="R18" t="inlineStr">
        <is>
          <t>🗑️</t>
        </is>
      </c>
    </row>
    <row r="19">
      <c r="A19">
        <f>ROW()-9</f>
        <v/>
      </c>
      <c r="B19" s="12" t="n"/>
      <c r="C19">
        <f>IFERROR(XLOOKUP(B19,tbl_Signals[ticker],tbl_Signals[company]),"")</f>
        <v/>
      </c>
      <c r="D19">
        <f>IFERROR(XLOOKUP(B19,tbl_Signals[ticker],tbl_Signals[sector]),"")</f>
        <v/>
      </c>
      <c r="E19">
        <f>IFERROR(XLOOKUP(B19,tbl_Prices[ticker],tbl_Prices[price]),"")</f>
        <v/>
      </c>
      <c r="F19">
        <f>IFERROR(XLOOKUP(B19,tbl_Signals[ticker],tbl_Signals[signal]),"")</f>
        <v/>
      </c>
      <c r="G19">
        <f>IFERROR(XLOOKUP(B19,tbl_Signals[ticker],tbl_Signals[trinity_score]),"")</f>
        <v/>
      </c>
      <c r="H19" t="inlineStr">
        <is>
          <t>↗️</t>
        </is>
      </c>
      <c r="I19" s="12" t="n"/>
      <c r="K19" s="12" t="n"/>
      <c r="L19">
        <f>IF(K19&lt;&gt;"",K19*(1-0.025),"")</f>
        <v/>
      </c>
      <c r="M19">
        <f>IFERROR(XLOOKUP(B19,tbl_Signals[ticker],tbl_Signals[target]),"")</f>
        <v/>
      </c>
      <c r="N19">
        <f>IF(AND(E19&lt;&gt;"",K19&lt;&gt;""),(E19-K19)*100,"")</f>
        <v/>
      </c>
      <c r="O19" s="13">
        <f>IF(AND(E19&lt;&gt;"",K19&lt;&gt;""),(E19-K19)/K19,"")</f>
        <v/>
      </c>
      <c r="P19" t="inlineStr">
        <is>
          <t>""</t>
        </is>
      </c>
      <c r="Q19">
        <f>IF(AND(M19&lt;&gt;"",K19&lt;&gt;"",L19&lt;&gt;""),(M19-K19)/(K19-L19),"")</f>
        <v/>
      </c>
      <c r="R19" t="inlineStr">
        <is>
          <t>🗑️</t>
        </is>
      </c>
    </row>
    <row r="20">
      <c r="A20">
        <f>ROW()-9</f>
        <v/>
      </c>
      <c r="B20" s="12" t="n"/>
      <c r="C20">
        <f>IFERROR(XLOOKUP(B20,tbl_Signals[ticker],tbl_Signals[company]),"")</f>
        <v/>
      </c>
      <c r="D20">
        <f>IFERROR(XLOOKUP(B20,tbl_Signals[ticker],tbl_Signals[sector]),"")</f>
        <v/>
      </c>
      <c r="E20">
        <f>IFERROR(XLOOKUP(B20,tbl_Prices[ticker],tbl_Prices[price]),"")</f>
        <v/>
      </c>
      <c r="F20">
        <f>IFERROR(XLOOKUP(B20,tbl_Signals[ticker],tbl_Signals[signal]),"")</f>
        <v/>
      </c>
      <c r="G20">
        <f>IFERROR(XLOOKUP(B20,tbl_Signals[ticker],tbl_Signals[trinity_score]),"")</f>
        <v/>
      </c>
      <c r="H20" t="inlineStr">
        <is>
          <t>↗️</t>
        </is>
      </c>
      <c r="I20" s="12" t="n"/>
      <c r="K20" s="12" t="n"/>
      <c r="L20">
        <f>IF(K20&lt;&gt;"",K20*(1-0.025),"")</f>
        <v/>
      </c>
      <c r="M20">
        <f>IFERROR(XLOOKUP(B20,tbl_Signals[ticker],tbl_Signals[target]),"")</f>
        <v/>
      </c>
      <c r="N20">
        <f>IF(AND(E20&lt;&gt;"",K20&lt;&gt;""),(E20-K20)*100,"")</f>
        <v/>
      </c>
      <c r="O20" s="13">
        <f>IF(AND(E20&lt;&gt;"",K20&lt;&gt;""),(E20-K20)/K20,"")</f>
        <v/>
      </c>
      <c r="P20" t="inlineStr">
        <is>
          <t>""</t>
        </is>
      </c>
      <c r="Q20">
        <f>IF(AND(M20&lt;&gt;"",K20&lt;&gt;"",L20&lt;&gt;""),(M20-K20)/(K20-L20),"")</f>
        <v/>
      </c>
      <c r="R20" t="inlineStr">
        <is>
          <t>🗑️</t>
        </is>
      </c>
    </row>
    <row r="21">
      <c r="A21">
        <f>ROW()-9</f>
        <v/>
      </c>
      <c r="B21" s="12" t="n"/>
      <c r="C21">
        <f>IFERROR(XLOOKUP(B21,tbl_Signals[ticker],tbl_Signals[company]),"")</f>
        <v/>
      </c>
      <c r="D21">
        <f>IFERROR(XLOOKUP(B21,tbl_Signals[ticker],tbl_Signals[sector]),"")</f>
        <v/>
      </c>
      <c r="E21">
        <f>IFERROR(XLOOKUP(B21,tbl_Prices[ticker],tbl_Prices[price]),"")</f>
        <v/>
      </c>
      <c r="F21">
        <f>IFERROR(XLOOKUP(B21,tbl_Signals[ticker],tbl_Signals[signal]),"")</f>
        <v/>
      </c>
      <c r="G21">
        <f>IFERROR(XLOOKUP(B21,tbl_Signals[ticker],tbl_Signals[trinity_score]),"")</f>
        <v/>
      </c>
      <c r="H21" t="inlineStr">
        <is>
          <t>↗️</t>
        </is>
      </c>
      <c r="I21" s="12" t="n"/>
      <c r="K21" s="12" t="n"/>
      <c r="L21">
        <f>IF(K21&lt;&gt;"",K21*(1-0.025),"")</f>
        <v/>
      </c>
      <c r="M21">
        <f>IFERROR(XLOOKUP(B21,tbl_Signals[ticker],tbl_Signals[target]),"")</f>
        <v/>
      </c>
      <c r="N21">
        <f>IF(AND(E21&lt;&gt;"",K21&lt;&gt;""),(E21-K21)*100,"")</f>
        <v/>
      </c>
      <c r="O21" s="13">
        <f>IF(AND(E21&lt;&gt;"",K21&lt;&gt;""),(E21-K21)/K21,"")</f>
        <v/>
      </c>
      <c r="P21" t="inlineStr">
        <is>
          <t>""</t>
        </is>
      </c>
      <c r="Q21">
        <f>IF(AND(M21&lt;&gt;"",K21&lt;&gt;"",L21&lt;&gt;""),(M21-K21)/(K21-L21),"")</f>
        <v/>
      </c>
      <c r="R21" t="inlineStr">
        <is>
          <t>🗑️</t>
        </is>
      </c>
    </row>
    <row r="22">
      <c r="A22">
        <f>ROW()-9</f>
        <v/>
      </c>
      <c r="B22" s="12" t="n"/>
      <c r="C22">
        <f>IFERROR(XLOOKUP(B22,tbl_Signals[ticker],tbl_Signals[company]),"")</f>
        <v/>
      </c>
      <c r="D22">
        <f>IFERROR(XLOOKUP(B22,tbl_Signals[ticker],tbl_Signals[sector]),"")</f>
        <v/>
      </c>
      <c r="E22">
        <f>IFERROR(XLOOKUP(B22,tbl_Prices[ticker],tbl_Prices[price]),"")</f>
        <v/>
      </c>
      <c r="F22">
        <f>IFERROR(XLOOKUP(B22,tbl_Signals[ticker],tbl_Signals[signal]),"")</f>
        <v/>
      </c>
      <c r="G22">
        <f>IFERROR(XLOOKUP(B22,tbl_Signals[ticker],tbl_Signals[trinity_score]),"")</f>
        <v/>
      </c>
      <c r="H22" t="inlineStr">
        <is>
          <t>↗️</t>
        </is>
      </c>
      <c r="I22" s="12" t="n"/>
      <c r="K22" s="12" t="n"/>
      <c r="L22">
        <f>IF(K22&lt;&gt;"",K22*(1-0.025),"")</f>
        <v/>
      </c>
      <c r="M22">
        <f>IFERROR(XLOOKUP(B22,tbl_Signals[ticker],tbl_Signals[target]),"")</f>
        <v/>
      </c>
      <c r="N22">
        <f>IF(AND(E22&lt;&gt;"",K22&lt;&gt;""),(E22-K22)*100,"")</f>
        <v/>
      </c>
      <c r="O22" s="13">
        <f>IF(AND(E22&lt;&gt;"",K22&lt;&gt;""),(E22-K22)/K22,"")</f>
        <v/>
      </c>
      <c r="P22" t="inlineStr">
        <is>
          <t>""</t>
        </is>
      </c>
      <c r="Q22">
        <f>IF(AND(M22&lt;&gt;"",K22&lt;&gt;"",L22&lt;&gt;""),(M22-K22)/(K22-L22),"")</f>
        <v/>
      </c>
      <c r="R22" t="inlineStr">
        <is>
          <t>🗑️</t>
        </is>
      </c>
    </row>
    <row r="23">
      <c r="A23">
        <f>ROW()-9</f>
        <v/>
      </c>
      <c r="B23" s="12" t="n"/>
      <c r="C23">
        <f>IFERROR(XLOOKUP(B23,tbl_Signals[ticker],tbl_Signals[company]),"")</f>
        <v/>
      </c>
      <c r="D23">
        <f>IFERROR(XLOOKUP(B23,tbl_Signals[ticker],tbl_Signals[sector]),"")</f>
        <v/>
      </c>
      <c r="E23">
        <f>IFERROR(XLOOKUP(B23,tbl_Prices[ticker],tbl_Prices[price]),"")</f>
        <v/>
      </c>
      <c r="F23">
        <f>IFERROR(XLOOKUP(B23,tbl_Signals[ticker],tbl_Signals[signal]),"")</f>
        <v/>
      </c>
      <c r="G23">
        <f>IFERROR(XLOOKUP(B23,tbl_Signals[ticker],tbl_Signals[trinity_score]),"")</f>
        <v/>
      </c>
      <c r="H23" t="inlineStr">
        <is>
          <t>↗️</t>
        </is>
      </c>
      <c r="I23" s="12" t="n"/>
      <c r="K23" s="12" t="n"/>
      <c r="L23">
        <f>IF(K23&lt;&gt;"",K23*(1-0.025),"")</f>
        <v/>
      </c>
      <c r="M23">
        <f>IFERROR(XLOOKUP(B23,tbl_Signals[ticker],tbl_Signals[target]),"")</f>
        <v/>
      </c>
      <c r="N23">
        <f>IF(AND(E23&lt;&gt;"",K23&lt;&gt;""),(E23-K23)*100,"")</f>
        <v/>
      </c>
      <c r="O23" s="13">
        <f>IF(AND(E23&lt;&gt;"",K23&lt;&gt;""),(E23-K23)/K23,"")</f>
        <v/>
      </c>
      <c r="P23" t="inlineStr">
        <is>
          <t>""</t>
        </is>
      </c>
      <c r="Q23">
        <f>IF(AND(M23&lt;&gt;"",K23&lt;&gt;"",L23&lt;&gt;""),(M23-K23)/(K23-L23),"")</f>
        <v/>
      </c>
      <c r="R23" t="inlineStr">
        <is>
          <t>🗑️</t>
        </is>
      </c>
    </row>
    <row r="24">
      <c r="A24">
        <f>ROW()-9</f>
        <v/>
      </c>
      <c r="B24" s="12" t="n"/>
      <c r="C24">
        <f>IFERROR(XLOOKUP(B24,tbl_Signals[ticker],tbl_Signals[company]),"")</f>
        <v/>
      </c>
      <c r="D24">
        <f>IFERROR(XLOOKUP(B24,tbl_Signals[ticker],tbl_Signals[sector]),"")</f>
        <v/>
      </c>
      <c r="E24">
        <f>IFERROR(XLOOKUP(B24,tbl_Prices[ticker],tbl_Prices[price]),"")</f>
        <v/>
      </c>
      <c r="F24">
        <f>IFERROR(XLOOKUP(B24,tbl_Signals[ticker],tbl_Signals[signal]),"")</f>
        <v/>
      </c>
      <c r="G24">
        <f>IFERROR(XLOOKUP(B24,tbl_Signals[ticker],tbl_Signals[trinity_score]),"")</f>
        <v/>
      </c>
      <c r="H24" t="inlineStr">
        <is>
          <t>↗️</t>
        </is>
      </c>
      <c r="I24" s="12" t="n"/>
      <c r="K24" s="12" t="n"/>
      <c r="L24">
        <f>IF(K24&lt;&gt;"",K24*(1-0.025),"")</f>
        <v/>
      </c>
      <c r="M24">
        <f>IFERROR(XLOOKUP(B24,tbl_Signals[ticker],tbl_Signals[target]),"")</f>
        <v/>
      </c>
      <c r="N24">
        <f>IF(AND(E24&lt;&gt;"",K24&lt;&gt;""),(E24-K24)*100,"")</f>
        <v/>
      </c>
      <c r="O24" s="13">
        <f>IF(AND(E24&lt;&gt;"",K24&lt;&gt;""),(E24-K24)/K24,"")</f>
        <v/>
      </c>
      <c r="P24" t="inlineStr">
        <is>
          <t>""</t>
        </is>
      </c>
      <c r="Q24">
        <f>IF(AND(M24&lt;&gt;"",K24&lt;&gt;"",L24&lt;&gt;""),(M24-K24)/(K24-L24),"")</f>
        <v/>
      </c>
      <c r="R24" t="inlineStr">
        <is>
          <t>🗑️</t>
        </is>
      </c>
    </row>
    <row r="25">
      <c r="A25">
        <f>ROW()-9</f>
        <v/>
      </c>
      <c r="B25" s="12" t="n"/>
      <c r="C25">
        <f>IFERROR(XLOOKUP(B25,tbl_Signals[ticker],tbl_Signals[company]),"")</f>
        <v/>
      </c>
      <c r="D25">
        <f>IFERROR(XLOOKUP(B25,tbl_Signals[ticker],tbl_Signals[sector]),"")</f>
        <v/>
      </c>
      <c r="E25">
        <f>IFERROR(XLOOKUP(B25,tbl_Prices[ticker],tbl_Prices[price]),"")</f>
        <v/>
      </c>
      <c r="F25">
        <f>IFERROR(XLOOKUP(B25,tbl_Signals[ticker],tbl_Signals[signal]),"")</f>
        <v/>
      </c>
      <c r="G25">
        <f>IFERROR(XLOOKUP(B25,tbl_Signals[ticker],tbl_Signals[trinity_score]),"")</f>
        <v/>
      </c>
      <c r="H25" t="inlineStr">
        <is>
          <t>↗️</t>
        </is>
      </c>
      <c r="I25" s="12" t="n"/>
      <c r="K25" s="12" t="n"/>
      <c r="L25">
        <f>IF(K25&lt;&gt;"",K25*(1-0.025),"")</f>
        <v/>
      </c>
      <c r="M25">
        <f>IFERROR(XLOOKUP(B25,tbl_Signals[ticker],tbl_Signals[target]),"")</f>
        <v/>
      </c>
      <c r="N25">
        <f>IF(AND(E25&lt;&gt;"",K25&lt;&gt;""),(E25-K25)*100,"")</f>
        <v/>
      </c>
      <c r="O25" s="13">
        <f>IF(AND(E25&lt;&gt;"",K25&lt;&gt;""),(E25-K25)/K25,"")</f>
        <v/>
      </c>
      <c r="P25" t="inlineStr">
        <is>
          <t>""</t>
        </is>
      </c>
      <c r="Q25">
        <f>IF(AND(M25&lt;&gt;"",K25&lt;&gt;"",L25&lt;&gt;""),(M25-K25)/(K25-L25),"")</f>
        <v/>
      </c>
      <c r="R25" t="inlineStr">
        <is>
          <t>🗑️</t>
        </is>
      </c>
    </row>
    <row r="26">
      <c r="A26">
        <f>ROW()-9</f>
        <v/>
      </c>
      <c r="B26" s="12" t="n"/>
      <c r="C26">
        <f>IFERROR(XLOOKUP(B26,tbl_Signals[ticker],tbl_Signals[company]),"")</f>
        <v/>
      </c>
      <c r="D26">
        <f>IFERROR(XLOOKUP(B26,tbl_Signals[ticker],tbl_Signals[sector]),"")</f>
        <v/>
      </c>
      <c r="E26">
        <f>IFERROR(XLOOKUP(B26,tbl_Prices[ticker],tbl_Prices[price]),"")</f>
        <v/>
      </c>
      <c r="F26">
        <f>IFERROR(XLOOKUP(B26,tbl_Signals[ticker],tbl_Signals[signal]),"")</f>
        <v/>
      </c>
      <c r="G26">
        <f>IFERROR(XLOOKUP(B26,tbl_Signals[ticker],tbl_Signals[trinity_score]),"")</f>
        <v/>
      </c>
      <c r="H26" t="inlineStr">
        <is>
          <t>↗️</t>
        </is>
      </c>
      <c r="I26" s="12" t="n"/>
      <c r="K26" s="12" t="n"/>
      <c r="L26">
        <f>IF(K26&lt;&gt;"",K26*(1-0.025),"")</f>
        <v/>
      </c>
      <c r="M26">
        <f>IFERROR(XLOOKUP(B26,tbl_Signals[ticker],tbl_Signals[target]),"")</f>
        <v/>
      </c>
      <c r="N26">
        <f>IF(AND(E26&lt;&gt;"",K26&lt;&gt;""),(E26-K26)*100,"")</f>
        <v/>
      </c>
      <c r="O26" s="13">
        <f>IF(AND(E26&lt;&gt;"",K26&lt;&gt;""),(E26-K26)/K26,"")</f>
        <v/>
      </c>
      <c r="P26" t="inlineStr">
        <is>
          <t>""</t>
        </is>
      </c>
      <c r="Q26">
        <f>IF(AND(M26&lt;&gt;"",K26&lt;&gt;"",L26&lt;&gt;""),(M26-K26)/(K26-L26),"")</f>
        <v/>
      </c>
      <c r="R26" t="inlineStr">
        <is>
          <t>🗑️</t>
        </is>
      </c>
    </row>
    <row r="27">
      <c r="A27">
        <f>ROW()-9</f>
        <v/>
      </c>
      <c r="B27" s="12" t="n"/>
      <c r="C27">
        <f>IFERROR(XLOOKUP(B27,tbl_Signals[ticker],tbl_Signals[company]),"")</f>
        <v/>
      </c>
      <c r="D27">
        <f>IFERROR(XLOOKUP(B27,tbl_Signals[ticker],tbl_Signals[sector]),"")</f>
        <v/>
      </c>
      <c r="E27">
        <f>IFERROR(XLOOKUP(B27,tbl_Prices[ticker],tbl_Prices[price]),"")</f>
        <v/>
      </c>
      <c r="F27">
        <f>IFERROR(XLOOKUP(B27,tbl_Signals[ticker],tbl_Signals[signal]),"")</f>
        <v/>
      </c>
      <c r="G27">
        <f>IFERROR(XLOOKUP(B27,tbl_Signals[ticker],tbl_Signals[trinity_score]),"")</f>
        <v/>
      </c>
      <c r="H27" t="inlineStr">
        <is>
          <t>↗️</t>
        </is>
      </c>
      <c r="I27" s="12" t="n"/>
      <c r="K27" s="12" t="n"/>
      <c r="L27">
        <f>IF(K27&lt;&gt;"",K27*(1-0.025),"")</f>
        <v/>
      </c>
      <c r="M27">
        <f>IFERROR(XLOOKUP(B27,tbl_Signals[ticker],tbl_Signals[target]),"")</f>
        <v/>
      </c>
      <c r="N27">
        <f>IF(AND(E27&lt;&gt;"",K27&lt;&gt;""),(E27-K27)*100,"")</f>
        <v/>
      </c>
      <c r="O27" s="13">
        <f>IF(AND(E27&lt;&gt;"",K27&lt;&gt;""),(E27-K27)/K27,"")</f>
        <v/>
      </c>
      <c r="P27" t="inlineStr">
        <is>
          <t>""</t>
        </is>
      </c>
      <c r="Q27">
        <f>IF(AND(M27&lt;&gt;"",K27&lt;&gt;"",L27&lt;&gt;""),(M27-K27)/(K27-L27),"")</f>
        <v/>
      </c>
      <c r="R27" t="inlineStr">
        <is>
          <t>🗑️</t>
        </is>
      </c>
    </row>
    <row r="28">
      <c r="A28">
        <f>ROW()-9</f>
        <v/>
      </c>
      <c r="B28" s="12" t="n"/>
      <c r="C28">
        <f>IFERROR(XLOOKUP(B28,tbl_Signals[ticker],tbl_Signals[company]),"")</f>
        <v/>
      </c>
      <c r="D28">
        <f>IFERROR(XLOOKUP(B28,tbl_Signals[ticker],tbl_Signals[sector]),"")</f>
        <v/>
      </c>
      <c r="E28">
        <f>IFERROR(XLOOKUP(B28,tbl_Prices[ticker],tbl_Prices[price]),"")</f>
        <v/>
      </c>
      <c r="F28">
        <f>IFERROR(XLOOKUP(B28,tbl_Signals[ticker],tbl_Signals[signal]),"")</f>
        <v/>
      </c>
      <c r="G28">
        <f>IFERROR(XLOOKUP(B28,tbl_Signals[ticker],tbl_Signals[trinity_score]),"")</f>
        <v/>
      </c>
      <c r="H28" t="inlineStr">
        <is>
          <t>↗️</t>
        </is>
      </c>
      <c r="I28" s="12" t="n"/>
      <c r="K28" s="12" t="n"/>
      <c r="L28">
        <f>IF(K28&lt;&gt;"",K28*(1-0.025),"")</f>
        <v/>
      </c>
      <c r="M28">
        <f>IFERROR(XLOOKUP(B28,tbl_Signals[ticker],tbl_Signals[target]),"")</f>
        <v/>
      </c>
      <c r="N28">
        <f>IF(AND(E28&lt;&gt;"",K28&lt;&gt;""),(E28-K28)*100,"")</f>
        <v/>
      </c>
      <c r="O28" s="13">
        <f>IF(AND(E28&lt;&gt;"",K28&lt;&gt;""),(E28-K28)/K28,"")</f>
        <v/>
      </c>
      <c r="P28" t="inlineStr">
        <is>
          <t>""</t>
        </is>
      </c>
      <c r="Q28">
        <f>IF(AND(M28&lt;&gt;"",K28&lt;&gt;"",L28&lt;&gt;""),(M28-K28)/(K28-L28),"")</f>
        <v/>
      </c>
      <c r="R28" t="inlineStr">
        <is>
          <t>🗑️</t>
        </is>
      </c>
    </row>
    <row r="29">
      <c r="A29">
        <f>ROW()-9</f>
        <v/>
      </c>
      <c r="B29" s="12" t="n"/>
      <c r="C29">
        <f>IFERROR(XLOOKUP(B29,tbl_Signals[ticker],tbl_Signals[company]),"")</f>
        <v/>
      </c>
      <c r="D29">
        <f>IFERROR(XLOOKUP(B29,tbl_Signals[ticker],tbl_Signals[sector]),"")</f>
        <v/>
      </c>
      <c r="E29">
        <f>IFERROR(XLOOKUP(B29,tbl_Prices[ticker],tbl_Prices[price]),"")</f>
        <v/>
      </c>
      <c r="F29">
        <f>IFERROR(XLOOKUP(B29,tbl_Signals[ticker],tbl_Signals[signal]),"")</f>
        <v/>
      </c>
      <c r="G29">
        <f>IFERROR(XLOOKUP(B29,tbl_Signals[ticker],tbl_Signals[trinity_score]),"")</f>
        <v/>
      </c>
      <c r="H29" t="inlineStr">
        <is>
          <t>↗️</t>
        </is>
      </c>
      <c r="I29" s="12" t="n"/>
      <c r="K29" s="12" t="n"/>
      <c r="L29">
        <f>IF(K29&lt;&gt;"",K29*(1-0.025),"")</f>
        <v/>
      </c>
      <c r="M29">
        <f>IFERROR(XLOOKUP(B29,tbl_Signals[ticker],tbl_Signals[target]),"")</f>
        <v/>
      </c>
      <c r="N29">
        <f>IF(AND(E29&lt;&gt;"",K29&lt;&gt;""),(E29-K29)*100,"")</f>
        <v/>
      </c>
      <c r="O29" s="13">
        <f>IF(AND(E29&lt;&gt;"",K29&lt;&gt;""),(E29-K29)/K29,"")</f>
        <v/>
      </c>
      <c r="P29" t="inlineStr">
        <is>
          <t>""</t>
        </is>
      </c>
      <c r="Q29">
        <f>IF(AND(M29&lt;&gt;"",K29&lt;&gt;"",L29&lt;&gt;""),(M29-K29)/(K29-L29),"")</f>
        <v/>
      </c>
      <c r="R29" t="inlineStr">
        <is>
          <t>🗑️</t>
        </is>
      </c>
    </row>
    <row r="30">
      <c r="A30">
        <f>ROW()-9</f>
        <v/>
      </c>
      <c r="B30" s="12" t="n"/>
      <c r="C30">
        <f>IFERROR(XLOOKUP(B30,tbl_Signals[ticker],tbl_Signals[company]),"")</f>
        <v/>
      </c>
      <c r="D30">
        <f>IFERROR(XLOOKUP(B30,tbl_Signals[ticker],tbl_Signals[sector]),"")</f>
        <v/>
      </c>
      <c r="E30">
        <f>IFERROR(XLOOKUP(B30,tbl_Prices[ticker],tbl_Prices[price]),"")</f>
        <v/>
      </c>
      <c r="F30">
        <f>IFERROR(XLOOKUP(B30,tbl_Signals[ticker],tbl_Signals[signal]),"")</f>
        <v/>
      </c>
      <c r="G30">
        <f>IFERROR(XLOOKUP(B30,tbl_Signals[ticker],tbl_Signals[trinity_score]),"")</f>
        <v/>
      </c>
      <c r="H30" t="inlineStr">
        <is>
          <t>↗️</t>
        </is>
      </c>
      <c r="I30" s="12" t="n"/>
      <c r="K30" s="12" t="n"/>
      <c r="L30">
        <f>IF(K30&lt;&gt;"",K30*(1-0.025),"")</f>
        <v/>
      </c>
      <c r="M30">
        <f>IFERROR(XLOOKUP(B30,tbl_Signals[ticker],tbl_Signals[target]),"")</f>
        <v/>
      </c>
      <c r="N30">
        <f>IF(AND(E30&lt;&gt;"",K30&lt;&gt;""),(E30-K30)*100,"")</f>
        <v/>
      </c>
      <c r="O30" s="13">
        <f>IF(AND(E30&lt;&gt;"",K30&lt;&gt;""),(E30-K30)/K30,"")</f>
        <v/>
      </c>
      <c r="P30" t="inlineStr">
        <is>
          <t>""</t>
        </is>
      </c>
      <c r="Q30">
        <f>IF(AND(M30&lt;&gt;"",K30&lt;&gt;"",L30&lt;&gt;""),(M30-K30)/(K30-L30),"")</f>
        <v/>
      </c>
      <c r="R30" t="inlineStr">
        <is>
          <t>🗑️</t>
        </is>
      </c>
    </row>
    <row r="31">
      <c r="A31">
        <f>ROW()-9</f>
        <v/>
      </c>
      <c r="B31" s="12" t="n"/>
      <c r="C31">
        <f>IFERROR(XLOOKUP(B31,tbl_Signals[ticker],tbl_Signals[company]),"")</f>
        <v/>
      </c>
      <c r="D31">
        <f>IFERROR(XLOOKUP(B31,tbl_Signals[ticker],tbl_Signals[sector]),"")</f>
        <v/>
      </c>
      <c r="E31">
        <f>IFERROR(XLOOKUP(B31,tbl_Prices[ticker],tbl_Prices[price]),"")</f>
        <v/>
      </c>
      <c r="F31">
        <f>IFERROR(XLOOKUP(B31,tbl_Signals[ticker],tbl_Signals[signal]),"")</f>
        <v/>
      </c>
      <c r="G31">
        <f>IFERROR(XLOOKUP(B31,tbl_Signals[ticker],tbl_Signals[trinity_score]),"")</f>
        <v/>
      </c>
      <c r="H31" t="inlineStr">
        <is>
          <t>↗️</t>
        </is>
      </c>
      <c r="I31" s="12" t="n"/>
      <c r="K31" s="12" t="n"/>
      <c r="L31">
        <f>IF(K31&lt;&gt;"",K31*(1-0.025),"")</f>
        <v/>
      </c>
      <c r="M31">
        <f>IFERROR(XLOOKUP(B31,tbl_Signals[ticker],tbl_Signals[target]),"")</f>
        <v/>
      </c>
      <c r="N31">
        <f>IF(AND(E31&lt;&gt;"",K31&lt;&gt;""),(E31-K31)*100,"")</f>
        <v/>
      </c>
      <c r="O31" s="13">
        <f>IF(AND(E31&lt;&gt;"",K31&lt;&gt;""),(E31-K31)/K31,"")</f>
        <v/>
      </c>
      <c r="P31" t="inlineStr">
        <is>
          <t>""</t>
        </is>
      </c>
      <c r="Q31">
        <f>IF(AND(M31&lt;&gt;"",K31&lt;&gt;"",L31&lt;&gt;""),(M31-K31)/(K31-L31),"")</f>
        <v/>
      </c>
      <c r="R31" t="inlineStr">
        <is>
          <t>🗑️</t>
        </is>
      </c>
    </row>
    <row r="32">
      <c r="A32">
        <f>ROW()-9</f>
        <v/>
      </c>
      <c r="B32" s="12" t="n"/>
      <c r="C32">
        <f>IFERROR(XLOOKUP(B32,tbl_Signals[ticker],tbl_Signals[company]),"")</f>
        <v/>
      </c>
      <c r="D32">
        <f>IFERROR(XLOOKUP(B32,tbl_Signals[ticker],tbl_Signals[sector]),"")</f>
        <v/>
      </c>
      <c r="E32">
        <f>IFERROR(XLOOKUP(B32,tbl_Prices[ticker],tbl_Prices[price]),"")</f>
        <v/>
      </c>
      <c r="F32">
        <f>IFERROR(XLOOKUP(B32,tbl_Signals[ticker],tbl_Signals[signal]),"")</f>
        <v/>
      </c>
      <c r="G32">
        <f>IFERROR(XLOOKUP(B32,tbl_Signals[ticker],tbl_Signals[trinity_score]),"")</f>
        <v/>
      </c>
      <c r="H32" t="inlineStr">
        <is>
          <t>↗️</t>
        </is>
      </c>
      <c r="I32" s="12" t="n"/>
      <c r="K32" s="12" t="n"/>
      <c r="L32">
        <f>IF(K32&lt;&gt;"",K32*(1-0.025),"")</f>
        <v/>
      </c>
      <c r="M32">
        <f>IFERROR(XLOOKUP(B32,tbl_Signals[ticker],tbl_Signals[target]),"")</f>
        <v/>
      </c>
      <c r="N32">
        <f>IF(AND(E32&lt;&gt;"",K32&lt;&gt;""),(E32-K32)*100,"")</f>
        <v/>
      </c>
      <c r="O32" s="13">
        <f>IF(AND(E32&lt;&gt;"",K32&lt;&gt;""),(E32-K32)/K32,"")</f>
        <v/>
      </c>
      <c r="P32" t="inlineStr">
        <is>
          <t>""</t>
        </is>
      </c>
      <c r="Q32">
        <f>IF(AND(M32&lt;&gt;"",K32&lt;&gt;"",L32&lt;&gt;""),(M32-K32)/(K32-L32),"")</f>
        <v/>
      </c>
      <c r="R32" t="inlineStr">
        <is>
          <t>🗑️</t>
        </is>
      </c>
    </row>
    <row r="33">
      <c r="A33">
        <f>ROW()-9</f>
        <v/>
      </c>
      <c r="B33" s="12" t="n"/>
      <c r="C33">
        <f>IFERROR(XLOOKUP(B33,tbl_Signals[ticker],tbl_Signals[company]),"")</f>
        <v/>
      </c>
      <c r="D33">
        <f>IFERROR(XLOOKUP(B33,tbl_Signals[ticker],tbl_Signals[sector]),"")</f>
        <v/>
      </c>
      <c r="E33">
        <f>IFERROR(XLOOKUP(B33,tbl_Prices[ticker],tbl_Prices[price]),"")</f>
        <v/>
      </c>
      <c r="F33">
        <f>IFERROR(XLOOKUP(B33,tbl_Signals[ticker],tbl_Signals[signal]),"")</f>
        <v/>
      </c>
      <c r="G33">
        <f>IFERROR(XLOOKUP(B33,tbl_Signals[ticker],tbl_Signals[trinity_score]),"")</f>
        <v/>
      </c>
      <c r="H33" t="inlineStr">
        <is>
          <t>↗️</t>
        </is>
      </c>
      <c r="I33" s="12" t="n"/>
      <c r="K33" s="12" t="n"/>
      <c r="L33">
        <f>IF(K33&lt;&gt;"",K33*(1-0.025),"")</f>
        <v/>
      </c>
      <c r="M33">
        <f>IFERROR(XLOOKUP(B33,tbl_Signals[ticker],tbl_Signals[target]),"")</f>
        <v/>
      </c>
      <c r="N33">
        <f>IF(AND(E33&lt;&gt;"",K33&lt;&gt;""),(E33-K33)*100,"")</f>
        <v/>
      </c>
      <c r="O33" s="13">
        <f>IF(AND(E33&lt;&gt;"",K33&lt;&gt;""),(E33-K33)/K33,"")</f>
        <v/>
      </c>
      <c r="P33" t="inlineStr">
        <is>
          <t>""</t>
        </is>
      </c>
      <c r="Q33">
        <f>IF(AND(M33&lt;&gt;"",K33&lt;&gt;"",L33&lt;&gt;""),(M33-K33)/(K33-L33),"")</f>
        <v/>
      </c>
      <c r="R33" t="inlineStr">
        <is>
          <t>🗑️</t>
        </is>
      </c>
    </row>
    <row r="34">
      <c r="A34">
        <f>ROW()-9</f>
        <v/>
      </c>
      <c r="B34" s="12" t="n"/>
      <c r="C34">
        <f>IFERROR(XLOOKUP(B34,tbl_Signals[ticker],tbl_Signals[company]),"")</f>
        <v/>
      </c>
      <c r="D34">
        <f>IFERROR(XLOOKUP(B34,tbl_Signals[ticker],tbl_Signals[sector]),"")</f>
        <v/>
      </c>
      <c r="E34">
        <f>IFERROR(XLOOKUP(B34,tbl_Prices[ticker],tbl_Prices[price]),"")</f>
        <v/>
      </c>
      <c r="F34">
        <f>IFERROR(XLOOKUP(B34,tbl_Signals[ticker],tbl_Signals[signal]),"")</f>
        <v/>
      </c>
      <c r="G34">
        <f>IFERROR(XLOOKUP(B34,tbl_Signals[ticker],tbl_Signals[trinity_score]),"")</f>
        <v/>
      </c>
      <c r="H34" t="inlineStr">
        <is>
          <t>↗️</t>
        </is>
      </c>
      <c r="I34" s="12" t="n"/>
      <c r="K34" s="12" t="n"/>
      <c r="L34">
        <f>IF(K34&lt;&gt;"",K34*(1-0.025),"")</f>
        <v/>
      </c>
      <c r="M34">
        <f>IFERROR(XLOOKUP(B34,tbl_Signals[ticker],tbl_Signals[target]),"")</f>
        <v/>
      </c>
      <c r="N34">
        <f>IF(AND(E34&lt;&gt;"",K34&lt;&gt;""),(E34-K34)*100,"")</f>
        <v/>
      </c>
      <c r="O34" s="13">
        <f>IF(AND(E34&lt;&gt;"",K34&lt;&gt;""),(E34-K34)/K34,"")</f>
        <v/>
      </c>
      <c r="P34" t="inlineStr">
        <is>
          <t>""</t>
        </is>
      </c>
      <c r="Q34">
        <f>IF(AND(M34&lt;&gt;"",K34&lt;&gt;"",L34&lt;&gt;""),(M34-K34)/(K34-L34),"")</f>
        <v/>
      </c>
      <c r="R34" t="inlineStr">
        <is>
          <t>🗑️</t>
        </is>
      </c>
    </row>
    <row r="50">
      <c r="A50" s="14" t="inlineStr">
        <is>
          <t>NOTA: Protección de hoja debe configurarse manualmente en Excel (desbloquear columnas B e I)</t>
        </is>
      </c>
    </row>
  </sheetData>
  <mergeCells count="2">
    <mergeCell ref="A5:R6"/>
    <mergeCell ref="A1:R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TOP SEÑALES</t>
        </is>
      </c>
    </row>
    <row r="2"/>
    <row r="3"/>
    <row r="6">
      <c r="A6" s="15" t="inlineStr">
        <is>
          <t>Esta hoja muestra las mejores 10 señales del día con análisis detallado.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ÍNDICES &amp; ETFS</t>
        </is>
      </c>
    </row>
    <row r="2"/>
    <row r="3"/>
    <row r="6">
      <c r="A6" s="15" t="inlineStr">
        <is>
          <t>Tabla con 5 índices: SPY, QQQ, DIA, IWM, VTI con precios y señales.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METODOLOGÍA TRINITY</t>
        </is>
      </c>
    </row>
    <row r="2"/>
    <row r="3"/>
    <row r="6">
      <c r="A6" s="15" t="inlineStr">
        <is>
          <t>Explicación educativa del Trinity Method.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2025-10-27T01:23:20Z</dcterms:created>
  <dcterms:modified xsi:type="dcterms:W3CDTF">2025-10-27T01:23:20Z</dcterms:modified>
</cp:coreProperties>
</file>