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<sst xmlns="http://schemas.openxmlformats.org/spreadsheetml/2006/main" count="6234" uniqueCount="924">
  <si>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</si>
  <si>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</si>
  <si>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</si>
  <si>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</si>
  <si>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</si>
  <si>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</si>
  <si>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</si>
  <si>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</si>
  <si>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</si>
  <si>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</si>
  <si>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</si>
  <si>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</si>
  <si>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</si>
  <si>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</si>
  <si>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</si>
  <si>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</si>
  <si>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</si>
  <si>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</si>
  <si>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</si>
  <si>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</si>
  <si>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</si>
  <si>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</si>
  <si>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</si>
  <si>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</si>
  <si>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</si>
  <si>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</si>
  <si>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</si>
  <si>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</si>
  <si>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</si>
  <si>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</si>
  <si>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</si>
  <si>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</si>
  <si>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</si>
  <si>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</si>
  <si>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</si>
  <si>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</si>
  <si>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N=490,659</t>
  </si>
  <si>
    <t>N=54,126</t>
  </si>
  <si>
    <t>N=4,502</t>
  </si>
  <si>
    <t>N=1,359</t>
  </si>
  <si>
    <t>0-4</t>
  </si>
  <si>
    <t>&lt;1%</t>
  </si>
  <si>
    <t>&lt;5</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</si>
  <si>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</si>
  <si>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</si>
  <si>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</si>
  <si>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</si>
  <si>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</si>
  <si>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</si>
  <si>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</si>
  <si>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</si>
  <si>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</si>
  <si>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</si>
  <si>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</si>
  <si>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</si>
  <si>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</si>
  <si>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</si>
  <si>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</si>
  <si>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</si>
  <si>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</si>
  <si>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</si>
  <si>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</si>
  <si>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</si>
  <si>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</si>
  <si>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</si>
  <si>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</si>
  <si>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</si>
  <si>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</si>
  <si>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</si>
  <si>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</si>
  <si>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</si>
  <si>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</si>
  <si>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</si>
  <si>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</si>
  <si>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</si>
  <si>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</si>
  <si>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</si>
  <si>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</si>
  <si>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</si>
  <si>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</si>
  <si>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</si>
  <si>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</si>
  <si>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</si>
  <si>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</si>
  <si>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</si>
  <si>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</si>
  <si>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</si>
  <si>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</si>
  <si>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</si>
  <si>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</si>
  <si>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</si>
  <si>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</si>
  <si>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</si>
  <si>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</si>
  <si>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</si>
  <si>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</si>
  <si>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</si>
  <si>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</si>
  <si>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</si>
  <si>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</si>
  <si>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</si>
  <si>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</si>
  <si>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</si>
  <si>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</si>
  <si>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</si>
  <si>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</si>
  <si>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</si>
  <si>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</si>
  <si>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</si>
  <si>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</si>
  <si>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</si>
  <si>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</si>
  <si>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</si>
  <si>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</si>
  <si>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</si>
  <si>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</si>
  <si>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</si>
  <si>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</si>
  <si>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</si>
  <si>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</si>
  <si>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</si>
  <si>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</si>
  <si>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</si>
  <si>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</si>
  <si>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</si>
  <si>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</si>
  <si>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</si>
  <si>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</si>
  <si>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</si>
  <si>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</si>
  <si>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</si>
  <si>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</si>
  <si>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</si>
  <si>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</si>
  <si>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</si>
  <si>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</si>
  <si>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</si>
  <si>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</si>
  <si>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</si>
  <si>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</si>
  <si>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</si>
  <si>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</si>
  <si>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</si>
  <si>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</si>
  <si>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</si>
  <si>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</si>
  <si>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</si>
  <si>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</si>
  <si>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</si>
  <si>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</si>
  <si>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</si>
  <si>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</si>
  <si>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</si>
  <si>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</si>
  <si>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</si>
  <si>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</si>
  <si>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</si>
  <si>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</si>
  <si>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</si>
  <si>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</si>
  <si>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</si>
  <si>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</si>
  <si>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</si>
  <si>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</si>
  <si>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</si>
  <si>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</si>
  <si>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</si>
  <si>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</si>
  <si>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</si>
  <si>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</si>
  <si>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</si>
  <si>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</si>
  <si>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</si>
  <si>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</si>
  <si>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</si>
  <si>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</si>
  <si>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</si>
  <si>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</si>
  <si>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</si>
  <si>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</si>
  <si>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</si>
  <si>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</si>
  <si>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</si>
  <si>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</si>
  <si>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</si>
  <si>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</si>
  <si>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</si>
  <si>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</si>
  <si>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</si>
  <si>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</si>
  <si>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</si>
  <si>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</si>
  <si>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</si>
  <si>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</si>
  <si>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</si>
  <si>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</si>
  <si>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</si>
  <si>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</si>
  <si>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</si>
  <si>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</si>
  <si>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</si>
  <si>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</si>
  <si>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</si>
  <si>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</si>
  <si>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</si>
  <si>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</si>
  <si>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</si>
  <si>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</si>
  <si>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</si>
  <si>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</si>
  <si>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</si>
  <si>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</si>
  <si>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</si>
  <si>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</si>
  <si>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</si>
  <si>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</si>
  <si>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</si>
  <si>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</si>
  <si>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</si>
  <si>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</si>
  <si>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</si>
  <si>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</si>
  <si>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</si>
  <si>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</si>
  <si>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</si>
  <si>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</si>
  <si>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</si>
  <si>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</si>
  <si>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</si>
  <si>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</si>
  <si>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</si>
  <si>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</si>
  <si>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</si>
  <si>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</si>
  <si>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</si>
  <si>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</si>
  <si>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</si>
  <si>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</si>
  <si>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</si>
  <si>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</si>
  <si>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</si>
  <si>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</si>
  <si>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</si>
  <si>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</si>
  <si>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</si>
  <si>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</si>
  <si>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</si>
  <si>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</si>
  <si>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</si>
  <si>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</si>
  <si>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</si>
  <si>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</si>
  <si>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</si>
  <si>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</si>
  <si>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</si>
  <si>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</si>
  <si>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</si>
  <si>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</si>
  <si>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</si>
  <si>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</si>
  <si>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</si>
  <si>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</si>
  <si>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</si>
  <si>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</si>
  <si>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</si>
  <si>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</si>
  <si>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</si>
  <si>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</si>
  <si>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</si>
  <si>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</si>
  <si>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</si>
  <si>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</si>
  <si>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</si>
  <si>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</si>
  <si>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</si>
  <si>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</si>
  <si>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</si>
  <si>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</si>
  <si>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</si>
  <si>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</si>
  <si>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</si>
  <si>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</si>
  <si>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</si>
  <si>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</si>
  <si>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</si>
  <si>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</si>
  <si>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</si>
  <si>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</si>
  <si>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</si>
  <si>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</si>
  <si>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</si>
  <si>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</si>
  <si>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</si>
  <si>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</si>
  <si>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</si>
  <si>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</si>
  <si>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</si>
  <si>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</si>
  <si>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</si>
  <si>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</si>
  <si>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</si>
  <si>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</si>
  <si>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</si>
  <si>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</si>
  <si>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</si>
  <si>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</si>
  <si>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</si>
  <si>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</si>
  <si>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</si>
  <si>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</si>
  <si>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</si>
  <si>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</si>
  <si>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</si>
  <si>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</si>
  <si>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</si>
  <si>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</si>
  <si>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</si>
  <si>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</si>
  <si>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</si>
  <si>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</si>
  <si>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</si>
  <si>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</si>
  <si>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</si>
  <si>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</si>
  <si>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</si>
  <si>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</si>
  <si>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</si>
  <si>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</si>
  <si>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</si>
  <si>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</si>
  <si>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</si>
  <si>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</si>
  <si>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</si>
  <si>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</si>
  <si>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</si>
  <si>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12/02/2020</t>
  </si>
  <si>
    <t>Facility Name</t>
  </si>
  <si>
    <t>Cumulative Resident Cases since (3/1/2020)</t>
  </si>
  <si>
    <t>New Resident Cases (in past 14 days)</t>
  </si>
  <si>
    <t>Cumulative Resident Fatalities</t>
  </si>
  <si>
    <t>Long Term Care Facilities</t>
  </si>
  <si>
    <t>Alpine Nursing Home (Coventry)</t>
  </si>
  <si>
    <t>2 to 4</t>
  </si>
  <si>
    <t>Fewer than five</t>
  </si>
  <si>
    <t>Apple Rehab Clipper (Westerly)</t>
  </si>
  <si>
    <t>10 to 14</t>
  </si>
  <si>
    <t>Apple Rehab Watch Hill (Westerly)</t>
  </si>
  <si>
    <t>5 to 9</t>
  </si>
  <si>
    <t>Ballou Home (Woonsocket)</t>
  </si>
  <si>
    <t>Bannister House (Providence)</t>
  </si>
  <si>
    <t>95 to 99</t>
  </si>
  <si>
    <t>15 to 19</t>
  </si>
  <si>
    <t>Bayberry Commons (Burrillville)</t>
  </si>
  <si>
    <t>Berkshire Place (Providence)</t>
  </si>
  <si>
    <t>165 to 169</t>
  </si>
  <si>
    <t>35 to 39</t>
  </si>
  <si>
    <t>Bethany Home (Providence)</t>
  </si>
  <si>
    <t>Brentwood Nursing Home (Warwick)</t>
  </si>
  <si>
    <t>60 to 64</t>
  </si>
  <si>
    <t>Briarcliffe Manor (Johnston)</t>
  </si>
  <si>
    <t>100 to 104</t>
  </si>
  <si>
    <t>25 to 29</t>
  </si>
  <si>
    <t>Brookdale Sakonnet Bay (Tiverton)</t>
  </si>
  <si>
    <t>Brookdale South Bay (Wakefield)</t>
  </si>
  <si>
    <t>Cedar Crest (Cranston)</t>
  </si>
  <si>
    <t>90 to 94</t>
  </si>
  <si>
    <t>65 to 69</t>
  </si>
  <si>
    <t>Charlesgate Nursing Center (Providence)</t>
  </si>
  <si>
    <t>75 to 79</t>
  </si>
  <si>
    <t>Cherry Hill Manor (Johnston)</t>
  </si>
  <si>
    <t>120 to 124</t>
  </si>
  <si>
    <t>45 to 49</t>
  </si>
  <si>
    <t>Crestwood Nursing &amp; Rehab (Warren)</t>
  </si>
  <si>
    <t>40 to 44</t>
  </si>
  <si>
    <t>Cra-Mar Meadows (Cranston)</t>
  </si>
  <si>
    <t>Crystal Lake Rehabilitation &amp; Care Center (Burrillville)</t>
  </si>
  <si>
    <t>Eastgate Nursing &amp; Rehab (East Providence)</t>
  </si>
  <si>
    <t>Elmhurst Healthcare Center (Providence)</t>
  </si>
  <si>
    <t>170 to 174</t>
  </si>
  <si>
    <t>20 to 24</t>
  </si>
  <si>
    <t>Elmwood Nursing and Rehab Center (Providence)</t>
  </si>
  <si>
    <t>Evergreen House Health Center (East Providence)</t>
  </si>
  <si>
    <t>130 to 134</t>
  </si>
  <si>
    <t>Friendly Home (Woonsocket)</t>
  </si>
  <si>
    <t>80 to 84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</si>
  <si>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</si>
  <si>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</si>
  <si>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</si>
  <si>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</si>
  <si>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</si>
  <si>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</si>
  <si>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</si>
  <si>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</si>
  <si>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</si>
  <si>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</si>
  <si>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</si>
  <si>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</si>
  <si>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</si>
  <si>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</si>
  <si>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</si>
  <si>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</si>
  <si>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</si>
  <si>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</si>
  <si>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30 to 34</t>
  </si>
  <si>
    <t>Kingston Center for Rehab &amp; Nursing (West Kingston)</t>
  </si>
  <si>
    <t>Linn Health &amp; Rehab Center (East Providence)</t>
  </si>
  <si>
    <t>Mansion Center (Central Falls)</t>
  </si>
  <si>
    <t>50 to 54</t>
  </si>
  <si>
    <t>Morgan Health Center Nursing and Rehab (Johnston)</t>
  </si>
  <si>
    <t>Mount St. Rita (Cumberland)</t>
  </si>
  <si>
    <t>Oak Hill Health Center (Pawtucket)</t>
  </si>
  <si>
    <t>Oakland Grove Health Center (Woonsocket)</t>
  </si>
  <si>
    <t>115 to 119</t>
  </si>
  <si>
    <t>Orchard View Manor (East Providence)</t>
  </si>
  <si>
    <t>140 to 144</t>
  </si>
  <si>
    <t>Overlook Nursing and Rehab Center (Pascoag)</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</si>
  <si>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</si>
  <si>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</si>
  <si>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</si>
  <si>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</si>
  <si>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</si>
  <si>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</si>
  <si>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</si>
  <si>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85 to 89</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</si>
  <si>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</si>
  <si>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</si>
  <si>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</si>
  <si>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</si>
  <si>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</si>
  <si>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</si>
  <si>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</si>
  <si>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</si>
  <si>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</si>
  <si>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</si>
  <si>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</si>
  <si>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</si>
  <si>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</si>
  <si>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</si>
  <si>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</si>
  <si>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</si>
  <si>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Westerly Health Center (Westerly)</t>
  </si>
  <si>
    <t>West Shore Health Center (Warwick)</t>
  </si>
  <si>
    <t>110 to 114</t>
  </si>
  <si>
    <t>West View Nursing Center (West Warwick)</t>
  </si>
  <si>
    <t>Woonsocket Health Center (Woonsocket)</t>
  </si>
  <si>
    <t>4025 to 4029</t>
  </si>
  <si>
    <t>410 to 414</t>
  </si>
  <si>
    <t>945 to 949</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</si>
  <si>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</si>
  <si>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</si>
  <si>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</si>
  <si>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</si>
  <si>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</si>
  <si>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</si>
  <si>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</si>
  <si>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</si>
  <si>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</si>
  <si>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</si>
  <si>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</si>
  <si>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</si>
  <si>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</si>
  <si>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</si>
  <si>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</si>
  <si>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</si>
  <si>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</si>
  <si>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</si>
  <si>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</si>
  <si>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</si>
  <si>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</si>
  <si>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</si>
  <si>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</si>
  <si>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</si>
  <si>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</si>
  <si>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</si>
  <si>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</si>
  <si>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</si>
  <si>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</si>
  <si>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</si>
  <si>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425 to 429</t>
  </si>
  <si>
    <t>Note: These data are updated weekly and represent cumulative number of cases and deaths, and number of new resident cases in the past 14 days at each facility. Because these data will change throughout the week, number ranges are being presented. Data last updated 12/2/2020.</t>
  </si>
  <si>
    <t>Number of COVID-19 Cases by School and Learning Style</t>
  </si>
  <si>
    <t>Data last updated 12/2/2020 and include positive cases as of 11/28/2020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</si>
  <si>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</si>
  <si>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</si>
  <si>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</si>
  <si>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</si>
  <si>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</si>
  <si>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</si>
  <si>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</si>
  <si>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</si>
  <si>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</si>
  <si>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</si>
  <si>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</si>
  <si>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</si>
  <si>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</si>
  <si>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</si>
  <si>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</si>
  <si>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</si>
  <si>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</si>
  <si>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</si>
  <si>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</si>
  <si>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</si>
  <si>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</si>
  <si>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</si>
  <si>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</si>
  <si>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</si>
  <si>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</si>
  <si>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</si>
  <si>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</si>
  <si>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</si>
  <si>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</si>
  <si>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</si>
  <si>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</si>
  <si>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</si>
  <si>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</si>
  <si>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</si>
  <si>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</si>
  <si>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</si>
  <si>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</si>
  <si>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</si>
  <si>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</si>
  <si>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</si>
  <si>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</si>
  <si>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</si>
  <si>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</si>
  <si>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</si>
  <si>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</si>
  <si>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</si>
  <si>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</si>
  <si>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</si>
  <si>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</si>
  <si>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</si>
  <si>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</si>
  <si>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</si>
  <si>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</si>
  <si>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</si>
  <si>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</si>
  <si>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</si>
  <si>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</si>
  <si>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</si>
  <si>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</si>
  <si>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</si>
  <si>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</si>
  <si>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</si>
  <si>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</si>
  <si>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</si>
  <si>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</si>
  <si>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</si>
  <si>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</si>
  <si>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</si>
  <si>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</si>
  <si>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</si>
  <si>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</si>
  <si>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</si>
  <si>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</si>
  <si>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</si>
  <si>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</si>
  <si>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</si>
  <si>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</si>
  <si>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</si>
  <si>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</si>
  <si>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</si>
  <si>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</si>
  <si>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</si>
  <si>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</si>
  <si>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</si>
  <si>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</si>
  <si>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</si>
  <si>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</si>
  <si>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</si>
  <si>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</si>
  <si>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</si>
  <si>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</si>
  <si>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</si>
  <si>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</si>
  <si>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</si>
  <si>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</si>
  <si>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</si>
  <si>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</si>
  <si>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</si>
  <si>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</si>
  <si>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</si>
  <si>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</si>
  <si>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</si>
  <si>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</si>
  <si>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</si>
  <si>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</si>
  <si>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</si>
  <si>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</si>
  <si>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</si>
  <si>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</si>
  <si>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</si>
  <si>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</si>
  <si>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</si>
  <si>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</si>
  <si>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</si>
  <si>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</si>
  <si>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</si>
  <si>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</si>
  <si>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</si>
  <si>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</si>
  <si>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</si>
  <si>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</si>
  <si>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</si>
  <si>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</si>
  <si>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</si>
  <si>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</si>
  <si>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</si>
  <si>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</si>
  <si>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</si>
  <si>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</si>
  <si>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</si>
  <si>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</si>
  <si>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</si>
  <si>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</si>
  <si>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</si>
  <si>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</si>
  <si>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</si>
  <si>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</si>
  <si>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</si>
  <si>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</si>
  <si>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</si>
  <si>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</si>
  <si>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</si>
  <si>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</si>
  <si>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</si>
  <si>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</si>
  <si>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</si>
  <si>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</si>
  <si>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</si>
  <si>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</si>
  <si>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</si>
  <si>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</si>
  <si>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</si>
  <si>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</si>
  <si>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</si>
  <si>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</si>
  <si>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</si>
  <si>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</si>
  <si>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</si>
  <si>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</si>
  <si>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</si>
  <si>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</si>
  <si>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</si>
  <si>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</si>
  <si>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</si>
  <si>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</si>
  <si>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</si>
  <si>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</si>
  <si>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</si>
  <si>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</si>
  <si>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</si>
  <si>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</si>
  <si>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</si>
  <si>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</si>
  <si>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</si>
  <si>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</si>
  <si>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</si>
  <si>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</si>
  <si>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</si>
  <si>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</si>
  <si>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</si>
  <si>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</si>
  <si>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</si>
  <si>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</si>
  <si>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</si>
  <si>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</si>
  <si>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</si>
  <si>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</si>
  <si>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</si>
  <si>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</si>
  <si>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</si>
  <si>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</si>
  <si>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</si>
  <si>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</si>
  <si>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</si>
  <si>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</si>
  <si>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</si>
  <si>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</si>
  <si>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</si>
  <si>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</si>
  <si>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</si>
  <si>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</si>
  <si>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</si>
  <si>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</si>
  <si>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</si>
  <si>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</si>
  <si>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</si>
  <si>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</si>
  <si>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</si>
  <si>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</si>
  <si>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</si>
  <si>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</si>
  <si>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</si>
  <si>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</si>
  <si>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</si>
  <si>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</si>
  <si>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</si>
  <si>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</si>
  <si>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</si>
  <si>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</si>
  <si>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</si>
  <si>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</si>
  <si>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</si>
  <si>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</si>
  <si>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</si>
  <si>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</si>
  <si>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</si>
  <si>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</si>
  <si>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</si>
  <si>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</si>
  <si>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</si>
  <si>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</si>
  <si>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</si>
  <si>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</si>
  <si>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</si>
  <si>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Providence Autism School to Tomorrow Academy</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</si>
  <si>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</si>
  <si>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</si>
  <si>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</si>
  <si>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</si>
  <si>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</si>
  <si>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</si>
  <si>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</si>
  <si>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</si>
  <si>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</si>
  <si>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</si>
  <si>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</si>
  <si>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</si>
  <si>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</si>
  <si>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</si>
  <si>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</si>
  <si>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</si>
  <si>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</si>
  <si>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</si>
  <si>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</si>
  <si>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</si>
  <si>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</si>
  <si>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</si>
  <si>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</si>
  <si>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</si>
  <si>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</si>
  <si>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</si>
  <si>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</si>
  <si>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</si>
  <si>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</si>
  <si>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</si>
  <si>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</si>
  <si>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</si>
  <si>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</si>
  <si>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</si>
  <si>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</si>
  <si>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</si>
  <si>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</si>
  <si>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</si>
  <si>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</si>
  <si>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</si>
  <si>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</si>
  <si>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</si>
  <si>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</si>
  <si>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</si>
  <si>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</si>
  <si>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Croft School</t>
  </si>
  <si>
    <t>The Gordon School</t>
  </si>
  <si>
    <t>The Grace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</si>
  <si>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</si>
  <si>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</si>
  <si>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</si>
  <si>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</si>
  <si>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</si>
  <si>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</si>
  <si>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</si>
  <si>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</si>
  <si>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</si>
  <si>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</si>
  <si>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</si>
  <si>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</si>
  <si>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</si>
  <si>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</si>
  <si>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</si>
  <si>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</si>
  <si>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</si>
  <si>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</si>
  <si>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</si>
  <si>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</si>
  <si>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</si>
  <si>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</si>
  <si>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</si>
  <si>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</si>
  <si>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</si>
  <si>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</si>
  <si>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</si>
  <si>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</si>
  <si>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</si>
  <si>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</si>
  <si>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</si>
  <si>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</si>
  <si>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</si>
  <si>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</si>
  <si>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</si>
  <si>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</si>
  <si>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</si>
  <si>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</si>
  <si>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</si>
  <si>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</si>
  <si>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</si>
  <si>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</si>
  <si>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</si>
  <si>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</si>
  <si>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</si>
  <si>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</si>
  <si>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</si>
  <si>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</si>
  <si>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</si>
  <si>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</si>
  <si>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</si>
  <si>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</si>
  <si>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</si>
  <si>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</si>
  <si>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</si>
  <si>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</si>
  <si>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</si>
  <si>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</si>
  <si>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</si>
  <si>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</si>
  <si>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</si>
  <si>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</si>
  <si>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</si>
  <si>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</si>
  <si>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</si>
  <si>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</si>
  <si>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</si>
  <si>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</si>
  <si>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</si>
  <si>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</si>
  <si>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</si>
  <si>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</si>
  <si>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</si>
  <si>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</si>
  <si>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</si>
  <si>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</si>
  <si>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</si>
  <si>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</si>
  <si>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</si>
  <si>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</si>
  <si>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</si>
  <si>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</si>
  <si>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</si>
  <si>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</si>
  <si>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</si>
  <si>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</si>
  <si>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</si>
  <si>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</si>
  <si>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</si>
  <si>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</si>
  <si>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</si>
  <si>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</si>
  <si>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</si>
  <si>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</si>
  <si>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</si>
  <si>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</si>
  <si>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</si>
  <si>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</si>
  <si>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</si>
  <si>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</si>
  <si>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</si>
  <si>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</si>
  <si>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</si>
  <si>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</si>
  <si>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</si>
  <si>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</si>
  <si>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</si>
  <si>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</si>
  <si>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</si>
  <si>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</si>
  <si>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</si>
  <si>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</si>
  <si>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</si>
  <si>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</si>
  <si>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</si>
  <si>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</si>
  <si>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</si>
  <si>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</si>
  <si>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</si>
  <si>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</si>
  <si>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</si>
  <si>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</si>
  <si>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</si>
  <si>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</si>
  <si>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</si>
  <si>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</si>
  <si>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</si>
  <si>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</si>
  <si>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255 to 259</t>
  </si>
  <si>
    <t>1515 to 1519</t>
  </si>
  <si>
    <t>825 to 829</t>
  </si>
  <si>
    <t>Virtual Cases‡</t>
  </si>
  <si>
    <t>AF Iluminar Mayoral Academy Middle School</t>
  </si>
  <si>
    <t>Blackstone Valley Prep Junior High School (JHS)</t>
  </si>
  <si>
    <t>St. Patrick School</t>
  </si>
  <si>
    <t>Chariho Area Career and Technical Center</t>
  </si>
  <si>
    <t>Claiborne Pell Elementary School</t>
  </si>
  <si>
    <t>Agnes E. Little School</t>
  </si>
  <si>
    <t>Jacqueline M. Walsh School for the Performing and Visual Arts</t>
  </si>
  <si>
    <t>M. Virginia Cunningham School</t>
  </si>
  <si>
    <t>Samuel Slater Middle School</t>
  </si>
  <si>
    <t>CHILD, Inc., Centerville Road</t>
  </si>
  <si>
    <t>Kid's Kingdom</t>
  </si>
  <si>
    <t>Highlander Charter School/Mariposa Center@Meeting St.School</t>
  </si>
  <si>
    <t>Providence Virtual Learning Academy</t>
  </si>
  <si>
    <t>Clayville Elementary School</t>
  </si>
  <si>
    <t>Sheila Skip Nowell Leadership Academy (Central Campus)</t>
  </si>
  <si>
    <t>Lippitt School</t>
  </si>
  <si>
    <t>Pilgrim High School</t>
  </si>
  <si>
    <t>Winman Middle School</t>
  </si>
  <si>
    <t>Greenbush Elementary School</t>
  </si>
  <si>
    <t>195 to 199</t>
  </si>
  <si>
    <t>1165 to 1169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</si>
  <si>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12/2/2020 9am.
 †New cases in past 7 days include positive cases between 11/22/2020 and 11/28/2020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</si>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</sst>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5" fillId="0" fontId="5" numFmtId="0" xfId="0" applyAlignment="1" applyBorder="1" applyFont="1">
      <alignment horizontal="center" readingOrder="0"/>
    </xf>
    <xf borderId="5" fillId="0" fontId="5"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5" numFmtId="0" xfId="0" applyAlignment="1" applyBorder="1" applyFill="1" applyFont="1">
      <alignment horizontal="left" readingOrder="0" shrinkToFit="0" wrapText="0"/>
    </xf>
    <xf borderId="2" fillId="0" fontId="26" numFmtId="0" xfId="0" applyAlignment="1" applyBorder="1" applyFont="1">
      <alignment horizontal="left" readingOrder="0"/>
    </xf>
    <xf borderId="5" fillId="0" fontId="26" numFmtId="0" xfId="0" applyAlignment="1" applyBorder="1" applyFont="1">
      <alignment horizontal="center" readingOrder="0" shrinkToFit="0" wrapText="0"/>
    </xf>
    <xf borderId="9"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9"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5" fillId="0" fontId="26" numFmtId="0" xfId="0" applyAlignment="1" applyBorder="1" applyFont="1">
      <alignment horizontal="center" readingOrder="0" shrinkToFit="0" vertical="bottom" wrapText="0"/>
    </xf>
    <xf borderId="9"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5" fillId="0" fontId="26" numFmtId="0" xfId="0" applyAlignment="1" applyBorder="1" applyFont="1">
      <alignment horizontal="center" readingOrder="0"/>
    </xf>
    <xf borderId="9"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10" fillId="0" fontId="29" numFmtId="0" xfId="0" applyAlignment="1" applyBorder="1" applyFont="1">
      <alignment horizontal="left" readingOrder="0" shrinkToFit="0" vertical="top" wrapText="1"/>
    </xf>
    <xf borderId="10" fillId="0" fontId="9" numFmtId="0" xfId="0" applyBorder="1" applyFont="1"/>
    <xf borderId="7" fillId="0" fontId="30" numFmtId="0" xfId="0" applyAlignment="1" applyBorder="1" applyFont="1">
      <alignment horizontal="left" readingOrder="0" shrinkToFit="0" vertical="bottom" wrapText="0"/>
    </xf>
    <xf borderId="0" fillId="0" fontId="31" numFmtId="0" xfId="0" applyFont="1"/>
    <xf borderId="7" fillId="0" fontId="25" numFmtId="0" xfId="0" applyAlignment="1" applyBorder="1" applyFont="1">
      <alignment horizontal="left" readingOrder="0" shrinkToFit="0" vertical="bottom" wrapText="0"/>
    </xf>
    <xf borderId="7" fillId="0" fontId="25" numFmtId="0" xfId="0" applyAlignment="1" applyBorder="1" applyFont="1">
      <alignment horizontal="left" readingOrder="0" shrinkToFit="0" vertical="bottom" wrapText="1"/>
    </xf>
    <xf borderId="9"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9" fontId="25" numFmtId="0" xfId="0" applyAlignment="1" applyBorder="1" applyFont="1">
      <alignment readingOrder="0"/>
    </xf>
    <xf borderId="5" fillId="9"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6" fillId="17" fontId="25" numFmtId="0" xfId="0" applyAlignment="1" applyBorder="1" applyFont="1">
      <alignment horizontal="left" readingOrder="0"/>
    </xf>
    <xf borderId="9"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7" fillId="17" fontId="32" numFmtId="0" xfId="0" applyAlignment="1" applyBorder="1" applyFont="1">
      <alignment horizontal="left" readingOrder="0" shrinkToFit="0" vertical="bottom" wrapText="0"/>
    </xf>
    <xf borderId="7" fillId="18" fontId="29"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44173.0</v>
      </c>
    </row>
    <row r="2" ht="14.25" customHeight="1">
      <c r="A2" s="3" t="s">
        <v>1</v>
      </c>
      <c r="B2" s="4">
        <v>1138.0</v>
      </c>
    </row>
    <row r="3" ht="14.25" customHeight="1">
      <c r="A3" s="3" t="s">
        <v>2</v>
      </c>
      <c r="B3" s="4">
        <v>1154.0</v>
      </c>
    </row>
    <row r="4" ht="14.25" customHeight="1">
      <c r="A4" s="3" t="s">
        <v>3</v>
      </c>
      <c r="B4" s="4">
        <v>81512.0</v>
      </c>
    </row>
    <row r="5" ht="14.25" customHeight="1">
      <c r="A5" s="3" t="s">
        <v>4</v>
      </c>
      <c r="B5" s="4">
        <v>9283.0</v>
      </c>
    </row>
    <row r="6" ht="14.25" customHeight="1">
      <c r="A6" s="5" t="s">
        <v>5</v>
      </c>
      <c r="B6" s="4">
        <v>1581776.0</v>
      </c>
    </row>
    <row r="7" ht="14.25" customHeight="1">
      <c r="A7" s="6" t="s">
        <v>6</v>
      </c>
      <c r="B7" s="4">
        <v>10421.0</v>
      </c>
    </row>
    <row r="8" ht="14.25" customHeight="1">
      <c r="A8" s="6" t="s">
        <v>7</v>
      </c>
      <c r="B8" s="7">
        <v>1663288.0</v>
      </c>
    </row>
    <row r="9" ht="14.25" customHeight="1">
      <c r="A9" s="8" t="s">
        <v>8</v>
      </c>
      <c r="B9" s="7">
        <v>982.0</v>
      </c>
    </row>
    <row r="10" ht="14.25" customHeight="1">
      <c r="A10" s="9" t="s">
        <v>9</v>
      </c>
      <c r="B10" s="7">
        <v>1002.0</v>
      </c>
    </row>
    <row r="11" ht="14.25" customHeight="1">
      <c r="A11" s="8" t="s">
        <v>10</v>
      </c>
      <c r="B11" s="7">
        <v>67067.0</v>
      </c>
    </row>
    <row r="12" ht="14.25" customHeight="1">
      <c r="A12" s="8" t="s">
        <v>11</v>
      </c>
      <c r="B12" s="7">
        <v>2891.0</v>
      </c>
    </row>
    <row r="13" ht="14.25" customHeight="1">
      <c r="A13" s="8" t="s">
        <v>12</v>
      </c>
      <c r="B13" s="7">
        <v>493819.0</v>
      </c>
    </row>
    <row r="14" ht="15.0" customHeight="1">
      <c r="A14" s="8" t="s">
        <v>13</v>
      </c>
      <c r="B14" s="7">
        <v>560886.0</v>
      </c>
    </row>
    <row r="15" ht="14.25" customHeight="1">
      <c r="A15" s="10" t="s">
        <v>14</v>
      </c>
      <c r="B15" s="4">
        <v>60.0</v>
      </c>
    </row>
    <row r="16" ht="14.25" customHeight="1">
      <c r="A16" s="10" t="s">
        <v>15</v>
      </c>
      <c r="B16" s="4">
        <v>5133.0</v>
      </c>
    </row>
    <row r="17" ht="14.25" customHeight="1">
      <c r="A17" s="10" t="s">
        <v>16</v>
      </c>
      <c r="B17" s="4">
        <v>48.0</v>
      </c>
    </row>
    <row r="18" ht="14.25" customHeight="1">
      <c r="A18" s="10" t="s">
        <v>17</v>
      </c>
      <c r="B18" s="4">
        <v>4167.0</v>
      </c>
    </row>
    <row r="19" ht="14.25" customHeight="1">
      <c r="A19" s="10" t="s">
        <v>18</v>
      </c>
      <c r="B19" s="4">
        <v>9.0</v>
      </c>
    </row>
    <row r="20" ht="14.25" customHeight="1">
      <c r="A20" s="10" t="s">
        <v>19</v>
      </c>
      <c r="B20" s="4">
        <v>522.0</v>
      </c>
    </row>
    <row r="21" ht="14.25" customHeight="1">
      <c r="A21" s="10" t="s">
        <v>20</v>
      </c>
      <c r="B21" s="7">
        <v>444.0</v>
      </c>
    </row>
    <row r="22" ht="14.25" customHeight="1">
      <c r="A22" s="10" t="s">
        <v>21</v>
      </c>
      <c r="B22" s="7">
        <v>435.0</v>
      </c>
    </row>
    <row r="23" ht="14.25" customHeight="1">
      <c r="A23" s="10" t="s">
        <v>22</v>
      </c>
      <c r="B23" s="7">
        <v>43.0</v>
      </c>
    </row>
    <row r="24" ht="14.25" customHeight="1">
      <c r="A24" s="10" t="s">
        <v>23</v>
      </c>
      <c r="B24" s="7">
        <v>25.0</v>
      </c>
    </row>
    <row r="25" ht="14.25" customHeight="1">
      <c r="A25" s="11" t="s">
        <v>24</v>
      </c>
      <c r="B25" s="7">
        <v>22.0</v>
      </c>
    </row>
    <row r="26" ht="14.25" customHeight="1">
      <c r="A26" s="12" t="s">
        <v>25</v>
      </c>
      <c r="B26" s="7">
        <v>1470.0</v>
      </c>
    </row>
    <row r="27" ht="14.25" customHeight="1">
      <c r="A27" s="13" t="s">
        <v>26</v>
      </c>
      <c r="B27" s="7">
        <v>1648843.0</v>
      </c>
    </row>
    <row r="28" ht="14.25" customHeight="1">
      <c r="A28" s="13" t="s">
        <v>27</v>
      </c>
      <c r="B28" s="7">
        <v>10265.0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148</v>
      </c>
      <c r="B1" s="126" t="s">
        <v>149</v>
      </c>
      <c r="C1" s="126" t="s">
        <v>150</v>
      </c>
      <c r="D1" s="126" t="s">
        <v>151</v>
      </c>
      <c r="E1" s="126" t="s">
        <v>152</v>
      </c>
      <c r="F1" s="126" t="s">
        <v>25</v>
      </c>
      <c r="G1" s="126" t="s">
        <v>153</v>
      </c>
    </row>
    <row r="2" ht="14.25" customHeight="1">
      <c r="A2" s="127" t="s">
        <v>154</v>
      </c>
      <c r="B2" s="128">
        <v>318.0</v>
      </c>
      <c r="C2" s="129">
        <v>1966.0</v>
      </c>
      <c r="D2" s="130">
        <v>20.0</v>
      </c>
      <c r="E2" s="129">
        <v>124.0</v>
      </c>
      <c r="F2" s="129" t="s">
        <v>42</v>
      </c>
      <c r="G2" s="129" t="s">
        <v>30</v>
      </c>
    </row>
    <row r="3" ht="14.25" customHeight="1">
      <c r="A3" s="127" t="s">
        <v>155</v>
      </c>
      <c r="B3" s="128">
        <v>721.0</v>
      </c>
      <c r="C3" s="129">
        <v>3243.0</v>
      </c>
      <c r="D3" s="130">
        <v>39.0</v>
      </c>
      <c r="E3" s="129">
        <v>175.0</v>
      </c>
      <c r="F3" s="129">
        <v>27.0</v>
      </c>
      <c r="G3" s="129">
        <v>121.0</v>
      </c>
    </row>
    <row r="4" ht="14.25" customHeight="1">
      <c r="A4" s="127" t="s">
        <v>156</v>
      </c>
      <c r="B4" s="128">
        <v>449.0</v>
      </c>
      <c r="C4" s="129">
        <v>2729.0</v>
      </c>
      <c r="D4" s="130">
        <v>35.0</v>
      </c>
      <c r="E4" s="129">
        <v>213.0</v>
      </c>
      <c r="F4" s="129">
        <v>24.0</v>
      </c>
      <c r="G4" s="129">
        <v>146.0</v>
      </c>
    </row>
    <row r="5" ht="14.25" customHeight="1">
      <c r="A5" s="127" t="s">
        <v>157</v>
      </c>
      <c r="B5" s="128">
        <v>2666.0</v>
      </c>
      <c r="C5" s="129">
        <v>13755.0</v>
      </c>
      <c r="D5" s="130">
        <v>138.0</v>
      </c>
      <c r="E5" s="129">
        <v>712.0</v>
      </c>
      <c r="F5" s="129">
        <v>17.0</v>
      </c>
      <c r="G5" s="129">
        <v>88.0</v>
      </c>
    </row>
    <row r="6" ht="14.25" customHeight="1">
      <c r="A6" s="127" t="s">
        <v>158</v>
      </c>
      <c r="B6" s="128">
        <v>125.0</v>
      </c>
      <c r="C6" s="129">
        <v>1607.0</v>
      </c>
      <c r="D6" s="130">
        <v>7.0</v>
      </c>
      <c r="E6" s="129">
        <v>90.0</v>
      </c>
      <c r="F6" s="129" t="s">
        <v>42</v>
      </c>
      <c r="G6" s="129" t="s">
        <v>30</v>
      </c>
    </row>
    <row r="7" ht="14.25" customHeight="1">
      <c r="A7" s="127" t="s">
        <v>159</v>
      </c>
      <c r="B7" s="128">
        <v>1186.0</v>
      </c>
      <c r="C7" s="129">
        <v>3430.0</v>
      </c>
      <c r="D7" s="130">
        <v>72.0</v>
      </c>
      <c r="E7" s="129">
        <v>208.0</v>
      </c>
      <c r="F7" s="129">
        <v>28.0</v>
      </c>
      <c r="G7" s="129">
        <v>81.0</v>
      </c>
    </row>
    <row r="8" ht="14.25" customHeight="1">
      <c r="A8" s="127" t="s">
        <v>160</v>
      </c>
      <c r="B8" s="128">
        <v>4991.0</v>
      </c>
      <c r="C8" s="129">
        <v>6147.0</v>
      </c>
      <c r="D8" s="130">
        <v>315.0</v>
      </c>
      <c r="E8" s="129">
        <v>388.0</v>
      </c>
      <c r="F8" s="129">
        <v>39.0</v>
      </c>
      <c r="G8" s="129">
        <v>48.0</v>
      </c>
    </row>
    <row r="9" ht="14.25" customHeight="1">
      <c r="A9" s="127" t="s">
        <v>161</v>
      </c>
      <c r="B9" s="128">
        <v>1239.0</v>
      </c>
      <c r="C9" s="129">
        <v>3576.0</v>
      </c>
      <c r="D9" s="130">
        <v>101.0</v>
      </c>
      <c r="E9" s="129">
        <v>291.0</v>
      </c>
      <c r="F9" s="129">
        <v>43.0</v>
      </c>
      <c r="G9" s="129">
        <v>124.0</v>
      </c>
    </row>
    <row r="10" ht="14.25" customHeight="1">
      <c r="A10" s="127" t="s">
        <v>162</v>
      </c>
      <c r="B10" s="128">
        <v>511.0</v>
      </c>
      <c r="C10" s="129">
        <v>3909.0</v>
      </c>
      <c r="D10" s="130">
        <v>22.0</v>
      </c>
      <c r="E10" s="129">
        <v>168.0</v>
      </c>
      <c r="F10" s="129" t="s">
        <v>42</v>
      </c>
      <c r="G10" s="129" t="s">
        <v>30</v>
      </c>
    </row>
    <row r="11" ht="14.25" customHeight="1">
      <c r="A11" s="127" t="s">
        <v>163</v>
      </c>
      <c r="B11" s="128">
        <v>1996.0</v>
      </c>
      <c r="C11" s="129">
        <v>4207.0</v>
      </c>
      <c r="D11" s="130">
        <v>165.0</v>
      </c>
      <c r="E11" s="129">
        <v>348.0</v>
      </c>
      <c r="F11" s="129">
        <v>121.0</v>
      </c>
      <c r="G11" s="129">
        <v>255.0</v>
      </c>
    </row>
    <row r="12" ht="14.25" customHeight="1">
      <c r="A12" s="127" t="s">
        <v>164</v>
      </c>
      <c r="B12" s="128">
        <v>153.0</v>
      </c>
      <c r="C12" s="129">
        <v>2256.0</v>
      </c>
      <c r="D12" s="130">
        <v>10.0</v>
      </c>
      <c r="E12" s="129">
        <v>147.0</v>
      </c>
      <c r="F12" s="129">
        <v>5.0</v>
      </c>
      <c r="G12" s="129">
        <v>74.0</v>
      </c>
    </row>
    <row r="13" ht="14.25" customHeight="1">
      <c r="A13" s="127" t="s">
        <v>165</v>
      </c>
      <c r="B13" s="128">
        <v>126.0</v>
      </c>
      <c r="C13" s="129">
        <v>2687.0</v>
      </c>
      <c r="D13" s="130" t="s">
        <v>42</v>
      </c>
      <c r="E13" s="129" t="s">
        <v>30</v>
      </c>
      <c r="F13" s="129" t="s">
        <v>42</v>
      </c>
      <c r="G13" s="129" t="s">
        <v>30</v>
      </c>
    </row>
    <row r="14" ht="14.25" customHeight="1">
      <c r="A14" s="127" t="s">
        <v>166</v>
      </c>
      <c r="B14" s="128">
        <v>230.0</v>
      </c>
      <c r="C14" s="129">
        <v>2286.0</v>
      </c>
      <c r="D14" s="130">
        <v>16.0</v>
      </c>
      <c r="E14" s="129">
        <v>159.0</v>
      </c>
      <c r="F14" s="129" t="s">
        <v>42</v>
      </c>
      <c r="G14" s="129" t="s">
        <v>30</v>
      </c>
    </row>
    <row r="15" ht="14.25" customHeight="1">
      <c r="A15" s="127" t="s">
        <v>167</v>
      </c>
      <c r="B15" s="128">
        <v>133.0</v>
      </c>
      <c r="C15" s="129">
        <v>1640.0</v>
      </c>
      <c r="D15" s="130">
        <v>8.0</v>
      </c>
      <c r="E15" s="129">
        <v>99.0</v>
      </c>
      <c r="F15" s="129" t="s">
        <v>42</v>
      </c>
      <c r="G15" s="129" t="s">
        <v>30</v>
      </c>
    </row>
    <row r="16" ht="14.25" customHeight="1">
      <c r="A16" s="127" t="s">
        <v>168</v>
      </c>
      <c r="B16" s="128">
        <v>91.0</v>
      </c>
      <c r="C16" s="129">
        <v>1656.0</v>
      </c>
      <c r="D16" s="130">
        <v>6.0</v>
      </c>
      <c r="E16" s="129">
        <v>109.0</v>
      </c>
      <c r="F16" s="129">
        <v>0.0</v>
      </c>
      <c r="G16" s="129">
        <v>0.0</v>
      </c>
    </row>
    <row r="17" ht="14.25" customHeight="1">
      <c r="A17" s="127" t="s">
        <v>169</v>
      </c>
      <c r="B17" s="128">
        <v>1814.0</v>
      </c>
      <c r="C17" s="129">
        <v>6205.0</v>
      </c>
      <c r="D17" s="130">
        <v>128.0</v>
      </c>
      <c r="E17" s="129">
        <v>438.0</v>
      </c>
      <c r="F17" s="129">
        <v>101.0</v>
      </c>
      <c r="G17" s="129">
        <v>345.0</v>
      </c>
    </row>
    <row r="18" ht="14.25" customHeight="1">
      <c r="A18" s="127" t="s">
        <v>170</v>
      </c>
      <c r="B18" s="128">
        <v>910.0</v>
      </c>
      <c r="C18" s="129">
        <v>4204.0</v>
      </c>
      <c r="D18" s="130">
        <v>67.0</v>
      </c>
      <c r="E18" s="129">
        <v>310.0</v>
      </c>
      <c r="F18" s="129">
        <v>40.0</v>
      </c>
      <c r="G18" s="129">
        <v>185.0</v>
      </c>
    </row>
    <row r="19" ht="14.25" customHeight="1">
      <c r="A19" s="127" t="s">
        <v>171</v>
      </c>
      <c r="B19" s="128">
        <v>41.0</v>
      </c>
      <c r="C19" s="129">
        <v>1170.0</v>
      </c>
      <c r="D19" s="130" t="s">
        <v>42</v>
      </c>
      <c r="E19" s="129" t="s">
        <v>30</v>
      </c>
      <c r="F19" s="129" t="s">
        <v>42</v>
      </c>
      <c r="G19" s="129" t="s">
        <v>30</v>
      </c>
    </row>
    <row r="20" ht="14.25" customHeight="1">
      <c r="A20" s="127" t="s">
        <v>172</v>
      </c>
      <c r="B20" s="128">
        <v>228.0</v>
      </c>
      <c r="C20" s="129">
        <v>1418.0</v>
      </c>
      <c r="D20" s="130">
        <v>13.0</v>
      </c>
      <c r="E20" s="129">
        <v>81.0</v>
      </c>
      <c r="F20" s="129" t="s">
        <v>42</v>
      </c>
      <c r="G20" s="129" t="s">
        <v>30</v>
      </c>
    </row>
    <row r="21" ht="14.25" customHeight="1">
      <c r="A21" s="127" t="s">
        <v>173</v>
      </c>
      <c r="B21" s="128">
        <v>531.0</v>
      </c>
      <c r="C21" s="129">
        <v>3415.0</v>
      </c>
      <c r="D21" s="130">
        <v>15.0</v>
      </c>
      <c r="E21" s="129">
        <v>96.0</v>
      </c>
      <c r="F21" s="129" t="s">
        <v>42</v>
      </c>
      <c r="G21" s="129" t="s">
        <v>30</v>
      </c>
    </row>
    <row r="22" ht="14.25" customHeight="1">
      <c r="A22" s="127" t="s">
        <v>174</v>
      </c>
      <c r="B22" s="128">
        <v>18.0</v>
      </c>
      <c r="C22" s="129">
        <v>2177.0</v>
      </c>
      <c r="D22" s="130">
        <v>0.0</v>
      </c>
      <c r="E22" s="129">
        <v>0.0</v>
      </c>
      <c r="F22" s="129">
        <v>0.0</v>
      </c>
      <c r="G22" s="129">
        <v>0.0</v>
      </c>
    </row>
    <row r="23" ht="14.25" customHeight="1">
      <c r="A23" s="127" t="s">
        <v>175</v>
      </c>
      <c r="B23" s="128">
        <v>429.0</v>
      </c>
      <c r="C23" s="129">
        <v>1732.0</v>
      </c>
      <c r="D23" s="130">
        <v>29.0</v>
      </c>
      <c r="E23" s="129">
        <v>117.0</v>
      </c>
      <c r="F23" s="129" t="s">
        <v>42</v>
      </c>
      <c r="G23" s="129" t="s">
        <v>30</v>
      </c>
    </row>
    <row r="24" ht="14.25" customHeight="1">
      <c r="A24" s="127" t="s">
        <v>176</v>
      </c>
      <c r="B24" s="128">
        <v>835.0</v>
      </c>
      <c r="C24" s="129">
        <v>3186.0</v>
      </c>
      <c r="D24" s="130">
        <v>59.0</v>
      </c>
      <c r="E24" s="129">
        <v>225.0</v>
      </c>
      <c r="F24" s="129">
        <v>60.0</v>
      </c>
      <c r="G24" s="129">
        <v>229.0</v>
      </c>
    </row>
    <row r="25" ht="15.75" customHeight="1">
      <c r="A25" s="127" t="s">
        <v>177</v>
      </c>
      <c r="B25" s="128">
        <v>2100.0</v>
      </c>
      <c r="C25" s="129">
        <v>6470.0</v>
      </c>
      <c r="D25" s="130">
        <v>185.0</v>
      </c>
      <c r="E25" s="129">
        <v>570.0</v>
      </c>
      <c r="F25" s="129">
        <v>87.0</v>
      </c>
      <c r="G25" s="129">
        <v>268.0</v>
      </c>
    </row>
    <row r="26" ht="14.25" customHeight="1">
      <c r="A26" s="127" t="s">
        <v>178</v>
      </c>
      <c r="B26" s="128">
        <v>401.0</v>
      </c>
      <c r="C26" s="129">
        <v>3247.0</v>
      </c>
      <c r="D26" s="130">
        <v>34.0</v>
      </c>
      <c r="E26" s="129">
        <v>275.0</v>
      </c>
      <c r="F26" s="129">
        <v>33.0</v>
      </c>
      <c r="G26" s="129">
        <v>267.0</v>
      </c>
    </row>
    <row r="27" ht="14.25" customHeight="1">
      <c r="A27" s="127" t="s">
        <v>179</v>
      </c>
      <c r="B27" s="128">
        <v>5049.0</v>
      </c>
      <c r="C27" s="129">
        <v>7036.0</v>
      </c>
      <c r="D27" s="130">
        <v>340.0</v>
      </c>
      <c r="E27" s="129">
        <v>474.0</v>
      </c>
      <c r="F27" s="129">
        <v>62.0</v>
      </c>
      <c r="G27" s="129">
        <v>86.0</v>
      </c>
    </row>
    <row r="28" ht="14.25" customHeight="1">
      <c r="A28" s="127" t="s">
        <v>180</v>
      </c>
      <c r="B28" s="128">
        <v>244.0</v>
      </c>
      <c r="C28" s="129">
        <v>1401.0</v>
      </c>
      <c r="D28" s="130" t="s">
        <v>42</v>
      </c>
      <c r="E28" s="129" t="s">
        <v>30</v>
      </c>
      <c r="F28" s="129">
        <v>0.0</v>
      </c>
      <c r="G28" s="129">
        <v>0.0</v>
      </c>
    </row>
    <row r="29" ht="14.25" customHeight="1">
      <c r="A29" s="127" t="s">
        <v>181</v>
      </c>
      <c r="B29" s="128">
        <v>15384.0</v>
      </c>
      <c r="C29" s="129">
        <v>8574.0</v>
      </c>
      <c r="D29" s="130">
        <v>1250.0</v>
      </c>
      <c r="E29" s="129">
        <v>697.0</v>
      </c>
      <c r="F29" s="129">
        <v>337.0</v>
      </c>
      <c r="G29" s="129">
        <v>188.0</v>
      </c>
    </row>
    <row r="30" ht="14.25" customHeight="1">
      <c r="A30" s="127" t="s">
        <v>182</v>
      </c>
      <c r="B30" s="128">
        <v>99.0</v>
      </c>
      <c r="C30" s="129">
        <v>1298.0</v>
      </c>
      <c r="D30" s="130">
        <v>9.0</v>
      </c>
      <c r="E30" s="129">
        <v>118.0</v>
      </c>
      <c r="F30" s="129">
        <v>0.0</v>
      </c>
      <c r="G30" s="129">
        <v>0.0</v>
      </c>
    </row>
    <row r="31" ht="14.25" customHeight="1">
      <c r="A31" s="127" t="s">
        <v>183</v>
      </c>
      <c r="B31" s="128">
        <v>250.0</v>
      </c>
      <c r="C31" s="129">
        <v>2358.0</v>
      </c>
      <c r="D31" s="130">
        <v>9.0</v>
      </c>
      <c r="E31" s="129">
        <v>85.0</v>
      </c>
      <c r="F31" s="129" t="s">
        <v>42</v>
      </c>
      <c r="G31" s="129" t="s">
        <v>30</v>
      </c>
    </row>
    <row r="32" ht="14.25" customHeight="1">
      <c r="A32" s="127" t="s">
        <v>184</v>
      </c>
      <c r="B32" s="128">
        <v>930.0</v>
      </c>
      <c r="C32" s="129">
        <v>4300.0</v>
      </c>
      <c r="D32" s="130">
        <v>92.0</v>
      </c>
      <c r="E32" s="129">
        <v>425.0</v>
      </c>
      <c r="F32" s="129">
        <v>59.0</v>
      </c>
      <c r="G32" s="129">
        <v>273.0</v>
      </c>
    </row>
    <row r="33" ht="14.25" customHeight="1">
      <c r="A33" s="127" t="s">
        <v>185</v>
      </c>
      <c r="B33" s="128">
        <v>357.0</v>
      </c>
      <c r="C33" s="129">
        <v>1162.0</v>
      </c>
      <c r="D33" s="130">
        <v>22.0</v>
      </c>
      <c r="E33" s="129">
        <v>72.0</v>
      </c>
      <c r="F33" s="129">
        <v>21.0</v>
      </c>
      <c r="G33" s="129">
        <v>68.0</v>
      </c>
    </row>
    <row r="34" ht="14.25" customHeight="1">
      <c r="A34" s="127" t="s">
        <v>186</v>
      </c>
      <c r="B34" s="128">
        <v>347.0</v>
      </c>
      <c r="C34" s="129">
        <v>2194.0</v>
      </c>
      <c r="D34" s="130" t="s">
        <v>42</v>
      </c>
      <c r="E34" s="129" t="s">
        <v>30</v>
      </c>
      <c r="F34" s="129">
        <v>5.0</v>
      </c>
      <c r="G34" s="129">
        <v>32.0</v>
      </c>
    </row>
    <row r="35" ht="14.25" customHeight="1">
      <c r="A35" s="127" t="s">
        <v>187</v>
      </c>
      <c r="B35" s="128">
        <v>330.0</v>
      </c>
      <c r="C35" s="129">
        <v>3146.0</v>
      </c>
      <c r="D35" s="130">
        <v>32.0</v>
      </c>
      <c r="E35" s="129">
        <v>305.0</v>
      </c>
      <c r="F35" s="129">
        <v>16.0</v>
      </c>
      <c r="G35" s="129">
        <v>153.0</v>
      </c>
    </row>
    <row r="36" ht="14.25" customHeight="1">
      <c r="A36" s="127" t="s">
        <v>188</v>
      </c>
      <c r="B36" s="128">
        <v>3046.0</v>
      </c>
      <c r="C36" s="129">
        <v>3757.0</v>
      </c>
      <c r="D36" s="130">
        <v>183.0</v>
      </c>
      <c r="E36" s="129">
        <v>226.0</v>
      </c>
      <c r="F36" s="129">
        <v>93.0</v>
      </c>
      <c r="G36" s="129">
        <v>115.0</v>
      </c>
    </row>
    <row r="37" ht="14.25" customHeight="1">
      <c r="A37" s="127" t="s">
        <v>189</v>
      </c>
      <c r="B37" s="128">
        <v>156.0</v>
      </c>
      <c r="C37" s="129">
        <v>2525.0</v>
      </c>
      <c r="D37" s="130">
        <v>6.0</v>
      </c>
      <c r="E37" s="129">
        <v>97.0</v>
      </c>
      <c r="F37" s="129">
        <v>0.0</v>
      </c>
      <c r="G37" s="129">
        <v>0.0</v>
      </c>
    </row>
    <row r="38" ht="14.25" customHeight="1">
      <c r="A38" s="127" t="s">
        <v>190</v>
      </c>
      <c r="B38" s="128">
        <v>1210.0</v>
      </c>
      <c r="C38" s="129">
        <v>4179.0</v>
      </c>
      <c r="D38" s="130">
        <v>75.0</v>
      </c>
      <c r="E38" s="129">
        <v>259.0</v>
      </c>
      <c r="F38" s="129">
        <v>23.0</v>
      </c>
      <c r="G38" s="129">
        <v>79.0</v>
      </c>
    </row>
    <row r="39" ht="14.25" customHeight="1">
      <c r="A39" s="127" t="s">
        <v>191</v>
      </c>
      <c r="B39" s="128">
        <v>390.0</v>
      </c>
      <c r="C39" s="129">
        <v>1724.0</v>
      </c>
      <c r="D39" s="130">
        <v>22.0</v>
      </c>
      <c r="E39" s="129">
        <v>97.0</v>
      </c>
      <c r="F39" s="129" t="s">
        <v>42</v>
      </c>
      <c r="G39" s="129" t="s">
        <v>30</v>
      </c>
    </row>
    <row r="40" ht="14.25" customHeight="1">
      <c r="A40" s="127" t="s">
        <v>192</v>
      </c>
      <c r="B40" s="128">
        <v>1671.0</v>
      </c>
      <c r="C40" s="129">
        <v>4023.0</v>
      </c>
      <c r="D40" s="130">
        <v>166.0</v>
      </c>
      <c r="E40" s="129">
        <v>400.0</v>
      </c>
      <c r="F40" s="129">
        <v>93.0</v>
      </c>
      <c r="G40" s="129">
        <v>224.0</v>
      </c>
    </row>
    <row r="41" ht="14.25" customHeight="1">
      <c r="A41" s="127" t="s">
        <v>53</v>
      </c>
      <c r="B41" s="128">
        <v>2421.0</v>
      </c>
      <c r="C41" s="129" t="s">
        <v>30</v>
      </c>
      <c r="D41" s="130">
        <v>179.0</v>
      </c>
      <c r="E41" s="129" t="s">
        <v>30</v>
      </c>
      <c r="F41" s="129">
        <v>5.0</v>
      </c>
      <c r="G41" s="129" t="s">
        <v>30</v>
      </c>
    </row>
    <row r="42" ht="14.25" customHeight="1">
      <c r="A42" s="131" t="s">
        <v>193</v>
      </c>
      <c r="B42" s="129">
        <v>54126.0</v>
      </c>
      <c r="C42" s="129">
        <v>5123.0</v>
      </c>
      <c r="D42" s="129">
        <v>3869.0</v>
      </c>
      <c r="E42" s="129">
        <v>366.0</v>
      </c>
      <c r="F42" s="129">
        <v>1359.0</v>
      </c>
      <c r="G42" s="129">
        <v>129.0</v>
      </c>
    </row>
    <row r="43" ht="14.25" customHeight="1">
      <c r="A43" s="132" t="s">
        <v>194</v>
      </c>
      <c r="D43" s="133"/>
      <c r="E43" s="133"/>
      <c r="F43" s="133"/>
      <c r="G43" s="133"/>
    </row>
    <row r="44" ht="15.0" customHeight="1">
      <c r="A44" s="134" t="s">
        <v>195</v>
      </c>
    </row>
    <row r="45" ht="14.25" customHeight="1"/>
    <row r="46" ht="14.25" customHeight="1"/>
    <row r="47" ht="14.25" customHeight="1">
      <c r="A47" s="135" t="s">
        <v>0</v>
      </c>
      <c r="B47" s="136">
        <v>44167.0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196</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197</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44167.0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198</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199</v>
      </c>
      <c r="C8" s="143" t="s">
        <v>200</v>
      </c>
      <c r="D8" s="143" t="s">
        <v>201</v>
      </c>
      <c r="E8" s="143" t="s">
        <v>202</v>
      </c>
      <c r="F8" s="143" t="s">
        <v>203</v>
      </c>
      <c r="G8" s="143" t="s">
        <v>204</v>
      </c>
      <c r="H8" s="143" t="s">
        <v>205</v>
      </c>
      <c r="I8" s="143" t="s">
        <v>206</v>
      </c>
      <c r="J8" s="143" t="s">
        <v>207</v>
      </c>
      <c r="K8" s="143" t="s">
        <v>208</v>
      </c>
      <c r="L8" s="143" t="s">
        <v>209</v>
      </c>
      <c r="M8" s="143" t="s">
        <v>210</v>
      </c>
      <c r="N8" s="143" t="s">
        <v>211</v>
      </c>
      <c r="O8" s="143" t="s">
        <v>212</v>
      </c>
      <c r="P8" s="143" t="s">
        <v>213</v>
      </c>
      <c r="Q8" s="143" t="s">
        <v>214</v>
      </c>
      <c r="R8" s="143" t="s">
        <v>215</v>
      </c>
      <c r="S8" s="143" t="s">
        <v>216</v>
      </c>
      <c r="T8" s="143" t="s">
        <v>217</v>
      </c>
      <c r="U8" s="143" t="s">
        <v>218</v>
      </c>
      <c r="V8" s="143" t="s">
        <v>219</v>
      </c>
      <c r="W8" s="143" t="s">
        <v>220</v>
      </c>
      <c r="X8" s="143" t="s">
        <v>221</v>
      </c>
      <c r="Y8" s="143" t="s">
        <v>222</v>
      </c>
      <c r="Z8" s="143" t="s">
        <v>223</v>
      </c>
      <c r="AA8" s="143" t="s">
        <v>224</v>
      </c>
      <c r="AB8" s="143" t="s">
        <v>225</v>
      </c>
      <c r="AC8" s="143" t="s">
        <v>226</v>
      </c>
      <c r="AD8" s="143" t="s">
        <v>227</v>
      </c>
      <c r="AE8" s="143" t="s">
        <v>228</v>
      </c>
      <c r="AF8" s="143" t="s">
        <v>229</v>
      </c>
      <c r="AG8" s="143" t="s">
        <v>230</v>
      </c>
      <c r="AH8" s="143" t="s">
        <v>231</v>
      </c>
      <c r="AI8" s="143" t="s">
        <v>232</v>
      </c>
      <c r="AJ8" s="143" t="s">
        <v>233</v>
      </c>
      <c r="AK8" s="143" t="s">
        <v>234</v>
      </c>
      <c r="AL8" s="143" t="s">
        <v>235</v>
      </c>
      <c r="AM8" s="143" t="s">
        <v>236</v>
      </c>
      <c r="AN8" s="143" t="s">
        <v>237</v>
      </c>
      <c r="AO8" s="143" t="s">
        <v>238</v>
      </c>
      <c r="AP8" s="143" t="s">
        <v>193</v>
      </c>
    </row>
    <row r="9">
      <c r="A9" s="102" t="s">
        <v>92</v>
      </c>
      <c r="B9" s="61">
        <v>0.0</v>
      </c>
      <c r="C9" s="61">
        <v>0.0</v>
      </c>
      <c r="D9" s="61">
        <v>0.0</v>
      </c>
      <c r="E9" s="61">
        <v>0.0</v>
      </c>
      <c r="F9" s="61">
        <v>0.0</v>
      </c>
      <c r="G9" s="61" t="s">
        <v>42</v>
      </c>
      <c r="H9" s="61">
        <v>0.0</v>
      </c>
      <c r="I9" s="61" t="s">
        <v>42</v>
      </c>
      <c r="J9" s="61">
        <v>0.0</v>
      </c>
      <c r="K9" s="61">
        <v>0.0</v>
      </c>
      <c r="L9" s="61">
        <v>0.0</v>
      </c>
      <c r="M9" s="61">
        <v>0.0</v>
      </c>
      <c r="N9" s="61">
        <v>0.0</v>
      </c>
      <c r="O9" s="61">
        <v>0.0</v>
      </c>
      <c r="P9" s="61">
        <v>0.0</v>
      </c>
      <c r="Q9" s="61">
        <v>0.0</v>
      </c>
      <c r="R9" s="61">
        <v>0.0</v>
      </c>
      <c r="S9" s="61">
        <v>0.0</v>
      </c>
      <c r="T9" s="61">
        <v>0.0</v>
      </c>
      <c r="U9" s="61">
        <v>0.0</v>
      </c>
      <c r="V9" s="61">
        <v>0.0</v>
      </c>
      <c r="W9" s="61">
        <v>0.0</v>
      </c>
      <c r="X9" s="61">
        <v>0.0</v>
      </c>
      <c r="Y9" s="61" t="s">
        <v>42</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42</v>
      </c>
    </row>
    <row r="10">
      <c r="A10" s="102" t="s">
        <v>93</v>
      </c>
      <c r="B10" s="61" t="s">
        <v>42</v>
      </c>
      <c r="C10" s="61">
        <v>0.0</v>
      </c>
      <c r="D10" s="61" t="s">
        <v>42</v>
      </c>
      <c r="E10" s="61">
        <v>0.0</v>
      </c>
      <c r="F10" s="61">
        <v>0.0</v>
      </c>
      <c r="G10" s="61">
        <v>0.0</v>
      </c>
      <c r="H10" s="61" t="s">
        <v>42</v>
      </c>
      <c r="I10" s="61">
        <v>0.0</v>
      </c>
      <c r="J10" s="61">
        <v>0.0</v>
      </c>
      <c r="K10" s="61" t="s">
        <v>42</v>
      </c>
      <c r="L10" s="61">
        <v>0.0</v>
      </c>
      <c r="M10" s="61">
        <v>0.0</v>
      </c>
      <c r="N10" s="61">
        <v>0.0</v>
      </c>
      <c r="O10" s="61">
        <v>0.0</v>
      </c>
      <c r="P10" s="61">
        <v>0.0</v>
      </c>
      <c r="Q10" s="61">
        <v>0.0</v>
      </c>
      <c r="R10" s="61" t="s">
        <v>42</v>
      </c>
      <c r="S10" s="61">
        <v>0.0</v>
      </c>
      <c r="T10" s="61" t="s">
        <v>42</v>
      </c>
      <c r="U10" s="61" t="s">
        <v>42</v>
      </c>
      <c r="V10" s="61">
        <v>0.0</v>
      </c>
      <c r="W10" s="61">
        <v>0.0</v>
      </c>
      <c r="X10" s="61">
        <v>0.0</v>
      </c>
      <c r="Y10" s="61">
        <v>0.0</v>
      </c>
      <c r="Z10" s="61">
        <v>0.0</v>
      </c>
      <c r="AA10" s="61">
        <v>0.0</v>
      </c>
      <c r="AB10" s="61">
        <v>0.0</v>
      </c>
      <c r="AC10" s="61" t="s">
        <v>42</v>
      </c>
      <c r="AD10" s="61">
        <v>0.0</v>
      </c>
      <c r="AE10" s="61" t="s">
        <v>42</v>
      </c>
      <c r="AF10" s="61">
        <v>0.0</v>
      </c>
      <c r="AG10" s="61">
        <v>0.0</v>
      </c>
      <c r="AH10" s="61">
        <v>0.0</v>
      </c>
      <c r="AI10" s="61">
        <v>0.0</v>
      </c>
      <c r="AJ10" s="61">
        <v>0.0</v>
      </c>
      <c r="AK10" s="61">
        <v>0.0</v>
      </c>
      <c r="AL10" s="61">
        <v>0.0</v>
      </c>
      <c r="AM10" s="61" t="s">
        <v>42</v>
      </c>
      <c r="AN10" s="61">
        <v>0.0</v>
      </c>
      <c r="AO10" s="61">
        <v>0.0</v>
      </c>
      <c r="AP10" s="60">
        <v>14.0</v>
      </c>
    </row>
    <row r="11">
      <c r="A11" s="102" t="s">
        <v>94</v>
      </c>
      <c r="B11" s="61" t="s">
        <v>42</v>
      </c>
      <c r="C11" s="61" t="s">
        <v>42</v>
      </c>
      <c r="D11" s="61">
        <v>0.0</v>
      </c>
      <c r="E11" s="61" t="s">
        <v>42</v>
      </c>
      <c r="F11" s="61">
        <v>0.0</v>
      </c>
      <c r="G11" s="61" t="s">
        <v>42</v>
      </c>
      <c r="H11" s="61" t="s">
        <v>42</v>
      </c>
      <c r="I11" s="61" t="s">
        <v>42</v>
      </c>
      <c r="J11" s="61">
        <v>0.0</v>
      </c>
      <c r="K11" s="61" t="s">
        <v>42</v>
      </c>
      <c r="L11" s="61">
        <v>0.0</v>
      </c>
      <c r="M11" s="61" t="s">
        <v>42</v>
      </c>
      <c r="N11" s="61">
        <v>0.0</v>
      </c>
      <c r="O11" s="61">
        <v>0.0</v>
      </c>
      <c r="P11" s="61" t="s">
        <v>42</v>
      </c>
      <c r="Q11" s="61" t="s">
        <v>42</v>
      </c>
      <c r="R11" s="61">
        <v>0.0</v>
      </c>
      <c r="S11" s="61" t="s">
        <v>42</v>
      </c>
      <c r="T11" s="61" t="s">
        <v>42</v>
      </c>
      <c r="U11" s="61">
        <v>0.0</v>
      </c>
      <c r="V11" s="61">
        <v>0.0</v>
      </c>
      <c r="W11" s="61" t="s">
        <v>42</v>
      </c>
      <c r="X11" s="61">
        <v>0.0</v>
      </c>
      <c r="Y11" s="61">
        <v>0.0</v>
      </c>
      <c r="Z11" s="61" t="s">
        <v>42</v>
      </c>
      <c r="AA11" s="61" t="s">
        <v>42</v>
      </c>
      <c r="AB11" s="61" t="s">
        <v>42</v>
      </c>
      <c r="AC11" s="61">
        <v>25.0</v>
      </c>
      <c r="AD11" s="61">
        <v>0.0</v>
      </c>
      <c r="AE11" s="61" t="s">
        <v>42</v>
      </c>
      <c r="AF11" s="61">
        <v>0.0</v>
      </c>
      <c r="AG11" s="61" t="s">
        <v>42</v>
      </c>
      <c r="AH11" s="61">
        <v>0.0</v>
      </c>
      <c r="AI11" s="61" t="s">
        <v>42</v>
      </c>
      <c r="AJ11" s="61" t="s">
        <v>42</v>
      </c>
      <c r="AK11" s="61">
        <v>0.0</v>
      </c>
      <c r="AL11" s="61">
        <v>0.0</v>
      </c>
      <c r="AM11" s="61" t="s">
        <v>42</v>
      </c>
      <c r="AN11" s="61">
        <v>0.0</v>
      </c>
      <c r="AO11" s="61" t="s">
        <v>42</v>
      </c>
      <c r="AP11" s="60">
        <v>66.0</v>
      </c>
    </row>
    <row r="12">
      <c r="A12" s="102" t="s">
        <v>95</v>
      </c>
      <c r="B12" s="61">
        <v>5.0</v>
      </c>
      <c r="C12" s="61" t="s">
        <v>42</v>
      </c>
      <c r="D12" s="61">
        <v>5.0</v>
      </c>
      <c r="E12" s="61" t="s">
        <v>42</v>
      </c>
      <c r="F12" s="61" t="s">
        <v>42</v>
      </c>
      <c r="G12" s="61" t="s">
        <v>42</v>
      </c>
      <c r="H12" s="61">
        <v>27.0</v>
      </c>
      <c r="I12" s="61">
        <v>6.0</v>
      </c>
      <c r="J12" s="61">
        <v>0.0</v>
      </c>
      <c r="K12" s="61">
        <v>8.0</v>
      </c>
      <c r="L12" s="61" t="s">
        <v>42</v>
      </c>
      <c r="M12" s="61">
        <v>0.0</v>
      </c>
      <c r="N12" s="61">
        <v>0.0</v>
      </c>
      <c r="O12" s="61" t="s">
        <v>42</v>
      </c>
      <c r="P12" s="61">
        <v>0.0</v>
      </c>
      <c r="Q12" s="61" t="s">
        <v>42</v>
      </c>
      <c r="R12" s="61" t="s">
        <v>42</v>
      </c>
      <c r="S12" s="61">
        <v>0.0</v>
      </c>
      <c r="T12" s="61">
        <v>0.0</v>
      </c>
      <c r="U12" s="61" t="s">
        <v>42</v>
      </c>
      <c r="V12" s="61">
        <v>0.0</v>
      </c>
      <c r="W12" s="61" t="s">
        <v>42</v>
      </c>
      <c r="X12" s="61">
        <v>7.0</v>
      </c>
      <c r="Y12" s="61">
        <v>5.0</v>
      </c>
      <c r="Z12" s="61" t="s">
        <v>42</v>
      </c>
      <c r="AA12" s="61">
        <v>16.0</v>
      </c>
      <c r="AB12" s="61" t="s">
        <v>42</v>
      </c>
      <c r="AC12" s="61">
        <v>47.0</v>
      </c>
      <c r="AD12" s="61">
        <v>0.0</v>
      </c>
      <c r="AE12" s="61">
        <v>5.0</v>
      </c>
      <c r="AF12" s="61" t="s">
        <v>42</v>
      </c>
      <c r="AG12" s="61" t="s">
        <v>42</v>
      </c>
      <c r="AH12" s="61">
        <v>6.0</v>
      </c>
      <c r="AI12" s="61">
        <v>0.0</v>
      </c>
      <c r="AJ12" s="61">
        <v>15.0</v>
      </c>
      <c r="AK12" s="61">
        <v>0.0</v>
      </c>
      <c r="AL12" s="61">
        <v>6.0</v>
      </c>
      <c r="AM12" s="61" t="s">
        <v>42</v>
      </c>
      <c r="AN12" s="61" t="s">
        <v>42</v>
      </c>
      <c r="AO12" s="61" t="s">
        <v>42</v>
      </c>
      <c r="AP12" s="60">
        <v>199.0</v>
      </c>
    </row>
    <row r="13">
      <c r="A13" s="102" t="s">
        <v>96</v>
      </c>
      <c r="B13" s="61" t="s">
        <v>42</v>
      </c>
      <c r="C13" s="61">
        <v>6.0</v>
      </c>
      <c r="D13" s="61">
        <v>6.0</v>
      </c>
      <c r="E13" s="61">
        <v>10.0</v>
      </c>
      <c r="F13" s="61" t="s">
        <v>42</v>
      </c>
      <c r="G13" s="61">
        <v>12.0</v>
      </c>
      <c r="H13" s="61">
        <v>42.0</v>
      </c>
      <c r="I13" s="61">
        <v>17.0</v>
      </c>
      <c r="J13" s="61">
        <v>5.0</v>
      </c>
      <c r="K13" s="61">
        <v>15.0</v>
      </c>
      <c r="L13" s="61" t="s">
        <v>42</v>
      </c>
      <c r="M13" s="61">
        <v>0.0</v>
      </c>
      <c r="N13" s="61" t="s">
        <v>42</v>
      </c>
      <c r="O13" s="61" t="s">
        <v>42</v>
      </c>
      <c r="P13" s="61" t="s">
        <v>42</v>
      </c>
      <c r="Q13" s="61">
        <v>11.0</v>
      </c>
      <c r="R13" s="61">
        <v>9.0</v>
      </c>
      <c r="S13" s="61" t="s">
        <v>42</v>
      </c>
      <c r="T13" s="61" t="s">
        <v>42</v>
      </c>
      <c r="U13" s="61" t="s">
        <v>42</v>
      </c>
      <c r="V13" s="61" t="s">
        <v>42</v>
      </c>
      <c r="W13" s="61">
        <v>6.0</v>
      </c>
      <c r="X13" s="61">
        <v>8.0</v>
      </c>
      <c r="Y13" s="61">
        <v>26.0</v>
      </c>
      <c r="Z13" s="61" t="s">
        <v>42</v>
      </c>
      <c r="AA13" s="61">
        <v>55.0</v>
      </c>
      <c r="AB13" s="61">
        <v>7.0</v>
      </c>
      <c r="AC13" s="61">
        <v>113.0</v>
      </c>
      <c r="AD13" s="61">
        <v>0.0</v>
      </c>
      <c r="AE13" s="61" t="s">
        <v>42</v>
      </c>
      <c r="AF13" s="61">
        <v>8.0</v>
      </c>
      <c r="AG13" s="61">
        <v>8.0</v>
      </c>
      <c r="AH13" s="61">
        <v>5.0</v>
      </c>
      <c r="AI13" s="61" t="s">
        <v>42</v>
      </c>
      <c r="AJ13" s="61">
        <v>29.0</v>
      </c>
      <c r="AK13" s="61" t="s">
        <v>42</v>
      </c>
      <c r="AL13" s="61">
        <v>15.0</v>
      </c>
      <c r="AM13" s="61">
        <v>9.0</v>
      </c>
      <c r="AN13" s="61">
        <v>11.0</v>
      </c>
      <c r="AO13" s="61">
        <v>20.0</v>
      </c>
      <c r="AP13" s="60">
        <v>481.0</v>
      </c>
    </row>
    <row r="14">
      <c r="A14" s="102" t="s">
        <v>97</v>
      </c>
      <c r="B14" s="61">
        <v>6.0</v>
      </c>
      <c r="C14" s="61">
        <v>9.0</v>
      </c>
      <c r="D14" s="61">
        <v>14.0</v>
      </c>
      <c r="E14" s="61">
        <v>48.0</v>
      </c>
      <c r="F14" s="61" t="s">
        <v>42</v>
      </c>
      <c r="G14" s="61">
        <v>23.0</v>
      </c>
      <c r="H14" s="61">
        <v>109.0</v>
      </c>
      <c r="I14" s="61">
        <v>41.0</v>
      </c>
      <c r="J14" s="61">
        <v>13.0</v>
      </c>
      <c r="K14" s="61">
        <v>60.0</v>
      </c>
      <c r="L14" s="61" t="s">
        <v>42</v>
      </c>
      <c r="M14" s="61">
        <v>5.0</v>
      </c>
      <c r="N14" s="61" t="s">
        <v>42</v>
      </c>
      <c r="O14" s="61" t="s">
        <v>42</v>
      </c>
      <c r="P14" s="61" t="s">
        <v>42</v>
      </c>
      <c r="Q14" s="61">
        <v>39.0</v>
      </c>
      <c r="R14" s="61">
        <v>19.0</v>
      </c>
      <c r="S14" s="61" t="s">
        <v>42</v>
      </c>
      <c r="T14" s="61">
        <v>6.0</v>
      </c>
      <c r="U14" s="61">
        <v>13.0</v>
      </c>
      <c r="V14" s="61">
        <v>0.0</v>
      </c>
      <c r="W14" s="61">
        <v>8.0</v>
      </c>
      <c r="X14" s="61">
        <v>22.0</v>
      </c>
      <c r="Y14" s="61">
        <v>58.0</v>
      </c>
      <c r="Z14" s="61">
        <v>5.0</v>
      </c>
      <c r="AA14" s="61">
        <v>143.0</v>
      </c>
      <c r="AB14" s="61" t="s">
        <v>42</v>
      </c>
      <c r="AC14" s="61">
        <v>526.0</v>
      </c>
      <c r="AD14" s="61" t="s">
        <v>42</v>
      </c>
      <c r="AE14" s="61">
        <v>6.0</v>
      </c>
      <c r="AF14" s="61">
        <v>18.0</v>
      </c>
      <c r="AG14" s="61">
        <v>19.0</v>
      </c>
      <c r="AH14" s="61">
        <v>14.0</v>
      </c>
      <c r="AI14" s="61" t="s">
        <v>42</v>
      </c>
      <c r="AJ14" s="61">
        <v>66.0</v>
      </c>
      <c r="AK14" s="61" t="s">
        <v>42</v>
      </c>
      <c r="AL14" s="61">
        <v>21.0</v>
      </c>
      <c r="AM14" s="61">
        <v>8.0</v>
      </c>
      <c r="AN14" s="61">
        <v>38.0</v>
      </c>
      <c r="AO14" s="61">
        <v>58.0</v>
      </c>
      <c r="AP14" s="104">
        <v>1442.0</v>
      </c>
    </row>
    <row r="15">
      <c r="A15" s="102" t="s">
        <v>98</v>
      </c>
      <c r="B15" s="61" t="s">
        <v>42</v>
      </c>
      <c r="C15" s="61">
        <v>12.0</v>
      </c>
      <c r="D15" s="61">
        <v>8.0</v>
      </c>
      <c r="E15" s="61">
        <v>112.0</v>
      </c>
      <c r="F15" s="61" t="s">
        <v>42</v>
      </c>
      <c r="G15" s="61">
        <v>18.0</v>
      </c>
      <c r="H15" s="61">
        <v>137.0</v>
      </c>
      <c r="I15" s="61">
        <v>28.0</v>
      </c>
      <c r="J15" s="61">
        <v>5.0</v>
      </c>
      <c r="K15" s="61">
        <v>54.0</v>
      </c>
      <c r="L15" s="61" t="s">
        <v>42</v>
      </c>
      <c r="M15" s="61" t="s">
        <v>42</v>
      </c>
      <c r="N15" s="61">
        <v>6.0</v>
      </c>
      <c r="O15" s="61" t="s">
        <v>42</v>
      </c>
      <c r="P15" s="61" t="s">
        <v>42</v>
      </c>
      <c r="Q15" s="61">
        <v>39.0</v>
      </c>
      <c r="R15" s="61">
        <v>20.0</v>
      </c>
      <c r="S15" s="61" t="s">
        <v>42</v>
      </c>
      <c r="T15" s="61" t="s">
        <v>42</v>
      </c>
      <c r="U15" s="61" t="s">
        <v>42</v>
      </c>
      <c r="V15" s="61">
        <v>0.0</v>
      </c>
      <c r="W15" s="61">
        <v>0.0</v>
      </c>
      <c r="X15" s="61">
        <v>6.0</v>
      </c>
      <c r="Y15" s="61">
        <v>84.0</v>
      </c>
      <c r="Z15" s="61" t="s">
        <v>42</v>
      </c>
      <c r="AA15" s="61">
        <v>207.0</v>
      </c>
      <c r="AB15" s="61" t="s">
        <v>42</v>
      </c>
      <c r="AC15" s="61">
        <v>626.0</v>
      </c>
      <c r="AD15" s="61" t="s">
        <v>42</v>
      </c>
      <c r="AE15" s="61">
        <v>6.0</v>
      </c>
      <c r="AF15" s="61">
        <v>7.0</v>
      </c>
      <c r="AG15" s="61">
        <v>10.0</v>
      </c>
      <c r="AH15" s="61">
        <v>8.0</v>
      </c>
      <c r="AI15" s="61" t="s">
        <v>42</v>
      </c>
      <c r="AJ15" s="61">
        <v>62.0</v>
      </c>
      <c r="AK15" s="61" t="s">
        <v>42</v>
      </c>
      <c r="AL15" s="61">
        <v>31.0</v>
      </c>
      <c r="AM15" s="61">
        <v>6.0</v>
      </c>
      <c r="AN15" s="61">
        <v>48.0</v>
      </c>
      <c r="AO15" s="61">
        <v>34.0</v>
      </c>
      <c r="AP15" s="104">
        <v>1613.0</v>
      </c>
    </row>
    <row r="16">
      <c r="A16" s="102" t="s">
        <v>99</v>
      </c>
      <c r="B16" s="61">
        <v>6.0</v>
      </c>
      <c r="C16" s="61">
        <v>12.0</v>
      </c>
      <c r="D16" s="61">
        <v>10.0</v>
      </c>
      <c r="E16" s="61">
        <v>170.0</v>
      </c>
      <c r="F16" s="61" t="s">
        <v>42</v>
      </c>
      <c r="G16" s="61">
        <v>16.0</v>
      </c>
      <c r="H16" s="61">
        <v>123.0</v>
      </c>
      <c r="I16" s="61">
        <v>35.0</v>
      </c>
      <c r="J16" s="61">
        <v>12.0</v>
      </c>
      <c r="K16" s="61">
        <v>49.0</v>
      </c>
      <c r="L16" s="61">
        <v>5.0</v>
      </c>
      <c r="M16" s="61" t="s">
        <v>42</v>
      </c>
      <c r="N16" s="61">
        <v>7.0</v>
      </c>
      <c r="O16" s="61">
        <v>5.0</v>
      </c>
      <c r="P16" s="61" t="s">
        <v>42</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42</v>
      </c>
      <c r="AL16" s="61">
        <v>34.0</v>
      </c>
      <c r="AM16" s="61">
        <v>15.0</v>
      </c>
      <c r="AN16" s="61">
        <v>50.0</v>
      </c>
      <c r="AO16" s="61">
        <v>40.0</v>
      </c>
      <c r="AP16" s="104">
        <v>1998.0</v>
      </c>
    </row>
    <row r="17">
      <c r="A17" s="102" t="s">
        <v>100</v>
      </c>
      <c r="B17" s="61" t="s">
        <v>42</v>
      </c>
      <c r="C17" s="61">
        <v>10.0</v>
      </c>
      <c r="D17" s="61">
        <v>10.0</v>
      </c>
      <c r="E17" s="61">
        <v>133.0</v>
      </c>
      <c r="F17" s="61" t="s">
        <v>42</v>
      </c>
      <c r="G17" s="61">
        <v>12.0</v>
      </c>
      <c r="H17" s="61">
        <v>109.0</v>
      </c>
      <c r="I17" s="61">
        <v>20.0</v>
      </c>
      <c r="J17" s="61">
        <v>10.0</v>
      </c>
      <c r="K17" s="61">
        <v>43.0</v>
      </c>
      <c r="L17" s="61" t="s">
        <v>42</v>
      </c>
      <c r="M17" s="61" t="s">
        <v>42</v>
      </c>
      <c r="N17" s="61" t="s">
        <v>42</v>
      </c>
      <c r="O17" s="61">
        <v>0.0</v>
      </c>
      <c r="P17" s="61">
        <v>0.0</v>
      </c>
      <c r="Q17" s="61">
        <v>25.0</v>
      </c>
      <c r="R17" s="61">
        <v>19.0</v>
      </c>
      <c r="S17" s="61">
        <v>0.0</v>
      </c>
      <c r="T17" s="61" t="s">
        <v>42</v>
      </c>
      <c r="U17" s="61" t="s">
        <v>42</v>
      </c>
      <c r="V17" s="61">
        <v>0.0</v>
      </c>
      <c r="W17" s="61">
        <v>8.0</v>
      </c>
      <c r="X17" s="61">
        <v>5.0</v>
      </c>
      <c r="Y17" s="61">
        <v>58.0</v>
      </c>
      <c r="Z17" s="61" t="s">
        <v>42</v>
      </c>
      <c r="AA17" s="61">
        <v>200.0</v>
      </c>
      <c r="AB17" s="61" t="s">
        <v>42</v>
      </c>
      <c r="AC17" s="61">
        <v>698.0</v>
      </c>
      <c r="AD17" s="61">
        <v>5.0</v>
      </c>
      <c r="AE17" s="61" t="s">
        <v>42</v>
      </c>
      <c r="AF17" s="61">
        <v>11.0</v>
      </c>
      <c r="AG17" s="61" t="s">
        <v>42</v>
      </c>
      <c r="AH17" s="61">
        <v>7.0</v>
      </c>
      <c r="AI17" s="61" t="s">
        <v>42</v>
      </c>
      <c r="AJ17" s="61">
        <v>58.0</v>
      </c>
      <c r="AK17" s="61" t="s">
        <v>42</v>
      </c>
      <c r="AL17" s="61">
        <v>25.0</v>
      </c>
      <c r="AM17" s="61">
        <v>7.0</v>
      </c>
      <c r="AN17" s="61">
        <v>54.0</v>
      </c>
      <c r="AO17" s="61">
        <v>75.0</v>
      </c>
      <c r="AP17" s="104">
        <v>1639.0</v>
      </c>
    </row>
    <row r="18">
      <c r="A18" s="102" t="s">
        <v>101</v>
      </c>
      <c r="B18" s="61" t="s">
        <v>42</v>
      </c>
      <c r="C18" s="61">
        <v>9.0</v>
      </c>
      <c r="D18" s="61" t="s">
        <v>42</v>
      </c>
      <c r="E18" s="61">
        <v>127.0</v>
      </c>
      <c r="F18" s="61" t="s">
        <v>42</v>
      </c>
      <c r="G18" s="61">
        <v>12.0</v>
      </c>
      <c r="H18" s="61">
        <v>82.0</v>
      </c>
      <c r="I18" s="61">
        <v>21.0</v>
      </c>
      <c r="J18" s="61">
        <v>7.0</v>
      </c>
      <c r="K18" s="61">
        <v>51.0</v>
      </c>
      <c r="L18" s="61">
        <v>6.0</v>
      </c>
      <c r="M18" s="61" t="s">
        <v>42</v>
      </c>
      <c r="N18" s="61" t="s">
        <v>42</v>
      </c>
      <c r="O18" s="61" t="s">
        <v>42</v>
      </c>
      <c r="P18" s="61" t="s">
        <v>42</v>
      </c>
      <c r="Q18" s="61">
        <v>33.0</v>
      </c>
      <c r="R18" s="61">
        <v>20.0</v>
      </c>
      <c r="S18" s="61" t="s">
        <v>42</v>
      </c>
      <c r="T18" s="61" t="s">
        <v>42</v>
      </c>
      <c r="U18" s="61" t="s">
        <v>42</v>
      </c>
      <c r="V18" s="61">
        <v>0.0</v>
      </c>
      <c r="W18" s="61">
        <v>8.0</v>
      </c>
      <c r="X18" s="61">
        <v>8.0</v>
      </c>
      <c r="Y18" s="61">
        <v>45.0</v>
      </c>
      <c r="Z18" s="61" t="s">
        <v>42</v>
      </c>
      <c r="AA18" s="61">
        <v>194.0</v>
      </c>
      <c r="AB18" s="61" t="s">
        <v>42</v>
      </c>
      <c r="AC18" s="61">
        <v>544.0</v>
      </c>
      <c r="AD18" s="61" t="s">
        <v>42</v>
      </c>
      <c r="AE18" s="61" t="s">
        <v>42</v>
      </c>
      <c r="AF18" s="61">
        <v>11.0</v>
      </c>
      <c r="AG18" s="61" t="s">
        <v>42</v>
      </c>
      <c r="AH18" s="61">
        <v>5.0</v>
      </c>
      <c r="AI18" s="61" t="s">
        <v>42</v>
      </c>
      <c r="AJ18" s="61">
        <v>45.0</v>
      </c>
      <c r="AK18" s="61">
        <v>0.0</v>
      </c>
      <c r="AL18" s="61">
        <v>28.0</v>
      </c>
      <c r="AM18" s="61" t="s">
        <v>42</v>
      </c>
      <c r="AN18" s="61">
        <v>57.0</v>
      </c>
      <c r="AO18" s="61">
        <v>30.0</v>
      </c>
      <c r="AP18" s="104">
        <v>1383.0</v>
      </c>
    </row>
    <row r="19">
      <c r="A19" s="102" t="s">
        <v>102</v>
      </c>
      <c r="B19" s="61">
        <v>7.0</v>
      </c>
      <c r="C19" s="61">
        <v>6.0</v>
      </c>
      <c r="D19" s="61" t="s">
        <v>42</v>
      </c>
      <c r="E19" s="61">
        <v>93.0</v>
      </c>
      <c r="F19" s="61">
        <v>0.0</v>
      </c>
      <c r="G19" s="61">
        <v>13.0</v>
      </c>
      <c r="H19" s="61">
        <v>76.0</v>
      </c>
      <c r="I19" s="61">
        <v>11.0</v>
      </c>
      <c r="J19" s="61">
        <v>6.0</v>
      </c>
      <c r="K19" s="61">
        <v>36.0</v>
      </c>
      <c r="L19" s="61" t="s">
        <v>42</v>
      </c>
      <c r="M19" s="61" t="s">
        <v>42</v>
      </c>
      <c r="N19" s="61">
        <v>9.0</v>
      </c>
      <c r="O19" s="61" t="s">
        <v>42</v>
      </c>
      <c r="P19" s="61">
        <v>0.0</v>
      </c>
      <c r="Q19" s="61">
        <v>23.0</v>
      </c>
      <c r="R19" s="61">
        <v>13.0</v>
      </c>
      <c r="S19" s="61">
        <v>0.0</v>
      </c>
      <c r="T19" s="61">
        <v>0.0</v>
      </c>
      <c r="U19" s="61" t="s">
        <v>42</v>
      </c>
      <c r="V19" s="61">
        <v>0.0</v>
      </c>
      <c r="W19" s="61" t="s">
        <v>42</v>
      </c>
      <c r="X19" s="61">
        <v>5.0</v>
      </c>
      <c r="Y19" s="61">
        <v>47.0</v>
      </c>
      <c r="Z19" s="61">
        <v>9.0</v>
      </c>
      <c r="AA19" s="61">
        <v>122.0</v>
      </c>
      <c r="AB19" s="61" t="s">
        <v>42</v>
      </c>
      <c r="AC19" s="61">
        <v>481.0</v>
      </c>
      <c r="AD19" s="61" t="s">
        <v>42</v>
      </c>
      <c r="AE19" s="61">
        <v>5.0</v>
      </c>
      <c r="AF19" s="61">
        <v>12.0</v>
      </c>
      <c r="AG19" s="61" t="s">
        <v>42</v>
      </c>
      <c r="AH19" s="61">
        <v>7.0</v>
      </c>
      <c r="AI19" s="61">
        <v>14.0</v>
      </c>
      <c r="AJ19" s="61">
        <v>35.0</v>
      </c>
      <c r="AK19" s="61" t="s">
        <v>42</v>
      </c>
      <c r="AL19" s="61">
        <v>12.0</v>
      </c>
      <c r="AM19" s="61">
        <v>0.0</v>
      </c>
      <c r="AN19" s="61">
        <v>43.0</v>
      </c>
      <c r="AO19" s="61">
        <v>13.0</v>
      </c>
      <c r="AP19" s="104">
        <v>1120.0</v>
      </c>
    </row>
    <row r="20">
      <c r="A20" s="102" t="s">
        <v>103</v>
      </c>
      <c r="B20" s="61">
        <v>7.0</v>
      </c>
      <c r="C20" s="61">
        <v>10.0</v>
      </c>
      <c r="D20" s="61">
        <v>9.0</v>
      </c>
      <c r="E20" s="61">
        <v>64.0</v>
      </c>
      <c r="F20" s="61">
        <v>0.0</v>
      </c>
      <c r="G20" s="61">
        <v>17.0</v>
      </c>
      <c r="H20" s="61">
        <v>74.0</v>
      </c>
      <c r="I20" s="61">
        <v>11.0</v>
      </c>
      <c r="J20" s="61" t="s">
        <v>42</v>
      </c>
      <c r="K20" s="61">
        <v>17.0</v>
      </c>
      <c r="L20" s="61" t="s">
        <v>42</v>
      </c>
      <c r="M20" s="61" t="s">
        <v>42</v>
      </c>
      <c r="N20" s="61" t="s">
        <v>42</v>
      </c>
      <c r="O20" s="61" t="s">
        <v>42</v>
      </c>
      <c r="P20" s="61" t="s">
        <v>42</v>
      </c>
      <c r="Q20" s="61">
        <v>19.0</v>
      </c>
      <c r="R20" s="61">
        <v>11.0</v>
      </c>
      <c r="S20" s="61" t="s">
        <v>42</v>
      </c>
      <c r="T20" s="61" t="s">
        <v>42</v>
      </c>
      <c r="U20" s="61" t="s">
        <v>42</v>
      </c>
      <c r="V20" s="61">
        <v>0.0</v>
      </c>
      <c r="W20" s="61" t="s">
        <v>42</v>
      </c>
      <c r="X20" s="61">
        <v>5.0</v>
      </c>
      <c r="Y20" s="61">
        <v>26.0</v>
      </c>
      <c r="Z20" s="61">
        <v>6.0</v>
      </c>
      <c r="AA20" s="61">
        <v>111.0</v>
      </c>
      <c r="AB20" s="61">
        <v>7.0</v>
      </c>
      <c r="AC20" s="61">
        <v>408.0</v>
      </c>
      <c r="AD20" s="61" t="s">
        <v>42</v>
      </c>
      <c r="AE20" s="61" t="s">
        <v>42</v>
      </c>
      <c r="AF20" s="61">
        <v>6.0</v>
      </c>
      <c r="AG20" s="61" t="s">
        <v>42</v>
      </c>
      <c r="AH20" s="61">
        <v>9.0</v>
      </c>
      <c r="AI20" s="61">
        <v>5.0</v>
      </c>
      <c r="AJ20" s="61">
        <v>36.0</v>
      </c>
      <c r="AK20" s="61" t="s">
        <v>42</v>
      </c>
      <c r="AL20" s="61">
        <v>12.0</v>
      </c>
      <c r="AM20" s="61" t="s">
        <v>42</v>
      </c>
      <c r="AN20" s="61">
        <v>37.0</v>
      </c>
      <c r="AO20" s="61">
        <v>17.0</v>
      </c>
      <c r="AP20" s="104">
        <v>958.0</v>
      </c>
    </row>
    <row r="21">
      <c r="A21" s="102" t="s">
        <v>104</v>
      </c>
      <c r="B21" s="61" t="s">
        <v>42</v>
      </c>
      <c r="C21" s="61">
        <v>8.0</v>
      </c>
      <c r="D21" s="61" t="s">
        <v>42</v>
      </c>
      <c r="E21" s="61">
        <v>31.0</v>
      </c>
      <c r="F21" s="61" t="s">
        <v>42</v>
      </c>
      <c r="G21" s="61">
        <v>10.0</v>
      </c>
      <c r="H21" s="61">
        <v>49.0</v>
      </c>
      <c r="I21" s="61">
        <v>6.0</v>
      </c>
      <c r="J21" s="61">
        <v>0.0</v>
      </c>
      <c r="K21" s="61">
        <v>21.0</v>
      </c>
      <c r="L21" s="61">
        <v>0.0</v>
      </c>
      <c r="M21" s="61" t="s">
        <v>42</v>
      </c>
      <c r="N21" s="61" t="s">
        <v>42</v>
      </c>
      <c r="O21" s="61">
        <v>0.0</v>
      </c>
      <c r="P21" s="61" t="s">
        <v>42</v>
      </c>
      <c r="Q21" s="61">
        <v>34.0</v>
      </c>
      <c r="R21" s="61">
        <v>9.0</v>
      </c>
      <c r="S21" s="61">
        <v>0.0</v>
      </c>
      <c r="T21" s="61" t="s">
        <v>42</v>
      </c>
      <c r="U21" s="61" t="s">
        <v>42</v>
      </c>
      <c r="V21" s="61">
        <v>0.0</v>
      </c>
      <c r="W21" s="61">
        <v>9.0</v>
      </c>
      <c r="X21" s="61">
        <v>6.0</v>
      </c>
      <c r="Y21" s="61">
        <v>17.0</v>
      </c>
      <c r="Z21" s="61" t="s">
        <v>42</v>
      </c>
      <c r="AA21" s="61">
        <v>71.0</v>
      </c>
      <c r="AB21" s="61">
        <v>6.0</v>
      </c>
      <c r="AC21" s="61">
        <v>332.0</v>
      </c>
      <c r="AD21" s="61" t="s">
        <v>42</v>
      </c>
      <c r="AE21" s="61" t="s">
        <v>42</v>
      </c>
      <c r="AF21" s="61">
        <v>0.0</v>
      </c>
      <c r="AG21" s="61">
        <v>0.0</v>
      </c>
      <c r="AH21" s="61" t="s">
        <v>42</v>
      </c>
      <c r="AI21" s="61">
        <v>0.0</v>
      </c>
      <c r="AJ21" s="61">
        <v>20.0</v>
      </c>
      <c r="AK21" s="61" t="s">
        <v>42</v>
      </c>
      <c r="AL21" s="61">
        <v>9.0</v>
      </c>
      <c r="AM21" s="61" t="s">
        <v>42</v>
      </c>
      <c r="AN21" s="61">
        <v>38.0</v>
      </c>
      <c r="AO21" s="61">
        <v>11.0</v>
      </c>
      <c r="AP21" s="60">
        <v>720.0</v>
      </c>
    </row>
    <row r="22">
      <c r="A22" s="102" t="s">
        <v>105</v>
      </c>
      <c r="B22" s="61" t="s">
        <v>42</v>
      </c>
      <c r="C22" s="61" t="s">
        <v>42</v>
      </c>
      <c r="D22" s="61" t="s">
        <v>42</v>
      </c>
      <c r="E22" s="61">
        <v>29.0</v>
      </c>
      <c r="F22" s="61">
        <v>0.0</v>
      </c>
      <c r="G22" s="61" t="s">
        <v>42</v>
      </c>
      <c r="H22" s="61">
        <v>35.0</v>
      </c>
      <c r="I22" s="61">
        <v>11.0</v>
      </c>
      <c r="J22" s="61" t="s">
        <v>42</v>
      </c>
      <c r="K22" s="61">
        <v>12.0</v>
      </c>
      <c r="L22" s="61" t="s">
        <v>42</v>
      </c>
      <c r="M22" s="61">
        <v>0.0</v>
      </c>
      <c r="N22" s="61" t="s">
        <v>42</v>
      </c>
      <c r="O22" s="61">
        <v>0.0</v>
      </c>
      <c r="P22" s="61" t="s">
        <v>42</v>
      </c>
      <c r="Q22" s="61">
        <v>12.0</v>
      </c>
      <c r="R22" s="61" t="s">
        <v>42</v>
      </c>
      <c r="S22" s="61">
        <v>0.0</v>
      </c>
      <c r="T22" s="61" t="s">
        <v>42</v>
      </c>
      <c r="U22" s="61" t="s">
        <v>42</v>
      </c>
      <c r="V22" s="61">
        <v>0.0</v>
      </c>
      <c r="W22" s="61" t="s">
        <v>42</v>
      </c>
      <c r="X22" s="61" t="s">
        <v>42</v>
      </c>
      <c r="Y22" s="61">
        <v>20.0</v>
      </c>
      <c r="Z22" s="61" t="s">
        <v>42</v>
      </c>
      <c r="AA22" s="61">
        <v>51.0</v>
      </c>
      <c r="AB22" s="61">
        <v>5.0</v>
      </c>
      <c r="AC22" s="61">
        <v>258.0</v>
      </c>
      <c r="AD22" s="61">
        <v>0.0</v>
      </c>
      <c r="AE22" s="61" t="s">
        <v>42</v>
      </c>
      <c r="AF22" s="61" t="s">
        <v>42</v>
      </c>
      <c r="AG22" s="61">
        <v>0.0</v>
      </c>
      <c r="AH22" s="61" t="s">
        <v>42</v>
      </c>
      <c r="AI22" s="61" t="s">
        <v>42</v>
      </c>
      <c r="AJ22" s="61">
        <v>19.0</v>
      </c>
      <c r="AK22" s="61">
        <v>0.0</v>
      </c>
      <c r="AL22" s="61">
        <v>9.0</v>
      </c>
      <c r="AM22" s="61">
        <v>0.0</v>
      </c>
      <c r="AN22" s="61">
        <v>25.0</v>
      </c>
      <c r="AO22" s="61" t="s">
        <v>42</v>
      </c>
      <c r="AP22" s="60">
        <v>527.0</v>
      </c>
    </row>
    <row r="23">
      <c r="A23" s="102" t="s">
        <v>106</v>
      </c>
      <c r="B23" s="61" t="s">
        <v>42</v>
      </c>
      <c r="C23" s="61" t="s">
        <v>42</v>
      </c>
      <c r="D23" s="61" t="s">
        <v>42</v>
      </c>
      <c r="E23" s="61">
        <v>23.0</v>
      </c>
      <c r="F23" s="61" t="s">
        <v>42</v>
      </c>
      <c r="G23" s="61" t="s">
        <v>42</v>
      </c>
      <c r="H23" s="61">
        <v>32.0</v>
      </c>
      <c r="I23" s="61">
        <v>9.0</v>
      </c>
      <c r="J23" s="61" t="s">
        <v>42</v>
      </c>
      <c r="K23" s="61">
        <v>12.0</v>
      </c>
      <c r="L23" s="61" t="s">
        <v>42</v>
      </c>
      <c r="M23" s="61">
        <v>0.0</v>
      </c>
      <c r="N23" s="61">
        <v>0.0</v>
      </c>
      <c r="O23" s="61">
        <v>0.0</v>
      </c>
      <c r="P23" s="61">
        <v>0.0</v>
      </c>
      <c r="Q23" s="61">
        <v>15.0</v>
      </c>
      <c r="R23" s="61">
        <v>6.0</v>
      </c>
      <c r="S23" s="61">
        <v>0.0</v>
      </c>
      <c r="T23" s="61" t="s">
        <v>42</v>
      </c>
      <c r="U23" s="61">
        <v>0.0</v>
      </c>
      <c r="V23" s="61">
        <v>0.0</v>
      </c>
      <c r="W23" s="61" t="s">
        <v>42</v>
      </c>
      <c r="X23" s="61" t="s">
        <v>42</v>
      </c>
      <c r="Y23" s="61">
        <v>9.0</v>
      </c>
      <c r="Z23" s="61">
        <v>6.0</v>
      </c>
      <c r="AA23" s="61">
        <v>41.0</v>
      </c>
      <c r="AB23" s="61">
        <v>0.0</v>
      </c>
      <c r="AC23" s="61">
        <v>159.0</v>
      </c>
      <c r="AD23" s="61">
        <v>0.0</v>
      </c>
      <c r="AE23" s="61" t="s">
        <v>42</v>
      </c>
      <c r="AF23" s="61" t="s">
        <v>42</v>
      </c>
      <c r="AG23" s="61" t="s">
        <v>42</v>
      </c>
      <c r="AH23" s="61" t="s">
        <v>42</v>
      </c>
      <c r="AI23" s="61" t="s">
        <v>42</v>
      </c>
      <c r="AJ23" s="61">
        <v>10.0</v>
      </c>
      <c r="AK23" s="61">
        <v>0.0</v>
      </c>
      <c r="AL23" s="61" t="s">
        <v>42</v>
      </c>
      <c r="AM23" s="61">
        <v>0.0</v>
      </c>
      <c r="AN23" s="61">
        <v>19.0</v>
      </c>
      <c r="AO23" s="61" t="s">
        <v>42</v>
      </c>
      <c r="AP23" s="60">
        <v>377.0</v>
      </c>
    </row>
    <row r="24">
      <c r="A24" s="102" t="s">
        <v>107</v>
      </c>
      <c r="B24" s="61">
        <v>0.0</v>
      </c>
      <c r="C24" s="61" t="s">
        <v>42</v>
      </c>
      <c r="D24" s="61" t="s">
        <v>42</v>
      </c>
      <c r="E24" s="61">
        <v>21.0</v>
      </c>
      <c r="F24" s="61" t="s">
        <v>42</v>
      </c>
      <c r="G24" s="61">
        <v>0.0</v>
      </c>
      <c r="H24" s="61">
        <v>18.0</v>
      </c>
      <c r="I24" s="61" t="s">
        <v>42</v>
      </c>
      <c r="J24" s="61" t="s">
        <v>42</v>
      </c>
      <c r="K24" s="61">
        <v>8.0</v>
      </c>
      <c r="L24" s="61">
        <v>0.0</v>
      </c>
      <c r="M24" s="61">
        <v>0.0</v>
      </c>
      <c r="N24" s="61">
        <v>0.0</v>
      </c>
      <c r="O24" s="61">
        <v>0.0</v>
      </c>
      <c r="P24" s="61" t="s">
        <v>42</v>
      </c>
      <c r="Q24" s="61">
        <v>6.0</v>
      </c>
      <c r="R24" s="61">
        <v>5.0</v>
      </c>
      <c r="S24" s="61">
        <v>0.0</v>
      </c>
      <c r="T24" s="61" t="s">
        <v>42</v>
      </c>
      <c r="U24" s="61" t="s">
        <v>42</v>
      </c>
      <c r="V24" s="61">
        <v>0.0</v>
      </c>
      <c r="W24" s="61">
        <v>7.0</v>
      </c>
      <c r="X24" s="61" t="s">
        <v>42</v>
      </c>
      <c r="Y24" s="61" t="s">
        <v>42</v>
      </c>
      <c r="Z24" s="61" t="s">
        <v>42</v>
      </c>
      <c r="AA24" s="61">
        <v>26.0</v>
      </c>
      <c r="AB24" s="61">
        <v>0.0</v>
      </c>
      <c r="AC24" s="61">
        <v>130.0</v>
      </c>
      <c r="AD24" s="61" t="s">
        <v>42</v>
      </c>
      <c r="AE24" s="61" t="s">
        <v>42</v>
      </c>
      <c r="AF24" s="61" t="s">
        <v>42</v>
      </c>
      <c r="AG24" s="61">
        <v>0.0</v>
      </c>
      <c r="AH24" s="61">
        <v>0.0</v>
      </c>
      <c r="AI24" s="61" t="s">
        <v>42</v>
      </c>
      <c r="AJ24" s="61">
        <v>11.0</v>
      </c>
      <c r="AK24" s="61">
        <v>0.0</v>
      </c>
      <c r="AL24" s="61">
        <v>10.0</v>
      </c>
      <c r="AM24" s="61" t="s">
        <v>42</v>
      </c>
      <c r="AN24" s="61">
        <v>16.0</v>
      </c>
      <c r="AO24" s="61">
        <v>5.0</v>
      </c>
      <c r="AP24" s="60">
        <v>292.0</v>
      </c>
    </row>
    <row r="25">
      <c r="A25" s="102" t="s">
        <v>108</v>
      </c>
      <c r="B25" s="61" t="s">
        <v>42</v>
      </c>
      <c r="C25" s="61" t="s">
        <v>42</v>
      </c>
      <c r="D25" s="61" t="s">
        <v>42</v>
      </c>
      <c r="E25" s="61">
        <v>12.0</v>
      </c>
      <c r="F25" s="61" t="s">
        <v>42</v>
      </c>
      <c r="G25" s="61" t="s">
        <v>42</v>
      </c>
      <c r="H25" s="61">
        <v>11.0</v>
      </c>
      <c r="I25" s="61">
        <v>9.0</v>
      </c>
      <c r="J25" s="61" t="s">
        <v>42</v>
      </c>
      <c r="K25" s="61">
        <v>7.0</v>
      </c>
      <c r="L25" s="61">
        <v>0.0</v>
      </c>
      <c r="M25" s="61" t="s">
        <v>42</v>
      </c>
      <c r="N25" s="61" t="s">
        <v>42</v>
      </c>
      <c r="O25" s="61" t="s">
        <v>42</v>
      </c>
      <c r="P25" s="61">
        <v>0.0</v>
      </c>
      <c r="Q25" s="61">
        <v>9.0</v>
      </c>
      <c r="R25" s="61">
        <v>5.0</v>
      </c>
      <c r="S25" s="61">
        <v>0.0</v>
      </c>
      <c r="T25" s="61">
        <v>6.0</v>
      </c>
      <c r="U25" s="61">
        <v>0.0</v>
      </c>
      <c r="V25" s="61">
        <v>0.0</v>
      </c>
      <c r="W25" s="61">
        <v>12.0</v>
      </c>
      <c r="X25" s="61" t="s">
        <v>42</v>
      </c>
      <c r="Y25" s="61">
        <v>12.0</v>
      </c>
      <c r="Z25" s="61" t="s">
        <v>42</v>
      </c>
      <c r="AA25" s="61">
        <v>40.0</v>
      </c>
      <c r="AB25" s="61" t="s">
        <v>42</v>
      </c>
      <c r="AC25" s="61">
        <v>123.0</v>
      </c>
      <c r="AD25" s="61">
        <v>0.0</v>
      </c>
      <c r="AE25" s="61" t="s">
        <v>42</v>
      </c>
      <c r="AF25" s="61" t="s">
        <v>42</v>
      </c>
      <c r="AG25" s="61" t="s">
        <v>42</v>
      </c>
      <c r="AH25" s="61" t="s">
        <v>42</v>
      </c>
      <c r="AI25" s="61" t="s">
        <v>42</v>
      </c>
      <c r="AJ25" s="61">
        <v>10.0</v>
      </c>
      <c r="AK25" s="61" t="s">
        <v>42</v>
      </c>
      <c r="AL25" s="61">
        <v>9.0</v>
      </c>
      <c r="AM25" s="61" t="s">
        <v>42</v>
      </c>
      <c r="AN25" s="61">
        <v>16.0</v>
      </c>
      <c r="AO25" s="61">
        <v>8.0</v>
      </c>
      <c r="AP25" s="60">
        <v>325.0</v>
      </c>
    </row>
    <row r="26">
      <c r="A26" s="102" t="s">
        <v>109</v>
      </c>
      <c r="B26" s="61" t="s">
        <v>42</v>
      </c>
      <c r="C26" s="61" t="s">
        <v>42</v>
      </c>
      <c r="D26" s="61" t="s">
        <v>42</v>
      </c>
      <c r="E26" s="61">
        <v>6.0</v>
      </c>
      <c r="F26" s="61" t="s">
        <v>42</v>
      </c>
      <c r="G26" s="61">
        <v>8.0</v>
      </c>
      <c r="H26" s="61">
        <v>32.0</v>
      </c>
      <c r="I26" s="61" t="s">
        <v>42</v>
      </c>
      <c r="J26" s="61" t="s">
        <v>42</v>
      </c>
      <c r="K26" s="61">
        <v>6.0</v>
      </c>
      <c r="L26" s="61">
        <v>0.0</v>
      </c>
      <c r="M26" s="61" t="s">
        <v>42</v>
      </c>
      <c r="N26" s="61" t="s">
        <v>42</v>
      </c>
      <c r="O26" s="61" t="s">
        <v>42</v>
      </c>
      <c r="P26" s="61" t="s">
        <v>42</v>
      </c>
      <c r="Q26" s="61">
        <v>9.0</v>
      </c>
      <c r="R26" s="61" t="s">
        <v>42</v>
      </c>
      <c r="S26" s="61" t="s">
        <v>42</v>
      </c>
      <c r="T26" s="61">
        <v>5.0</v>
      </c>
      <c r="U26" s="61">
        <v>0.0</v>
      </c>
      <c r="V26" s="61">
        <v>0.0</v>
      </c>
      <c r="W26" s="61">
        <v>9.0</v>
      </c>
      <c r="X26" s="61" t="s">
        <v>42</v>
      </c>
      <c r="Y26" s="61">
        <v>10.0</v>
      </c>
      <c r="Z26" s="61" t="s">
        <v>42</v>
      </c>
      <c r="AA26" s="61">
        <v>13.0</v>
      </c>
      <c r="AB26" s="61" t="s">
        <v>42</v>
      </c>
      <c r="AC26" s="61">
        <v>87.0</v>
      </c>
      <c r="AD26" s="61">
        <v>0.0</v>
      </c>
      <c r="AE26" s="61" t="s">
        <v>42</v>
      </c>
      <c r="AF26" s="61">
        <v>5.0</v>
      </c>
      <c r="AG26" s="61" t="s">
        <v>42</v>
      </c>
      <c r="AH26" s="61" t="s">
        <v>42</v>
      </c>
      <c r="AI26" s="61" t="s">
        <v>42</v>
      </c>
      <c r="AJ26" s="61">
        <v>10.0</v>
      </c>
      <c r="AK26" s="61">
        <v>0.0</v>
      </c>
      <c r="AL26" s="61">
        <v>8.0</v>
      </c>
      <c r="AM26" s="61">
        <v>5.0</v>
      </c>
      <c r="AN26" s="61">
        <v>7.0</v>
      </c>
      <c r="AO26" s="61" t="s">
        <v>42</v>
      </c>
      <c r="AP26" s="60">
        <v>258.0</v>
      </c>
    </row>
    <row r="27">
      <c r="A27" s="102" t="s">
        <v>110</v>
      </c>
      <c r="B27" s="61" t="s">
        <v>42</v>
      </c>
      <c r="C27" s="61">
        <v>7.0</v>
      </c>
      <c r="D27" s="61" t="s">
        <v>42</v>
      </c>
      <c r="E27" s="61">
        <v>15.0</v>
      </c>
      <c r="F27" s="61" t="s">
        <v>42</v>
      </c>
      <c r="G27" s="61">
        <v>9.0</v>
      </c>
      <c r="H27" s="61">
        <v>24.0</v>
      </c>
      <c r="I27" s="61" t="s">
        <v>42</v>
      </c>
      <c r="J27" s="61">
        <v>7.0</v>
      </c>
      <c r="K27" s="61">
        <v>7.0</v>
      </c>
      <c r="L27" s="61">
        <v>0.0</v>
      </c>
      <c r="M27" s="61">
        <v>0.0</v>
      </c>
      <c r="N27" s="61" t="s">
        <v>42</v>
      </c>
      <c r="O27" s="61" t="s">
        <v>42</v>
      </c>
      <c r="P27" s="61" t="s">
        <v>42</v>
      </c>
      <c r="Q27" s="61">
        <v>6.0</v>
      </c>
      <c r="R27" s="61">
        <v>6.0</v>
      </c>
      <c r="S27" s="61">
        <v>0.0</v>
      </c>
      <c r="T27" s="61">
        <v>8.0</v>
      </c>
      <c r="U27" s="61" t="s">
        <v>42</v>
      </c>
      <c r="V27" s="61" t="s">
        <v>42</v>
      </c>
      <c r="W27" s="61">
        <v>11.0</v>
      </c>
      <c r="X27" s="61">
        <v>0.0</v>
      </c>
      <c r="Y27" s="61">
        <v>16.0</v>
      </c>
      <c r="Z27" s="61">
        <v>5.0</v>
      </c>
      <c r="AA27" s="61">
        <v>28.0</v>
      </c>
      <c r="AB27" s="61" t="s">
        <v>42</v>
      </c>
      <c r="AC27" s="61">
        <v>103.0</v>
      </c>
      <c r="AD27" s="61">
        <v>0.0</v>
      </c>
      <c r="AE27" s="61" t="s">
        <v>42</v>
      </c>
      <c r="AF27" s="61">
        <v>5.0</v>
      </c>
      <c r="AG27" s="61" t="s">
        <v>42</v>
      </c>
      <c r="AH27" s="61" t="s">
        <v>42</v>
      </c>
      <c r="AI27" s="61" t="s">
        <v>42</v>
      </c>
      <c r="AJ27" s="61">
        <v>17.0</v>
      </c>
      <c r="AK27" s="61" t="s">
        <v>42</v>
      </c>
      <c r="AL27" s="61">
        <v>13.0</v>
      </c>
      <c r="AM27" s="61" t="s">
        <v>42</v>
      </c>
      <c r="AN27" s="61">
        <v>12.0</v>
      </c>
      <c r="AO27" s="61" t="s">
        <v>42</v>
      </c>
      <c r="AP27" s="60">
        <v>335.0</v>
      </c>
    </row>
    <row r="28">
      <c r="A28" s="102" t="s">
        <v>111</v>
      </c>
      <c r="B28" s="61" t="s">
        <v>42</v>
      </c>
      <c r="C28" s="61">
        <v>8.0</v>
      </c>
      <c r="D28" s="61" t="s">
        <v>42</v>
      </c>
      <c r="E28" s="61">
        <v>21.0</v>
      </c>
      <c r="F28" s="61" t="s">
        <v>42</v>
      </c>
      <c r="G28" s="61" t="s">
        <v>42</v>
      </c>
      <c r="H28" s="61">
        <v>33.0</v>
      </c>
      <c r="I28" s="61">
        <v>11.0</v>
      </c>
      <c r="J28" s="61" t="s">
        <v>42</v>
      </c>
      <c r="K28" s="61">
        <v>15.0</v>
      </c>
      <c r="L28" s="61">
        <v>0.0</v>
      </c>
      <c r="M28" s="61" t="s">
        <v>42</v>
      </c>
      <c r="N28" s="61">
        <v>0.0</v>
      </c>
      <c r="O28" s="61">
        <v>0.0</v>
      </c>
      <c r="P28" s="61">
        <v>0.0</v>
      </c>
      <c r="Q28" s="61">
        <v>11.0</v>
      </c>
      <c r="R28" s="61">
        <v>5.0</v>
      </c>
      <c r="S28" s="61" t="s">
        <v>42</v>
      </c>
      <c r="T28" s="61" t="s">
        <v>42</v>
      </c>
      <c r="U28" s="61" t="s">
        <v>42</v>
      </c>
      <c r="V28" s="61">
        <v>0.0</v>
      </c>
      <c r="W28" s="61" t="s">
        <v>42</v>
      </c>
      <c r="X28" s="61" t="s">
        <v>42</v>
      </c>
      <c r="Y28" s="61">
        <v>14.0</v>
      </c>
      <c r="Z28" s="61" t="s">
        <v>42</v>
      </c>
      <c r="AA28" s="61">
        <v>59.0</v>
      </c>
      <c r="AB28" s="61" t="s">
        <v>42</v>
      </c>
      <c r="AC28" s="61">
        <v>121.0</v>
      </c>
      <c r="AD28" s="61">
        <v>0.0</v>
      </c>
      <c r="AE28" s="61" t="s">
        <v>42</v>
      </c>
      <c r="AF28" s="61">
        <v>13.0</v>
      </c>
      <c r="AG28" s="61" t="s">
        <v>42</v>
      </c>
      <c r="AH28" s="61" t="s">
        <v>42</v>
      </c>
      <c r="AI28" s="61" t="s">
        <v>42</v>
      </c>
      <c r="AJ28" s="61">
        <v>20.0</v>
      </c>
      <c r="AK28" s="61">
        <v>0.0</v>
      </c>
      <c r="AL28" s="61">
        <v>9.0</v>
      </c>
      <c r="AM28" s="61" t="s">
        <v>42</v>
      </c>
      <c r="AN28" s="61">
        <v>16.0</v>
      </c>
      <c r="AO28" s="61">
        <v>15.0</v>
      </c>
      <c r="AP28" s="60">
        <v>415.0</v>
      </c>
    </row>
    <row r="29">
      <c r="A29" s="102" t="s">
        <v>112</v>
      </c>
      <c r="B29" s="61">
        <v>0.0</v>
      </c>
      <c r="C29" s="61">
        <v>8.0</v>
      </c>
      <c r="D29" s="61" t="s">
        <v>42</v>
      </c>
      <c r="E29" s="61">
        <v>34.0</v>
      </c>
      <c r="F29" s="61" t="s">
        <v>42</v>
      </c>
      <c r="G29" s="61">
        <v>11.0</v>
      </c>
      <c r="H29" s="61">
        <v>44.0</v>
      </c>
      <c r="I29" s="61">
        <v>10.0</v>
      </c>
      <c r="J29" s="61">
        <v>6.0</v>
      </c>
      <c r="K29" s="61">
        <v>20.0</v>
      </c>
      <c r="L29" s="61" t="s">
        <v>42</v>
      </c>
      <c r="M29" s="61">
        <v>0.0</v>
      </c>
      <c r="N29" s="61" t="s">
        <v>42</v>
      </c>
      <c r="O29" s="61" t="s">
        <v>42</v>
      </c>
      <c r="P29" s="61" t="s">
        <v>42</v>
      </c>
      <c r="Q29" s="61">
        <v>19.0</v>
      </c>
      <c r="R29" s="61">
        <v>5.0</v>
      </c>
      <c r="S29" s="61">
        <v>0.0</v>
      </c>
      <c r="T29" s="61" t="s">
        <v>42</v>
      </c>
      <c r="U29" s="61" t="s">
        <v>42</v>
      </c>
      <c r="V29" s="61" t="s">
        <v>42</v>
      </c>
      <c r="W29" s="61">
        <v>7.0</v>
      </c>
      <c r="X29" s="61">
        <v>5.0</v>
      </c>
      <c r="Y29" s="61">
        <v>33.0</v>
      </c>
      <c r="Z29" s="61">
        <v>7.0</v>
      </c>
      <c r="AA29" s="61">
        <v>93.0</v>
      </c>
      <c r="AB29" s="61" t="s">
        <v>42</v>
      </c>
      <c r="AC29" s="61">
        <v>170.0</v>
      </c>
      <c r="AD29" s="61">
        <v>0.0</v>
      </c>
      <c r="AE29" s="61" t="s">
        <v>42</v>
      </c>
      <c r="AF29" s="61">
        <v>9.0</v>
      </c>
      <c r="AG29" s="61" t="s">
        <v>42</v>
      </c>
      <c r="AH29" s="61" t="s">
        <v>42</v>
      </c>
      <c r="AI29" s="61">
        <v>9.0</v>
      </c>
      <c r="AJ29" s="61">
        <v>34.0</v>
      </c>
      <c r="AK29" s="61" t="s">
        <v>42</v>
      </c>
      <c r="AL29" s="61">
        <v>10.0</v>
      </c>
      <c r="AM29" s="61" t="s">
        <v>42</v>
      </c>
      <c r="AN29" s="61">
        <v>17.0</v>
      </c>
      <c r="AO29" s="61">
        <v>28.0</v>
      </c>
      <c r="AP29" s="60">
        <v>611.0</v>
      </c>
    </row>
    <row r="30">
      <c r="A30" s="144" t="s">
        <v>113</v>
      </c>
      <c r="B30" s="61" t="s">
        <v>42</v>
      </c>
      <c r="C30" s="61">
        <v>5.0</v>
      </c>
      <c r="D30" s="61">
        <v>7.0</v>
      </c>
      <c r="E30" s="71">
        <v>37.0</v>
      </c>
      <c r="F30" s="61" t="s">
        <v>42</v>
      </c>
      <c r="G30" s="61">
        <v>7.0</v>
      </c>
      <c r="H30" s="71">
        <v>76.0</v>
      </c>
      <c r="I30" s="61">
        <v>10.0</v>
      </c>
      <c r="J30" s="61">
        <v>7.0</v>
      </c>
      <c r="K30" s="61">
        <v>14.0</v>
      </c>
      <c r="L30" s="61" t="s">
        <v>42</v>
      </c>
      <c r="M30" s="61" t="s">
        <v>42</v>
      </c>
      <c r="N30" s="61" t="s">
        <v>42</v>
      </c>
      <c r="O30" s="61" t="s">
        <v>42</v>
      </c>
      <c r="P30" s="61" t="s">
        <v>42</v>
      </c>
      <c r="Q30" s="61">
        <v>11.0</v>
      </c>
      <c r="R30" s="61">
        <v>13.0</v>
      </c>
      <c r="S30" s="61">
        <v>0.0</v>
      </c>
      <c r="T30" s="61">
        <v>6.0</v>
      </c>
      <c r="U30" s="61">
        <v>0.0</v>
      </c>
      <c r="V30" s="61" t="s">
        <v>42</v>
      </c>
      <c r="W30" s="61">
        <v>7.0</v>
      </c>
      <c r="X30" s="61">
        <v>5.0</v>
      </c>
      <c r="Y30" s="61">
        <v>34.0</v>
      </c>
      <c r="Z30" s="61" t="s">
        <v>42</v>
      </c>
      <c r="AA30" s="71">
        <v>104.0</v>
      </c>
      <c r="AB30" s="61">
        <v>0.0</v>
      </c>
      <c r="AC30" s="71">
        <v>192.0</v>
      </c>
      <c r="AD30" s="61" t="s">
        <v>42</v>
      </c>
      <c r="AE30" s="61" t="s">
        <v>42</v>
      </c>
      <c r="AF30" s="61" t="s">
        <v>42</v>
      </c>
      <c r="AG30" s="61" t="s">
        <v>42</v>
      </c>
      <c r="AH30" s="61" t="s">
        <v>42</v>
      </c>
      <c r="AI30" s="61" t="s">
        <v>42</v>
      </c>
      <c r="AJ30" s="61">
        <v>36.0</v>
      </c>
      <c r="AK30" s="61" t="s">
        <v>42</v>
      </c>
      <c r="AL30" s="61">
        <v>21.0</v>
      </c>
      <c r="AM30" s="61" t="s">
        <v>42</v>
      </c>
      <c r="AN30" s="61">
        <v>20.0</v>
      </c>
      <c r="AO30" s="61">
        <v>27.0</v>
      </c>
      <c r="AP30" s="104">
        <v>670.0</v>
      </c>
    </row>
    <row r="31">
      <c r="A31" s="145" t="s">
        <v>114</v>
      </c>
      <c r="B31" s="61" t="s">
        <v>42</v>
      </c>
      <c r="C31" s="61">
        <v>5.0</v>
      </c>
      <c r="D31" s="61" t="s">
        <v>42</v>
      </c>
      <c r="E31" s="71">
        <v>38.0</v>
      </c>
      <c r="F31" s="61">
        <v>0.0</v>
      </c>
      <c r="G31" s="61">
        <v>8.0</v>
      </c>
      <c r="H31" s="71">
        <v>88.0</v>
      </c>
      <c r="I31" s="61">
        <v>11.0</v>
      </c>
      <c r="J31" s="61" t="s">
        <v>42</v>
      </c>
      <c r="K31" s="61">
        <v>19.0</v>
      </c>
      <c r="L31" s="61" t="s">
        <v>42</v>
      </c>
      <c r="M31" s="61" t="s">
        <v>42</v>
      </c>
      <c r="N31" s="61" t="s">
        <v>42</v>
      </c>
      <c r="O31" s="61" t="s">
        <v>42</v>
      </c>
      <c r="P31" s="61">
        <v>0.0</v>
      </c>
      <c r="Q31" s="61">
        <v>17.0</v>
      </c>
      <c r="R31" s="61">
        <v>14.0</v>
      </c>
      <c r="S31" s="61">
        <v>0.0</v>
      </c>
      <c r="T31" s="61" t="s">
        <v>42</v>
      </c>
      <c r="U31" s="61" t="s">
        <v>42</v>
      </c>
      <c r="V31" s="61" t="s">
        <v>42</v>
      </c>
      <c r="W31" s="61">
        <v>5.0</v>
      </c>
      <c r="X31" s="61">
        <v>7.0</v>
      </c>
      <c r="Y31" s="61">
        <v>27.0</v>
      </c>
      <c r="Z31" s="61" t="s">
        <v>42</v>
      </c>
      <c r="AA31" s="71">
        <v>83.0</v>
      </c>
      <c r="AB31" s="61" t="s">
        <v>42</v>
      </c>
      <c r="AC31" s="71">
        <v>222.0</v>
      </c>
      <c r="AD31" s="61" t="s">
        <v>42</v>
      </c>
      <c r="AE31" s="61">
        <v>5.0</v>
      </c>
      <c r="AF31" s="61">
        <v>7.0</v>
      </c>
      <c r="AG31" s="61" t="s">
        <v>42</v>
      </c>
      <c r="AH31" s="61">
        <v>0.0</v>
      </c>
      <c r="AI31" s="61">
        <v>0.0</v>
      </c>
      <c r="AJ31" s="61">
        <v>30.0</v>
      </c>
      <c r="AK31" s="61">
        <v>0.0</v>
      </c>
      <c r="AL31" s="61">
        <v>11.0</v>
      </c>
      <c r="AM31" s="61">
        <v>5.0</v>
      </c>
      <c r="AN31" s="61">
        <v>21.0</v>
      </c>
      <c r="AO31" s="61" t="s">
        <v>42</v>
      </c>
      <c r="AP31" s="104">
        <v>651.0</v>
      </c>
    </row>
    <row r="32">
      <c r="A32" s="145" t="s">
        <v>115</v>
      </c>
      <c r="B32" s="146" t="s">
        <v>42</v>
      </c>
      <c r="C32" s="146">
        <v>5.0</v>
      </c>
      <c r="D32" s="146" t="s">
        <v>42</v>
      </c>
      <c r="E32" s="147">
        <v>34.0</v>
      </c>
      <c r="F32" s="146" t="s">
        <v>42</v>
      </c>
      <c r="G32" s="146">
        <v>7.0</v>
      </c>
      <c r="H32" s="147">
        <v>34.0</v>
      </c>
      <c r="I32" s="146">
        <v>15.0</v>
      </c>
      <c r="J32" s="146">
        <v>5.0</v>
      </c>
      <c r="K32" s="146">
        <v>13.0</v>
      </c>
      <c r="L32" s="146" t="s">
        <v>42</v>
      </c>
      <c r="M32" s="146" t="s">
        <v>42</v>
      </c>
      <c r="N32" s="146" t="s">
        <v>42</v>
      </c>
      <c r="O32" s="146">
        <v>0.0</v>
      </c>
      <c r="P32" s="146" t="s">
        <v>42</v>
      </c>
      <c r="Q32" s="146">
        <v>11.0</v>
      </c>
      <c r="R32" s="146">
        <v>5.0</v>
      </c>
      <c r="S32" s="146">
        <v>0.0</v>
      </c>
      <c r="T32" s="146">
        <v>0.0</v>
      </c>
      <c r="U32" s="146">
        <v>18.0</v>
      </c>
      <c r="V32" s="146" t="s">
        <v>42</v>
      </c>
      <c r="W32" s="146" t="s">
        <v>42</v>
      </c>
      <c r="X32" s="146">
        <v>11.0</v>
      </c>
      <c r="Y32" s="146">
        <v>20.0</v>
      </c>
      <c r="Z32" s="146">
        <v>0.0</v>
      </c>
      <c r="AA32" s="147">
        <v>55.0</v>
      </c>
      <c r="AB32" s="146" t="s">
        <v>42</v>
      </c>
      <c r="AC32" s="147">
        <v>221.0</v>
      </c>
      <c r="AD32" s="146" t="s">
        <v>42</v>
      </c>
      <c r="AE32" s="146" t="s">
        <v>42</v>
      </c>
      <c r="AF32" s="146">
        <v>11.0</v>
      </c>
      <c r="AG32" s="146">
        <v>17.0</v>
      </c>
      <c r="AH32" s="146" t="s">
        <v>42</v>
      </c>
      <c r="AI32" s="146">
        <v>0.0</v>
      </c>
      <c r="AJ32" s="146">
        <v>20.0</v>
      </c>
      <c r="AK32" s="146" t="s">
        <v>42</v>
      </c>
      <c r="AL32" s="146">
        <v>15.0</v>
      </c>
      <c r="AM32" s="146">
        <v>0.0</v>
      </c>
      <c r="AN32" s="146">
        <v>21.0</v>
      </c>
      <c r="AO32" s="146" t="s">
        <v>42</v>
      </c>
      <c r="AP32" s="148">
        <v>569.0</v>
      </c>
    </row>
    <row r="33">
      <c r="A33" s="145" t="s">
        <v>116</v>
      </c>
      <c r="B33" s="146">
        <v>0.0</v>
      </c>
      <c r="C33" s="146">
        <v>15.0</v>
      </c>
      <c r="D33" s="146" t="s">
        <v>42</v>
      </c>
      <c r="E33" s="147">
        <v>36.0</v>
      </c>
      <c r="F33" s="146">
        <v>0.0</v>
      </c>
      <c r="G33" s="146">
        <v>9.0</v>
      </c>
      <c r="H33" s="147">
        <v>47.0</v>
      </c>
      <c r="I33" s="146">
        <v>21.0</v>
      </c>
      <c r="J33" s="146">
        <v>9.0</v>
      </c>
      <c r="K33" s="146">
        <v>13.0</v>
      </c>
      <c r="L33" s="146" t="s">
        <v>42</v>
      </c>
      <c r="M33" s="146" t="s">
        <v>42</v>
      </c>
      <c r="N33" s="146" t="s">
        <v>42</v>
      </c>
      <c r="O33" s="146" t="s">
        <v>42</v>
      </c>
      <c r="P33" s="146" t="s">
        <v>42</v>
      </c>
      <c r="Q33" s="146">
        <v>22.0</v>
      </c>
      <c r="R33" s="146">
        <v>9.0</v>
      </c>
      <c r="S33" s="146">
        <v>0.0</v>
      </c>
      <c r="T33" s="146">
        <v>7.0</v>
      </c>
      <c r="U33" s="146">
        <v>9.0</v>
      </c>
      <c r="V33" s="146">
        <v>0.0</v>
      </c>
      <c r="W33" s="146" t="s">
        <v>42</v>
      </c>
      <c r="X33" s="146">
        <v>22.0</v>
      </c>
      <c r="Y33" s="146">
        <v>20.0</v>
      </c>
      <c r="Z33" s="146" t="s">
        <v>42</v>
      </c>
      <c r="AA33" s="147">
        <v>54.0</v>
      </c>
      <c r="AB33" s="146" t="s">
        <v>42</v>
      </c>
      <c r="AC33" s="147">
        <v>219.0</v>
      </c>
      <c r="AD33" s="146">
        <v>0.0</v>
      </c>
      <c r="AE33" s="146" t="s">
        <v>42</v>
      </c>
      <c r="AF33" s="146">
        <v>9.0</v>
      </c>
      <c r="AG33" s="146">
        <v>7.0</v>
      </c>
      <c r="AH33" s="146">
        <v>7.0</v>
      </c>
      <c r="AI33" s="146" t="s">
        <v>42</v>
      </c>
      <c r="AJ33" s="146">
        <v>36.0</v>
      </c>
      <c r="AK33" s="146" t="s">
        <v>42</v>
      </c>
      <c r="AL33" s="146" t="s">
        <v>42</v>
      </c>
      <c r="AM33" s="146" t="s">
        <v>42</v>
      </c>
      <c r="AN33" s="146">
        <v>16.0</v>
      </c>
      <c r="AO33" s="146">
        <v>11.0</v>
      </c>
      <c r="AP33" s="148">
        <v>626.0</v>
      </c>
    </row>
    <row r="34">
      <c r="A34" s="145" t="s">
        <v>117</v>
      </c>
      <c r="B34" s="146" t="s">
        <v>42</v>
      </c>
      <c r="C34" s="146">
        <v>7.0</v>
      </c>
      <c r="D34" s="146" t="s">
        <v>42</v>
      </c>
      <c r="E34" s="147">
        <v>22.0</v>
      </c>
      <c r="F34" s="146" t="s">
        <v>42</v>
      </c>
      <c r="G34" s="146">
        <v>9.0</v>
      </c>
      <c r="H34" s="147">
        <v>39.0</v>
      </c>
      <c r="I34" s="146">
        <v>11.0</v>
      </c>
      <c r="J34" s="146">
        <v>8.0</v>
      </c>
      <c r="K34" s="146">
        <v>5.0</v>
      </c>
      <c r="L34" s="146">
        <v>0.0</v>
      </c>
      <c r="M34" s="146" t="s">
        <v>42</v>
      </c>
      <c r="N34" s="146" t="s">
        <v>42</v>
      </c>
      <c r="O34" s="146" t="s">
        <v>42</v>
      </c>
      <c r="P34" s="146">
        <v>0.0</v>
      </c>
      <c r="Q34" s="146">
        <v>14.0</v>
      </c>
      <c r="R34" s="146">
        <v>8.0</v>
      </c>
      <c r="S34" s="146">
        <v>0.0</v>
      </c>
      <c r="T34" s="146" t="s">
        <v>42</v>
      </c>
      <c r="U34" s="146">
        <v>6.0</v>
      </c>
      <c r="V34" s="146">
        <v>0.0</v>
      </c>
      <c r="W34" s="146">
        <v>5.0</v>
      </c>
      <c r="X34" s="146">
        <v>7.0</v>
      </c>
      <c r="Y34" s="146">
        <v>16.0</v>
      </c>
      <c r="Z34" s="146" t="s">
        <v>42</v>
      </c>
      <c r="AA34" s="147">
        <v>38.0</v>
      </c>
      <c r="AB34" s="146">
        <v>5.0</v>
      </c>
      <c r="AC34" s="147">
        <v>191.0</v>
      </c>
      <c r="AD34" s="146" t="s">
        <v>42</v>
      </c>
      <c r="AE34" s="146" t="s">
        <v>42</v>
      </c>
      <c r="AF34" s="146">
        <v>8.0</v>
      </c>
      <c r="AG34" s="146" t="s">
        <v>42</v>
      </c>
      <c r="AH34" s="146">
        <v>5.0</v>
      </c>
      <c r="AI34" s="146" t="s">
        <v>42</v>
      </c>
      <c r="AJ34" s="146">
        <v>15.0</v>
      </c>
      <c r="AK34" s="146" t="s">
        <v>42</v>
      </c>
      <c r="AL34" s="146">
        <v>6.0</v>
      </c>
      <c r="AM34" s="146" t="s">
        <v>42</v>
      </c>
      <c r="AN34" s="146">
        <v>18.0</v>
      </c>
      <c r="AO34" s="146">
        <v>24.0</v>
      </c>
      <c r="AP34" s="148">
        <v>488.0</v>
      </c>
    </row>
    <row r="35">
      <c r="A35" s="145" t="s">
        <v>118</v>
      </c>
      <c r="B35" s="146" t="s">
        <v>42</v>
      </c>
      <c r="C35" s="146" t="s">
        <v>42</v>
      </c>
      <c r="D35" s="146" t="s">
        <v>42</v>
      </c>
      <c r="E35" s="147" t="s">
        <v>42</v>
      </c>
      <c r="F35" s="146">
        <v>0.0</v>
      </c>
      <c r="G35" s="146" t="s">
        <v>42</v>
      </c>
      <c r="H35" s="147">
        <v>37.0</v>
      </c>
      <c r="I35" s="146">
        <v>15.0</v>
      </c>
      <c r="J35" s="146">
        <v>0.0</v>
      </c>
      <c r="K35" s="146">
        <v>10.0</v>
      </c>
      <c r="L35" s="146">
        <v>0.0</v>
      </c>
      <c r="M35" s="146" t="s">
        <v>42</v>
      </c>
      <c r="N35" s="146" t="s">
        <v>42</v>
      </c>
      <c r="O35" s="146">
        <v>0.0</v>
      </c>
      <c r="P35" s="146" t="s">
        <v>42</v>
      </c>
      <c r="Q35" s="146">
        <v>14.0</v>
      </c>
      <c r="R35" s="146">
        <v>6.0</v>
      </c>
      <c r="S35" s="146">
        <v>0.0</v>
      </c>
      <c r="T35" s="146" t="s">
        <v>42</v>
      </c>
      <c r="U35" s="146" t="s">
        <v>42</v>
      </c>
      <c r="V35" s="146">
        <v>0.0</v>
      </c>
      <c r="W35" s="146">
        <v>6.0</v>
      </c>
      <c r="X35" s="146">
        <v>6.0</v>
      </c>
      <c r="Y35" s="146">
        <v>29.0</v>
      </c>
      <c r="Z35" s="146" t="s">
        <v>42</v>
      </c>
      <c r="AA35" s="147">
        <v>38.0</v>
      </c>
      <c r="AB35" s="146" t="s">
        <v>42</v>
      </c>
      <c r="AC35" s="147">
        <v>179.0</v>
      </c>
      <c r="AD35" s="146">
        <v>0.0</v>
      </c>
      <c r="AE35" s="146" t="s">
        <v>42</v>
      </c>
      <c r="AF35" s="146">
        <v>6.0</v>
      </c>
      <c r="AG35" s="146">
        <v>0.0</v>
      </c>
      <c r="AH35" s="146">
        <v>6.0</v>
      </c>
      <c r="AI35" s="146" t="s">
        <v>42</v>
      </c>
      <c r="AJ35" s="146">
        <v>26.0</v>
      </c>
      <c r="AK35" s="146">
        <v>0.0</v>
      </c>
      <c r="AL35" s="146" t="s">
        <v>42</v>
      </c>
      <c r="AM35" s="146" t="s">
        <v>42</v>
      </c>
      <c r="AN35" s="146">
        <v>12.0</v>
      </c>
      <c r="AO35" s="146">
        <v>19.0</v>
      </c>
      <c r="AP35" s="148">
        <v>450.0</v>
      </c>
    </row>
    <row r="36">
      <c r="A36" s="145" t="s">
        <v>119</v>
      </c>
      <c r="B36" s="146">
        <v>5.0</v>
      </c>
      <c r="C36" s="146">
        <v>10.0</v>
      </c>
      <c r="D36" s="146">
        <v>7.0</v>
      </c>
      <c r="E36" s="147">
        <v>18.0</v>
      </c>
      <c r="F36" s="146" t="s">
        <v>42</v>
      </c>
      <c r="G36" s="146" t="s">
        <v>42</v>
      </c>
      <c r="H36" s="147">
        <v>30.0</v>
      </c>
      <c r="I36" s="146">
        <v>30.0</v>
      </c>
      <c r="J36" s="146" t="s">
        <v>42</v>
      </c>
      <c r="K36" s="146">
        <v>16.0</v>
      </c>
      <c r="L36" s="146">
        <v>0.0</v>
      </c>
      <c r="M36" s="146" t="s">
        <v>42</v>
      </c>
      <c r="N36" s="146">
        <v>0.0</v>
      </c>
      <c r="O36" s="146">
        <v>0.0</v>
      </c>
      <c r="P36" s="146">
        <v>0.0</v>
      </c>
      <c r="Q36" s="146">
        <v>9.0</v>
      </c>
      <c r="R36" s="146" t="s">
        <v>42</v>
      </c>
      <c r="S36" s="146">
        <v>0.0</v>
      </c>
      <c r="T36" s="146" t="s">
        <v>42</v>
      </c>
      <c r="U36" s="146">
        <v>5.0</v>
      </c>
      <c r="V36" s="146">
        <v>0.0</v>
      </c>
      <c r="W36" s="146">
        <v>13.0</v>
      </c>
      <c r="X36" s="146">
        <v>7.0</v>
      </c>
      <c r="Y36" s="146">
        <v>11.0</v>
      </c>
      <c r="Z36" s="146" t="s">
        <v>42</v>
      </c>
      <c r="AA36" s="147">
        <v>54.0</v>
      </c>
      <c r="AB36" s="146" t="s">
        <v>42</v>
      </c>
      <c r="AC36" s="147">
        <v>146.0</v>
      </c>
      <c r="AD36" s="146">
        <v>0.0</v>
      </c>
      <c r="AE36" s="146" t="s">
        <v>42</v>
      </c>
      <c r="AF36" s="146">
        <v>6.0</v>
      </c>
      <c r="AG36" s="146" t="s">
        <v>42</v>
      </c>
      <c r="AH36" s="146" t="s">
        <v>42</v>
      </c>
      <c r="AI36" s="146">
        <v>0.0</v>
      </c>
      <c r="AJ36" s="146">
        <v>22.0</v>
      </c>
      <c r="AK36" s="146" t="s">
        <v>42</v>
      </c>
      <c r="AL36" s="146">
        <v>11.0</v>
      </c>
      <c r="AM36" s="146">
        <v>5.0</v>
      </c>
      <c r="AN36" s="146">
        <v>16.0</v>
      </c>
      <c r="AO36" s="146">
        <v>9.0</v>
      </c>
      <c r="AP36" s="148">
        <v>457.0</v>
      </c>
    </row>
    <row r="37">
      <c r="A37" s="145" t="s">
        <v>120</v>
      </c>
      <c r="B37" s="146">
        <v>5.0</v>
      </c>
      <c r="C37" s="146">
        <v>7.0</v>
      </c>
      <c r="D37" s="146">
        <v>10.0</v>
      </c>
      <c r="E37" s="147">
        <v>21.0</v>
      </c>
      <c r="F37" s="146" t="s">
        <v>42</v>
      </c>
      <c r="G37" s="146">
        <v>21.0</v>
      </c>
      <c r="H37" s="147">
        <v>38.0</v>
      </c>
      <c r="I37" s="146">
        <v>15.0</v>
      </c>
      <c r="J37" s="146" t="s">
        <v>42</v>
      </c>
      <c r="K37" s="146">
        <v>9.0</v>
      </c>
      <c r="L37" s="146" t="s">
        <v>42</v>
      </c>
      <c r="M37" s="146">
        <v>0.0</v>
      </c>
      <c r="N37" s="146">
        <v>0.0</v>
      </c>
      <c r="O37" s="146" t="s">
        <v>42</v>
      </c>
      <c r="P37" s="146" t="s">
        <v>42</v>
      </c>
      <c r="Q37" s="146">
        <v>21.0</v>
      </c>
      <c r="R37" s="146">
        <v>5.0</v>
      </c>
      <c r="S37" s="146">
        <v>0.0</v>
      </c>
      <c r="T37" s="146">
        <v>0.0</v>
      </c>
      <c r="U37" s="146">
        <v>31.0</v>
      </c>
      <c r="V37" s="146">
        <v>0.0</v>
      </c>
      <c r="W37" s="146">
        <v>8.0</v>
      </c>
      <c r="X37" s="146">
        <v>5.0</v>
      </c>
      <c r="Y37" s="146">
        <v>21.0</v>
      </c>
      <c r="Z37" s="146">
        <v>6.0</v>
      </c>
      <c r="AA37" s="147">
        <v>40.0</v>
      </c>
      <c r="AB37" s="146" t="s">
        <v>42</v>
      </c>
      <c r="AC37" s="147">
        <v>281.0</v>
      </c>
      <c r="AD37" s="146" t="s">
        <v>42</v>
      </c>
      <c r="AE37" s="146" t="s">
        <v>42</v>
      </c>
      <c r="AF37" s="146">
        <v>11.0</v>
      </c>
      <c r="AG37" s="146">
        <v>7.0</v>
      </c>
      <c r="AH37" s="146">
        <v>5.0</v>
      </c>
      <c r="AI37" s="146" t="s">
        <v>42</v>
      </c>
      <c r="AJ37" s="146">
        <v>33.0</v>
      </c>
      <c r="AK37" s="146" t="s">
        <v>42</v>
      </c>
      <c r="AL37" s="146">
        <v>10.0</v>
      </c>
      <c r="AM37" s="146">
        <v>9.0</v>
      </c>
      <c r="AN37" s="146">
        <v>15.0</v>
      </c>
      <c r="AO37" s="146">
        <v>16.0</v>
      </c>
      <c r="AP37" s="148">
        <v>666.0</v>
      </c>
    </row>
    <row r="38">
      <c r="A38" s="145" t="s">
        <v>121</v>
      </c>
      <c r="B38" s="146" t="s">
        <v>42</v>
      </c>
      <c r="C38" s="146" t="s">
        <v>42</v>
      </c>
      <c r="D38" s="146">
        <v>7.0</v>
      </c>
      <c r="E38" s="147">
        <v>34.0</v>
      </c>
      <c r="F38" s="146" t="s">
        <v>42</v>
      </c>
      <c r="G38" s="146">
        <v>6.0</v>
      </c>
      <c r="H38" s="147">
        <v>40.0</v>
      </c>
      <c r="I38" s="146">
        <v>14.0</v>
      </c>
      <c r="J38" s="146" t="s">
        <v>42</v>
      </c>
      <c r="K38" s="146">
        <v>8.0</v>
      </c>
      <c r="L38" s="146" t="s">
        <v>42</v>
      </c>
      <c r="M38" s="146">
        <v>0.0</v>
      </c>
      <c r="N38" s="146" t="s">
        <v>42</v>
      </c>
      <c r="O38" s="146" t="s">
        <v>42</v>
      </c>
      <c r="P38" s="146" t="s">
        <v>42</v>
      </c>
      <c r="Q38" s="146">
        <v>28.0</v>
      </c>
      <c r="R38" s="146">
        <v>14.0</v>
      </c>
      <c r="S38" s="146">
        <v>0.0</v>
      </c>
      <c r="T38" s="146" t="s">
        <v>42</v>
      </c>
      <c r="U38" s="146">
        <v>30.0</v>
      </c>
      <c r="V38" s="146">
        <v>0.0</v>
      </c>
      <c r="W38" s="146" t="s">
        <v>42</v>
      </c>
      <c r="X38" s="146">
        <v>5.0</v>
      </c>
      <c r="Y38" s="146">
        <v>20.0</v>
      </c>
      <c r="Z38" s="146">
        <v>9.0</v>
      </c>
      <c r="AA38" s="147">
        <v>77.0</v>
      </c>
      <c r="AB38" s="146">
        <v>0.0</v>
      </c>
      <c r="AC38" s="147">
        <v>244.0</v>
      </c>
      <c r="AD38" s="146" t="s">
        <v>42</v>
      </c>
      <c r="AE38" s="146" t="s">
        <v>42</v>
      </c>
      <c r="AF38" s="146">
        <v>11.0</v>
      </c>
      <c r="AG38" s="146" t="s">
        <v>42</v>
      </c>
      <c r="AH38" s="146" t="s">
        <v>42</v>
      </c>
      <c r="AI38" s="146">
        <v>7.0</v>
      </c>
      <c r="AJ38" s="146">
        <v>23.0</v>
      </c>
      <c r="AK38" s="146" t="s">
        <v>42</v>
      </c>
      <c r="AL38" s="146">
        <v>9.0</v>
      </c>
      <c r="AM38" s="146">
        <v>10.0</v>
      </c>
      <c r="AN38" s="146">
        <v>11.0</v>
      </c>
      <c r="AO38" s="146">
        <v>16.0</v>
      </c>
      <c r="AP38" s="148">
        <v>656.0</v>
      </c>
    </row>
    <row r="39">
      <c r="A39" s="145" t="s">
        <v>122</v>
      </c>
      <c r="B39" s="146" t="s">
        <v>42</v>
      </c>
      <c r="C39" s="146">
        <v>9.0</v>
      </c>
      <c r="D39" s="146" t="s">
        <v>42</v>
      </c>
      <c r="E39" s="147">
        <v>31.0</v>
      </c>
      <c r="F39" s="146" t="s">
        <v>42</v>
      </c>
      <c r="G39" s="146">
        <v>14.0</v>
      </c>
      <c r="H39" s="147">
        <v>62.0</v>
      </c>
      <c r="I39" s="146">
        <v>22.0</v>
      </c>
      <c r="J39" s="146">
        <v>10.0</v>
      </c>
      <c r="K39" s="146">
        <v>32.0</v>
      </c>
      <c r="L39" s="146" t="s">
        <v>42</v>
      </c>
      <c r="M39" s="146" t="s">
        <v>42</v>
      </c>
      <c r="N39" s="146" t="s">
        <v>42</v>
      </c>
      <c r="O39" s="146" t="s">
        <v>42</v>
      </c>
      <c r="P39" s="146" t="s">
        <v>42</v>
      </c>
      <c r="Q39" s="146">
        <v>25.0</v>
      </c>
      <c r="R39" s="146">
        <v>16.0</v>
      </c>
      <c r="S39" s="146" t="s">
        <v>42</v>
      </c>
      <c r="T39" s="146" t="s">
        <v>42</v>
      </c>
      <c r="U39" s="146">
        <v>40.0</v>
      </c>
      <c r="V39" s="146">
        <v>0.0</v>
      </c>
      <c r="W39" s="146" t="s">
        <v>42</v>
      </c>
      <c r="X39" s="146">
        <v>15.0</v>
      </c>
      <c r="Y39" s="146">
        <v>34.0</v>
      </c>
      <c r="Z39" s="146">
        <v>6.0</v>
      </c>
      <c r="AA39" s="147">
        <v>114.0</v>
      </c>
      <c r="AB39" s="146">
        <v>5.0</v>
      </c>
      <c r="AC39" s="147">
        <v>284.0</v>
      </c>
      <c r="AD39" s="146" t="s">
        <v>42</v>
      </c>
      <c r="AE39" s="146" t="s">
        <v>42</v>
      </c>
      <c r="AF39" s="146">
        <v>14.0</v>
      </c>
      <c r="AG39" s="146">
        <v>12.0</v>
      </c>
      <c r="AH39" s="146" t="s">
        <v>42</v>
      </c>
      <c r="AI39" s="146">
        <v>0.0</v>
      </c>
      <c r="AJ39" s="146">
        <v>39.0</v>
      </c>
      <c r="AK39" s="146" t="s">
        <v>42</v>
      </c>
      <c r="AL39" s="146">
        <v>15.0</v>
      </c>
      <c r="AM39" s="146">
        <v>11.0</v>
      </c>
      <c r="AN39" s="146">
        <v>25.0</v>
      </c>
      <c r="AO39" s="146">
        <v>23.0</v>
      </c>
      <c r="AP39" s="148">
        <v>894.0</v>
      </c>
    </row>
    <row r="40">
      <c r="A40" s="145" t="s">
        <v>123</v>
      </c>
      <c r="B40" s="146">
        <v>7.0</v>
      </c>
      <c r="C40" s="146">
        <v>12.0</v>
      </c>
      <c r="D40" s="146">
        <v>8.0</v>
      </c>
      <c r="E40" s="147">
        <v>44.0</v>
      </c>
      <c r="F40" s="146" t="s">
        <v>42</v>
      </c>
      <c r="G40" s="146">
        <v>20.0</v>
      </c>
      <c r="H40" s="147">
        <v>92.0</v>
      </c>
      <c r="I40" s="146">
        <v>32.0</v>
      </c>
      <c r="J40" s="146">
        <v>8.0</v>
      </c>
      <c r="K40" s="146">
        <v>33.0</v>
      </c>
      <c r="L40" s="146">
        <v>5.0</v>
      </c>
      <c r="M40" s="146">
        <v>6.0</v>
      </c>
      <c r="N40" s="146" t="s">
        <v>42</v>
      </c>
      <c r="O40" s="146" t="s">
        <v>42</v>
      </c>
      <c r="P40" s="146">
        <v>6.0</v>
      </c>
      <c r="Q40" s="146">
        <v>22.0</v>
      </c>
      <c r="R40" s="146">
        <v>19.0</v>
      </c>
      <c r="S40" s="146" t="s">
        <v>42</v>
      </c>
      <c r="T40" s="146" t="s">
        <v>42</v>
      </c>
      <c r="U40" s="146">
        <v>93.0</v>
      </c>
      <c r="V40" s="146">
        <v>0.0</v>
      </c>
      <c r="W40" s="146">
        <v>8.0</v>
      </c>
      <c r="X40" s="146">
        <v>19.0</v>
      </c>
      <c r="Y40" s="146">
        <v>43.0</v>
      </c>
      <c r="Z40" s="146">
        <v>9.0</v>
      </c>
      <c r="AA40" s="147">
        <v>119.0</v>
      </c>
      <c r="AB40" s="146">
        <v>5.0</v>
      </c>
      <c r="AC40" s="147">
        <v>287.0</v>
      </c>
      <c r="AD40" s="146" t="s">
        <v>42</v>
      </c>
      <c r="AE40" s="146" t="s">
        <v>42</v>
      </c>
      <c r="AF40" s="146">
        <v>12.0</v>
      </c>
      <c r="AG40" s="146">
        <v>24.0</v>
      </c>
      <c r="AH40" s="146">
        <v>16.0</v>
      </c>
      <c r="AI40" s="146">
        <v>6.0</v>
      </c>
      <c r="AJ40" s="146">
        <v>64.0</v>
      </c>
      <c r="AK40" s="146">
        <v>5.0</v>
      </c>
      <c r="AL40" s="146">
        <v>26.0</v>
      </c>
      <c r="AM40" s="146">
        <v>21.0</v>
      </c>
      <c r="AN40" s="146">
        <v>38.0</v>
      </c>
      <c r="AO40" s="146">
        <v>76.0</v>
      </c>
      <c r="AP40" s="148">
        <v>1197.0</v>
      </c>
    </row>
    <row r="41">
      <c r="A41" s="145" t="s">
        <v>124</v>
      </c>
      <c r="B41" s="146">
        <v>7.0</v>
      </c>
      <c r="C41" s="146">
        <v>24.0</v>
      </c>
      <c r="D41" s="146">
        <v>17.0</v>
      </c>
      <c r="E41" s="147">
        <v>70.0</v>
      </c>
      <c r="F41" s="146" t="s">
        <v>42</v>
      </c>
      <c r="G41" s="146">
        <v>31.0</v>
      </c>
      <c r="H41" s="147">
        <v>132.0</v>
      </c>
      <c r="I41" s="146">
        <v>40.0</v>
      </c>
      <c r="J41" s="146">
        <v>12.0</v>
      </c>
      <c r="K41" s="146">
        <v>41.0</v>
      </c>
      <c r="L41" s="146" t="s">
        <v>42</v>
      </c>
      <c r="M41" s="146" t="s">
        <v>42</v>
      </c>
      <c r="N41" s="146">
        <v>0.0</v>
      </c>
      <c r="O41" s="146">
        <v>0.0</v>
      </c>
      <c r="P41" s="146" t="s">
        <v>42</v>
      </c>
      <c r="Q41" s="146">
        <v>47.0</v>
      </c>
      <c r="R41" s="146">
        <v>21.0</v>
      </c>
      <c r="S41" s="146" t="s">
        <v>42</v>
      </c>
      <c r="T41" s="146" t="s">
        <v>42</v>
      </c>
      <c r="U41" s="146">
        <v>37.0</v>
      </c>
      <c r="V41" s="146" t="s">
        <v>42</v>
      </c>
      <c r="W41" s="146">
        <v>13.0</v>
      </c>
      <c r="X41" s="146">
        <v>15.0</v>
      </c>
      <c r="Y41" s="146">
        <v>58.0</v>
      </c>
      <c r="Z41" s="146">
        <v>19.0</v>
      </c>
      <c r="AA41" s="147">
        <v>153.0</v>
      </c>
      <c r="AB41" s="146">
        <v>12.0</v>
      </c>
      <c r="AC41" s="147">
        <v>359.0</v>
      </c>
      <c r="AD41" s="146" t="s">
        <v>42</v>
      </c>
      <c r="AE41" s="146" t="s">
        <v>42</v>
      </c>
      <c r="AF41" s="146">
        <v>25.0</v>
      </c>
      <c r="AG41" s="146">
        <v>13.0</v>
      </c>
      <c r="AH41" s="146">
        <v>15.0</v>
      </c>
      <c r="AI41" s="146">
        <v>5.0</v>
      </c>
      <c r="AJ41" s="146">
        <v>55.0</v>
      </c>
      <c r="AK41" s="146">
        <v>12.0</v>
      </c>
      <c r="AL41" s="146">
        <v>26.0</v>
      </c>
      <c r="AM41" s="146">
        <v>14.0</v>
      </c>
      <c r="AN41" s="146">
        <v>48.0</v>
      </c>
      <c r="AO41" s="146">
        <v>97.0</v>
      </c>
      <c r="AP41" s="148">
        <v>1440.0</v>
      </c>
    </row>
    <row r="42">
      <c r="A42" s="145" t="s">
        <v>125</v>
      </c>
      <c r="B42" s="146">
        <v>21.0</v>
      </c>
      <c r="C42" s="146">
        <v>23.0</v>
      </c>
      <c r="D42" s="146">
        <v>20.0</v>
      </c>
      <c r="E42" s="147">
        <v>91.0</v>
      </c>
      <c r="F42" s="146">
        <v>6.0</v>
      </c>
      <c r="G42" s="146">
        <v>51.0</v>
      </c>
      <c r="H42" s="147">
        <v>212.0</v>
      </c>
      <c r="I42" s="146">
        <v>54.0</v>
      </c>
      <c r="J42" s="146">
        <v>33.0</v>
      </c>
      <c r="K42" s="146">
        <v>72.0</v>
      </c>
      <c r="L42" s="146" t="s">
        <v>42</v>
      </c>
      <c r="M42" s="146" t="s">
        <v>42</v>
      </c>
      <c r="N42" s="146">
        <v>21.0</v>
      </c>
      <c r="O42" s="146" t="s">
        <v>42</v>
      </c>
      <c r="P42" s="146">
        <v>0.0</v>
      </c>
      <c r="Q42" s="146">
        <v>79.0</v>
      </c>
      <c r="R42" s="146">
        <v>36.0</v>
      </c>
      <c r="S42" s="146" t="s">
        <v>42</v>
      </c>
      <c r="T42" s="146">
        <v>8.0</v>
      </c>
      <c r="U42" s="146">
        <v>34.0</v>
      </c>
      <c r="V42" s="146">
        <v>0.0</v>
      </c>
      <c r="W42" s="146">
        <v>19.0</v>
      </c>
      <c r="X42" s="146">
        <v>26.0</v>
      </c>
      <c r="Y42" s="146">
        <v>84.0</v>
      </c>
      <c r="Z42" s="146">
        <v>22.0</v>
      </c>
      <c r="AA42" s="147">
        <v>251.0</v>
      </c>
      <c r="AB42" s="146">
        <v>9.0</v>
      </c>
      <c r="AC42" s="147">
        <v>617.0</v>
      </c>
      <c r="AD42" s="146">
        <v>6.0</v>
      </c>
      <c r="AE42" s="146">
        <v>13.0</v>
      </c>
      <c r="AF42" s="146">
        <v>40.0</v>
      </c>
      <c r="AG42" s="146">
        <v>14.0</v>
      </c>
      <c r="AH42" s="146">
        <v>14.0</v>
      </c>
      <c r="AI42" s="146">
        <v>12.0</v>
      </c>
      <c r="AJ42" s="146">
        <v>121.0</v>
      </c>
      <c r="AK42" s="146">
        <v>17.0</v>
      </c>
      <c r="AL42" s="146">
        <v>52.0</v>
      </c>
      <c r="AM42" s="146">
        <v>11.0</v>
      </c>
      <c r="AN42" s="146">
        <v>65.0</v>
      </c>
      <c r="AO42" s="146">
        <v>205.0</v>
      </c>
      <c r="AP42" s="148">
        <v>2371.0</v>
      </c>
    </row>
    <row r="43">
      <c r="A43" s="145" t="s">
        <v>126</v>
      </c>
      <c r="B43" s="146">
        <v>31.0</v>
      </c>
      <c r="C43" s="146">
        <v>37.0</v>
      </c>
      <c r="D43" s="146">
        <v>27.0</v>
      </c>
      <c r="E43" s="147">
        <v>153.0</v>
      </c>
      <c r="F43" s="146" t="s">
        <v>42</v>
      </c>
      <c r="G43" s="146">
        <v>42.0</v>
      </c>
      <c r="H43" s="147">
        <v>253.0</v>
      </c>
      <c r="I43" s="146">
        <v>79.0</v>
      </c>
      <c r="J43" s="146">
        <v>30.0</v>
      </c>
      <c r="K43" s="146">
        <v>93.0</v>
      </c>
      <c r="L43" s="146" t="s">
        <v>42</v>
      </c>
      <c r="M43" s="146">
        <v>12.0</v>
      </c>
      <c r="N43" s="146">
        <v>18.0</v>
      </c>
      <c r="O43" s="146">
        <v>7.0</v>
      </c>
      <c r="P43" s="146">
        <v>6.0</v>
      </c>
      <c r="Q43" s="146">
        <v>103.0</v>
      </c>
      <c r="R43" s="146">
        <v>48.0</v>
      </c>
      <c r="S43" s="146">
        <v>5.0</v>
      </c>
      <c r="T43" s="146">
        <v>25.0</v>
      </c>
      <c r="U43" s="146">
        <v>15.0</v>
      </c>
      <c r="V43" s="146" t="s">
        <v>42</v>
      </c>
      <c r="W43" s="146">
        <v>22.0</v>
      </c>
      <c r="X43" s="146">
        <v>31.0</v>
      </c>
      <c r="Y43" s="146">
        <v>117.0</v>
      </c>
      <c r="Z43" s="146">
        <v>14.0</v>
      </c>
      <c r="AA43" s="147">
        <v>254.0</v>
      </c>
      <c r="AB43" s="146">
        <v>26.0</v>
      </c>
      <c r="AC43" s="147">
        <v>620.0</v>
      </c>
      <c r="AD43" s="146" t="s">
        <v>42</v>
      </c>
      <c r="AE43" s="146">
        <v>19.0</v>
      </c>
      <c r="AF43" s="146">
        <v>34.0</v>
      </c>
      <c r="AG43" s="146">
        <v>10.0</v>
      </c>
      <c r="AH43" s="146">
        <v>30.0</v>
      </c>
      <c r="AI43" s="146">
        <v>32.0</v>
      </c>
      <c r="AJ43" s="146">
        <v>182.0</v>
      </c>
      <c r="AK43" s="146">
        <v>7.0</v>
      </c>
      <c r="AL43" s="146">
        <v>73.0</v>
      </c>
      <c r="AM43" s="146">
        <v>17.0</v>
      </c>
      <c r="AN43" s="146">
        <v>60.0</v>
      </c>
      <c r="AO43" s="146">
        <v>178.0</v>
      </c>
      <c r="AP43" s="148">
        <v>2721.0</v>
      </c>
    </row>
    <row r="44">
      <c r="A44" s="145" t="s">
        <v>127</v>
      </c>
      <c r="B44" s="146">
        <v>22.0</v>
      </c>
      <c r="C44" s="146">
        <v>69.0</v>
      </c>
      <c r="D44" s="146">
        <v>23.0</v>
      </c>
      <c r="E44" s="147">
        <v>142.0</v>
      </c>
      <c r="F44" s="146">
        <v>8.0</v>
      </c>
      <c r="G44" s="146">
        <v>96.0</v>
      </c>
      <c r="H44" s="147">
        <v>345.0</v>
      </c>
      <c r="I44" s="146">
        <v>75.0</v>
      </c>
      <c r="J44" s="146">
        <v>51.0</v>
      </c>
      <c r="K44" s="146">
        <v>132.0</v>
      </c>
      <c r="L44" s="146">
        <v>12.0</v>
      </c>
      <c r="M44" s="146">
        <v>7.0</v>
      </c>
      <c r="N44" s="146">
        <v>21.0</v>
      </c>
      <c r="O44" s="146">
        <v>14.0</v>
      </c>
      <c r="P44" s="146">
        <v>12.0</v>
      </c>
      <c r="Q44" s="146">
        <v>145.0</v>
      </c>
      <c r="R44" s="146">
        <v>50.0</v>
      </c>
      <c r="S44" s="146" t="s">
        <v>42</v>
      </c>
      <c r="T44" s="146">
        <v>19.0</v>
      </c>
      <c r="U44" s="146">
        <v>25.0</v>
      </c>
      <c r="V44" s="146" t="s">
        <v>42</v>
      </c>
      <c r="W44" s="146">
        <v>35.0</v>
      </c>
      <c r="X44" s="146">
        <v>43.0</v>
      </c>
      <c r="Y44" s="146">
        <v>107.0</v>
      </c>
      <c r="Z44" s="146">
        <v>24.0</v>
      </c>
      <c r="AA44" s="147">
        <v>314.0</v>
      </c>
      <c r="AB44" s="146">
        <v>15.0</v>
      </c>
      <c r="AC44" s="147">
        <v>837.0</v>
      </c>
      <c r="AD44" s="146">
        <v>6.0</v>
      </c>
      <c r="AE44" s="146">
        <v>23.0</v>
      </c>
      <c r="AF44" s="146">
        <v>54.0</v>
      </c>
      <c r="AG44" s="146">
        <v>19.0</v>
      </c>
      <c r="AH44" s="146">
        <v>24.0</v>
      </c>
      <c r="AI44" s="146">
        <v>39.0</v>
      </c>
      <c r="AJ44" s="146">
        <v>218.0</v>
      </c>
      <c r="AK44" s="146">
        <v>8.0</v>
      </c>
      <c r="AL44" s="146">
        <v>83.0</v>
      </c>
      <c r="AM44" s="146">
        <v>22.0</v>
      </c>
      <c r="AN44" s="146">
        <v>103.0</v>
      </c>
      <c r="AO44" s="146">
        <v>233.0</v>
      </c>
      <c r="AP44" s="148">
        <v>3482.0</v>
      </c>
    </row>
    <row r="45">
      <c r="A45" s="145" t="s">
        <v>128</v>
      </c>
      <c r="B45" s="146">
        <v>44.0</v>
      </c>
      <c r="C45" s="146">
        <v>96.0</v>
      </c>
      <c r="D45" s="146">
        <v>34.0</v>
      </c>
      <c r="E45" s="147">
        <v>210.0</v>
      </c>
      <c r="F45" s="146">
        <v>13.0</v>
      </c>
      <c r="G45" s="146">
        <v>144.0</v>
      </c>
      <c r="H45" s="147">
        <v>523.0</v>
      </c>
      <c r="I45" s="146">
        <v>127.0</v>
      </c>
      <c r="J45" s="146">
        <v>67.0</v>
      </c>
      <c r="K45" s="146">
        <v>197.0</v>
      </c>
      <c r="L45" s="146">
        <v>13.0</v>
      </c>
      <c r="M45" s="146">
        <v>20.0</v>
      </c>
      <c r="N45" s="146">
        <v>29.0</v>
      </c>
      <c r="O45" s="146">
        <v>18.0</v>
      </c>
      <c r="P45" s="146">
        <v>11.0</v>
      </c>
      <c r="Q45" s="146">
        <v>183.0</v>
      </c>
      <c r="R45" s="146">
        <v>102.0</v>
      </c>
      <c r="S45" s="146" t="s">
        <v>42</v>
      </c>
      <c r="T45" s="146">
        <v>23.0</v>
      </c>
      <c r="U45" s="146">
        <v>41.0</v>
      </c>
      <c r="V45" s="146" t="s">
        <v>42</v>
      </c>
      <c r="W45" s="146">
        <v>38.0</v>
      </c>
      <c r="X45" s="146">
        <v>110.0</v>
      </c>
      <c r="Y45" s="146">
        <v>191.0</v>
      </c>
      <c r="Z45" s="146">
        <v>23.0</v>
      </c>
      <c r="AA45" s="147">
        <v>464.0</v>
      </c>
      <c r="AB45" s="146">
        <v>30.0</v>
      </c>
      <c r="AC45" s="147">
        <v>1253.0</v>
      </c>
      <c r="AD45" s="146">
        <v>16.0</v>
      </c>
      <c r="AE45" s="146">
        <v>23.0</v>
      </c>
      <c r="AF45" s="146">
        <v>116.0</v>
      </c>
      <c r="AG45" s="146">
        <v>37.0</v>
      </c>
      <c r="AH45" s="146">
        <v>32.0</v>
      </c>
      <c r="AI45" s="146">
        <v>36.0</v>
      </c>
      <c r="AJ45" s="146">
        <v>377.0</v>
      </c>
      <c r="AK45" s="146">
        <v>17.0</v>
      </c>
      <c r="AL45" s="146">
        <v>165.0</v>
      </c>
      <c r="AM45" s="146">
        <v>50.0</v>
      </c>
      <c r="AN45" s="146">
        <v>109.0</v>
      </c>
      <c r="AO45" s="146">
        <v>238.0</v>
      </c>
      <c r="AP45" s="148">
        <v>5224.0</v>
      </c>
    </row>
    <row r="46">
      <c r="A46" s="145" t="s">
        <v>129</v>
      </c>
      <c r="B46" s="146">
        <v>49.0</v>
      </c>
      <c r="C46" s="146">
        <v>102.0</v>
      </c>
      <c r="D46" s="146">
        <v>59.0</v>
      </c>
      <c r="E46" s="147">
        <v>192.0</v>
      </c>
      <c r="F46" s="146">
        <v>20.0</v>
      </c>
      <c r="G46" s="146">
        <v>203.0</v>
      </c>
      <c r="H46" s="147">
        <v>618.0</v>
      </c>
      <c r="I46" s="146">
        <v>145.0</v>
      </c>
      <c r="J46" s="146">
        <v>77.0</v>
      </c>
      <c r="K46" s="146">
        <v>238.0</v>
      </c>
      <c r="L46" s="146">
        <v>24.0</v>
      </c>
      <c r="M46" s="146">
        <v>18.0</v>
      </c>
      <c r="N46" s="146">
        <v>35.0</v>
      </c>
      <c r="O46" s="146">
        <v>30.0</v>
      </c>
      <c r="P46" s="146">
        <v>11.0</v>
      </c>
      <c r="Q46" s="146">
        <v>227.0</v>
      </c>
      <c r="R46" s="146">
        <v>106.0</v>
      </c>
      <c r="S46" s="146" t="s">
        <v>42</v>
      </c>
      <c r="T46" s="146">
        <v>25.0</v>
      </c>
      <c r="U46" s="146">
        <v>48.0</v>
      </c>
      <c r="V46" s="146" t="s">
        <v>42</v>
      </c>
      <c r="W46" s="146">
        <v>60.0</v>
      </c>
      <c r="X46" s="146">
        <v>115.0</v>
      </c>
      <c r="Y46" s="146">
        <v>225.0</v>
      </c>
      <c r="Z46" s="146">
        <v>37.0</v>
      </c>
      <c r="AA46" s="147">
        <v>503.0</v>
      </c>
      <c r="AB46" s="146">
        <v>26.0</v>
      </c>
      <c r="AC46" s="147">
        <v>1459.0</v>
      </c>
      <c r="AD46" s="146">
        <v>13.0</v>
      </c>
      <c r="AE46" s="146">
        <v>42.0</v>
      </c>
      <c r="AF46" s="146">
        <v>132.0</v>
      </c>
      <c r="AG46" s="146">
        <v>41.0</v>
      </c>
      <c r="AH46" s="146">
        <v>36.0</v>
      </c>
      <c r="AI46" s="146">
        <v>35.0</v>
      </c>
      <c r="AJ46" s="146">
        <v>483.0</v>
      </c>
      <c r="AK46" s="146">
        <v>20.0</v>
      </c>
      <c r="AL46" s="146">
        <v>196.0</v>
      </c>
      <c r="AM46" s="146">
        <v>55.0</v>
      </c>
      <c r="AN46" s="146">
        <v>128.0</v>
      </c>
      <c r="AO46" s="146">
        <v>194.0</v>
      </c>
      <c r="AP46" s="148">
        <v>6031.0</v>
      </c>
    </row>
    <row r="47">
      <c r="A47" s="145" t="s">
        <v>130</v>
      </c>
      <c r="B47" s="146">
        <v>46.0</v>
      </c>
      <c r="C47" s="146">
        <v>50.0</v>
      </c>
      <c r="D47" s="146">
        <v>80.0</v>
      </c>
      <c r="E47" s="147">
        <v>163.0</v>
      </c>
      <c r="F47" s="146">
        <v>27.0</v>
      </c>
      <c r="G47" s="146">
        <v>203.0</v>
      </c>
      <c r="H47" s="147">
        <v>487.0</v>
      </c>
      <c r="I47" s="146">
        <v>133.0</v>
      </c>
      <c r="J47" s="146">
        <v>71.0</v>
      </c>
      <c r="K47" s="146">
        <v>179.0</v>
      </c>
      <c r="L47" s="146">
        <v>25.0</v>
      </c>
      <c r="M47" s="146">
        <v>20.0</v>
      </c>
      <c r="N47" s="146">
        <v>30.0</v>
      </c>
      <c r="O47" s="146">
        <v>26.0</v>
      </c>
      <c r="P47" s="146">
        <v>10.0</v>
      </c>
      <c r="Q47" s="146">
        <v>184.0</v>
      </c>
      <c r="R47" s="146">
        <v>124.0</v>
      </c>
      <c r="S47" s="146">
        <v>5.0</v>
      </c>
      <c r="T47" s="146">
        <v>26.0</v>
      </c>
      <c r="U47" s="146">
        <v>34.0</v>
      </c>
      <c r="V47" s="146" t="s">
        <v>42</v>
      </c>
      <c r="W47" s="146">
        <v>46.0</v>
      </c>
      <c r="X47" s="146">
        <v>109.0</v>
      </c>
      <c r="Y47" s="146">
        <v>176.0</v>
      </c>
      <c r="Z47" s="146">
        <v>47.0</v>
      </c>
      <c r="AA47" s="147">
        <v>430.0</v>
      </c>
      <c r="AB47" s="146">
        <v>31.0</v>
      </c>
      <c r="AC47" s="147">
        <v>1167.0</v>
      </c>
      <c r="AD47" s="146">
        <v>13.0</v>
      </c>
      <c r="AE47" s="146">
        <v>44.0</v>
      </c>
      <c r="AF47" s="146">
        <v>93.0</v>
      </c>
      <c r="AG47" s="146">
        <v>23.0</v>
      </c>
      <c r="AH47" s="146">
        <v>39.0</v>
      </c>
      <c r="AI47" s="146">
        <v>20.0</v>
      </c>
      <c r="AJ47" s="146">
        <v>417.0</v>
      </c>
      <c r="AK47" s="146">
        <v>32.0</v>
      </c>
      <c r="AL47" s="146">
        <v>133.0</v>
      </c>
      <c r="AM47" s="146">
        <v>45.0</v>
      </c>
      <c r="AN47" s="146">
        <v>163.0</v>
      </c>
      <c r="AO47" s="146">
        <v>250.0</v>
      </c>
      <c r="AP47" s="148">
        <v>5203.0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239</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240</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198</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199</v>
      </c>
      <c r="C8" s="156" t="s">
        <v>200</v>
      </c>
      <c r="D8" s="156" t="s">
        <v>201</v>
      </c>
      <c r="E8" s="156" t="s">
        <v>202</v>
      </c>
      <c r="F8" s="156" t="s">
        <v>203</v>
      </c>
      <c r="G8" s="156" t="s">
        <v>204</v>
      </c>
      <c r="H8" s="156" t="s">
        <v>205</v>
      </c>
      <c r="I8" s="156" t="s">
        <v>206</v>
      </c>
      <c r="J8" s="156" t="s">
        <v>207</v>
      </c>
      <c r="K8" s="156" t="s">
        <v>208</v>
      </c>
      <c r="L8" s="156" t="s">
        <v>209</v>
      </c>
      <c r="M8" s="156" t="s">
        <v>210</v>
      </c>
      <c r="N8" s="156" t="s">
        <v>211</v>
      </c>
      <c r="O8" s="156" t="s">
        <v>212</v>
      </c>
      <c r="P8" s="156" t="s">
        <v>213</v>
      </c>
      <c r="Q8" s="156" t="s">
        <v>214</v>
      </c>
      <c r="R8" s="156" t="s">
        <v>215</v>
      </c>
      <c r="S8" s="156" t="s">
        <v>216</v>
      </c>
      <c r="T8" s="156" t="s">
        <v>217</v>
      </c>
      <c r="U8" s="156" t="s">
        <v>218</v>
      </c>
      <c r="V8" s="156" t="s">
        <v>219</v>
      </c>
      <c r="W8" s="156" t="s">
        <v>220</v>
      </c>
      <c r="X8" s="156" t="s">
        <v>221</v>
      </c>
      <c r="Y8" s="156" t="s">
        <v>222</v>
      </c>
      <c r="Z8" s="156" t="s">
        <v>223</v>
      </c>
      <c r="AA8" s="156" t="s">
        <v>224</v>
      </c>
      <c r="AB8" s="156" t="s">
        <v>225</v>
      </c>
      <c r="AC8" s="156" t="s">
        <v>226</v>
      </c>
      <c r="AD8" s="156" t="s">
        <v>227</v>
      </c>
      <c r="AE8" s="156" t="s">
        <v>228</v>
      </c>
      <c r="AF8" s="156" t="s">
        <v>229</v>
      </c>
      <c r="AG8" s="156" t="s">
        <v>230</v>
      </c>
      <c r="AH8" s="156" t="s">
        <v>231</v>
      </c>
      <c r="AI8" s="156" t="s">
        <v>232</v>
      </c>
      <c r="AJ8" s="156" t="s">
        <v>233</v>
      </c>
      <c r="AK8" s="156" t="s">
        <v>234</v>
      </c>
      <c r="AL8" s="156" t="s">
        <v>235</v>
      </c>
      <c r="AM8" s="156" t="s">
        <v>236</v>
      </c>
      <c r="AN8" s="156" t="s">
        <v>237</v>
      </c>
      <c r="AO8" s="156" t="s">
        <v>193</v>
      </c>
    </row>
    <row r="9">
      <c r="A9" s="157" t="s">
        <v>241</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134</v>
      </c>
      <c r="H10" s="105">
        <v>0.0</v>
      </c>
      <c r="I10" s="105" t="s">
        <v>134</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134</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134</v>
      </c>
    </row>
    <row r="11">
      <c r="A11" s="157" t="s">
        <v>93</v>
      </c>
      <c r="B11" s="105" t="s">
        <v>134</v>
      </c>
      <c r="C11" s="105">
        <v>0.0</v>
      </c>
      <c r="D11" s="105" t="s">
        <v>134</v>
      </c>
      <c r="E11" s="105">
        <v>0.0</v>
      </c>
      <c r="F11" s="105">
        <v>0.0</v>
      </c>
      <c r="G11" s="105">
        <v>0.0</v>
      </c>
      <c r="H11" s="105" t="s">
        <v>134</v>
      </c>
      <c r="I11" s="105">
        <v>0.0</v>
      </c>
      <c r="J11" s="105">
        <v>0.0</v>
      </c>
      <c r="K11" s="105" t="s">
        <v>134</v>
      </c>
      <c r="L11" s="105">
        <v>0.0</v>
      </c>
      <c r="M11" s="105">
        <v>0.0</v>
      </c>
      <c r="N11" s="105">
        <v>0.0</v>
      </c>
      <c r="O11" s="105">
        <v>0.0</v>
      </c>
      <c r="P11" s="105">
        <v>0.0</v>
      </c>
      <c r="Q11" s="105">
        <v>0.0</v>
      </c>
      <c r="R11" s="105" t="s">
        <v>134</v>
      </c>
      <c r="S11" s="105">
        <v>0.0</v>
      </c>
      <c r="T11" s="105" t="s">
        <v>134</v>
      </c>
      <c r="U11" s="105" t="s">
        <v>134</v>
      </c>
      <c r="V11" s="105">
        <v>0.0</v>
      </c>
      <c r="W11" s="105">
        <v>0.0</v>
      </c>
      <c r="X11" s="105">
        <v>0.0</v>
      </c>
      <c r="Y11" s="105">
        <v>0.0</v>
      </c>
      <c r="Z11" s="105">
        <v>0.0</v>
      </c>
      <c r="AA11" s="105">
        <v>0.0</v>
      </c>
      <c r="AB11" s="105">
        <v>0.0</v>
      </c>
      <c r="AC11" s="105" t="s">
        <v>134</v>
      </c>
      <c r="AD11" s="105">
        <v>0.0</v>
      </c>
      <c r="AE11" s="105" t="s">
        <v>134</v>
      </c>
      <c r="AF11" s="105">
        <v>0.0</v>
      </c>
      <c r="AG11" s="105">
        <v>0.0</v>
      </c>
      <c r="AH11" s="105">
        <v>0.0</v>
      </c>
      <c r="AI11" s="105">
        <v>0.0</v>
      </c>
      <c r="AJ11" s="105">
        <v>0.0</v>
      </c>
      <c r="AK11" s="105">
        <v>0.0</v>
      </c>
      <c r="AL11" s="105">
        <v>0.0</v>
      </c>
      <c r="AM11" s="105" t="s">
        <v>134</v>
      </c>
      <c r="AN11" s="105">
        <v>0.0</v>
      </c>
      <c r="AO11" s="105">
        <v>1.0</v>
      </c>
    </row>
    <row r="12">
      <c r="A12" s="157" t="s">
        <v>94</v>
      </c>
      <c r="B12" s="105" t="s">
        <v>134</v>
      </c>
      <c r="C12" s="105" t="s">
        <v>134</v>
      </c>
      <c r="D12" s="105">
        <v>0.0</v>
      </c>
      <c r="E12" s="105" t="s">
        <v>134</v>
      </c>
      <c r="F12" s="105">
        <v>0.0</v>
      </c>
      <c r="G12" s="105" t="s">
        <v>134</v>
      </c>
      <c r="H12" s="105" t="s">
        <v>134</v>
      </c>
      <c r="I12" s="105" t="s">
        <v>134</v>
      </c>
      <c r="J12" s="105">
        <v>0.0</v>
      </c>
      <c r="K12" s="105" t="s">
        <v>134</v>
      </c>
      <c r="L12" s="105">
        <v>0.0</v>
      </c>
      <c r="M12" s="105" t="s">
        <v>134</v>
      </c>
      <c r="N12" s="105">
        <v>0.0</v>
      </c>
      <c r="O12" s="105">
        <v>0.0</v>
      </c>
      <c r="P12" s="105" t="s">
        <v>134</v>
      </c>
      <c r="Q12" s="105" t="s">
        <v>134</v>
      </c>
      <c r="R12" s="105">
        <v>0.0</v>
      </c>
      <c r="S12" s="105" t="s">
        <v>134</v>
      </c>
      <c r="T12" s="105" t="s">
        <v>134</v>
      </c>
      <c r="U12" s="105">
        <v>0.0</v>
      </c>
      <c r="V12" s="105">
        <v>0.0</v>
      </c>
      <c r="W12" s="105" t="s">
        <v>134</v>
      </c>
      <c r="X12" s="105">
        <v>0.0</v>
      </c>
      <c r="Y12" s="105">
        <v>0.0</v>
      </c>
      <c r="Z12" s="105" t="s">
        <v>134</v>
      </c>
      <c r="AA12" s="105" t="s">
        <v>134</v>
      </c>
      <c r="AB12" s="105" t="s">
        <v>134</v>
      </c>
      <c r="AC12" s="105">
        <v>14.0</v>
      </c>
      <c r="AD12" s="105">
        <v>0.0</v>
      </c>
      <c r="AE12" s="105" t="s">
        <v>134</v>
      </c>
      <c r="AF12" s="105">
        <v>0.0</v>
      </c>
      <c r="AG12" s="105" t="s">
        <v>134</v>
      </c>
      <c r="AH12" s="105">
        <v>0.0</v>
      </c>
      <c r="AI12" s="105" t="s">
        <v>134</v>
      </c>
      <c r="AJ12" s="105" t="s">
        <v>134</v>
      </c>
      <c r="AK12" s="105">
        <v>0.0</v>
      </c>
      <c r="AL12" s="105">
        <v>0.0</v>
      </c>
      <c r="AM12" s="105" t="s">
        <v>134</v>
      </c>
      <c r="AN12" s="105">
        <v>0.0</v>
      </c>
      <c r="AO12" s="105">
        <v>6.0</v>
      </c>
    </row>
    <row r="13">
      <c r="A13" s="157" t="s">
        <v>95</v>
      </c>
      <c r="B13" s="105">
        <v>31.0</v>
      </c>
      <c r="C13" s="105" t="s">
        <v>134</v>
      </c>
      <c r="D13" s="105">
        <v>30.0</v>
      </c>
      <c r="E13" s="105" t="s">
        <v>134</v>
      </c>
      <c r="F13" s="105" t="s">
        <v>134</v>
      </c>
      <c r="G13" s="105" t="s">
        <v>134</v>
      </c>
      <c r="H13" s="105">
        <v>33.0</v>
      </c>
      <c r="I13" s="105">
        <v>17.0</v>
      </c>
      <c r="J13" s="105">
        <v>0.0</v>
      </c>
      <c r="K13" s="105">
        <v>17.0</v>
      </c>
      <c r="L13" s="105" t="s">
        <v>134</v>
      </c>
      <c r="M13" s="105">
        <v>0.0</v>
      </c>
      <c r="N13" s="105">
        <v>0.0</v>
      </c>
      <c r="O13" s="105" t="s">
        <v>134</v>
      </c>
      <c r="P13" s="105">
        <v>0.0</v>
      </c>
      <c r="Q13" s="105" t="s">
        <v>134</v>
      </c>
      <c r="R13" s="105" t="s">
        <v>134</v>
      </c>
      <c r="S13" s="105">
        <v>0.0</v>
      </c>
      <c r="T13" s="105">
        <v>0.0</v>
      </c>
      <c r="U13" s="105" t="s">
        <v>134</v>
      </c>
      <c r="V13" s="105">
        <v>0.0</v>
      </c>
      <c r="W13" s="105" t="s">
        <v>134</v>
      </c>
      <c r="X13" s="105">
        <v>27.0</v>
      </c>
      <c r="Y13" s="105">
        <v>15.0</v>
      </c>
      <c r="Z13" s="105" t="s">
        <v>134</v>
      </c>
      <c r="AA13" s="105">
        <v>22.0</v>
      </c>
      <c r="AB13" s="105" t="s">
        <v>134</v>
      </c>
      <c r="AC13" s="105">
        <v>26.0</v>
      </c>
      <c r="AD13" s="105">
        <v>0.0</v>
      </c>
      <c r="AE13" s="105">
        <v>47.0</v>
      </c>
      <c r="AF13" s="105" t="s">
        <v>134</v>
      </c>
      <c r="AG13" s="105" t="s">
        <v>134</v>
      </c>
      <c r="AH13" s="105">
        <v>38.0</v>
      </c>
      <c r="AI13" s="105">
        <v>0.0</v>
      </c>
      <c r="AJ13" s="105">
        <v>19.0</v>
      </c>
      <c r="AK13" s="105">
        <v>0.0</v>
      </c>
      <c r="AL13" s="105">
        <v>21.0</v>
      </c>
      <c r="AM13" s="105" t="s">
        <v>134</v>
      </c>
      <c r="AN13" s="105" t="s">
        <v>134</v>
      </c>
      <c r="AO13" s="105">
        <v>19.0</v>
      </c>
    </row>
    <row r="14">
      <c r="A14" s="157" t="s">
        <v>96</v>
      </c>
      <c r="B14" s="105" t="s">
        <v>134</v>
      </c>
      <c r="C14" s="105">
        <v>27.0</v>
      </c>
      <c r="D14" s="105">
        <v>36.0</v>
      </c>
      <c r="E14" s="105">
        <v>52.0</v>
      </c>
      <c r="F14" s="105" t="s">
        <v>134</v>
      </c>
      <c r="G14" s="105">
        <v>35.0</v>
      </c>
      <c r="H14" s="105">
        <v>52.0</v>
      </c>
      <c r="I14" s="105">
        <v>49.0</v>
      </c>
      <c r="J14" s="105">
        <v>38.0</v>
      </c>
      <c r="K14" s="105">
        <v>32.0</v>
      </c>
      <c r="L14" s="105" t="s">
        <v>134</v>
      </c>
      <c r="M14" s="105">
        <v>0.0</v>
      </c>
      <c r="N14" s="105" t="s">
        <v>134</v>
      </c>
      <c r="O14" s="105" t="s">
        <v>134</v>
      </c>
      <c r="P14" s="105" t="s">
        <v>134</v>
      </c>
      <c r="Q14" s="105">
        <v>38.0</v>
      </c>
      <c r="R14" s="105">
        <v>42.0</v>
      </c>
      <c r="S14" s="105" t="s">
        <v>134</v>
      </c>
      <c r="T14" s="105" t="s">
        <v>134</v>
      </c>
      <c r="U14" s="105" t="s">
        <v>134</v>
      </c>
      <c r="V14" s="105" t="s">
        <v>134</v>
      </c>
      <c r="W14" s="105">
        <v>24.0</v>
      </c>
      <c r="X14" s="105">
        <v>31.0</v>
      </c>
      <c r="Y14" s="105">
        <v>80.0</v>
      </c>
      <c r="Z14" s="105" t="s">
        <v>134</v>
      </c>
      <c r="AA14" s="105">
        <v>77.0</v>
      </c>
      <c r="AB14" s="105">
        <v>40.0</v>
      </c>
      <c r="AC14" s="105">
        <v>63.0</v>
      </c>
      <c r="AD14" s="105">
        <v>0.0</v>
      </c>
      <c r="AE14" s="105" t="s">
        <v>134</v>
      </c>
      <c r="AF14" s="105">
        <v>37.0</v>
      </c>
      <c r="AG14" s="105">
        <v>26.0</v>
      </c>
      <c r="AH14" s="105">
        <v>32.0</v>
      </c>
      <c r="AI14" s="105" t="s">
        <v>134</v>
      </c>
      <c r="AJ14" s="105">
        <v>36.0</v>
      </c>
      <c r="AK14" s="105" t="s">
        <v>134</v>
      </c>
      <c r="AL14" s="105">
        <v>52.0</v>
      </c>
      <c r="AM14" s="105">
        <v>40.0</v>
      </c>
      <c r="AN14" s="105">
        <v>26.0</v>
      </c>
      <c r="AO14" s="105">
        <v>46.0</v>
      </c>
    </row>
    <row r="15">
      <c r="A15" s="157" t="s">
        <v>97</v>
      </c>
      <c r="B15" s="105">
        <v>37.0</v>
      </c>
      <c r="C15" s="105">
        <v>40.0</v>
      </c>
      <c r="D15" s="105">
        <v>85.0</v>
      </c>
      <c r="E15" s="105">
        <v>248.0</v>
      </c>
      <c r="F15" s="105" t="s">
        <v>134</v>
      </c>
      <c r="G15" s="105">
        <v>67.0</v>
      </c>
      <c r="H15" s="105">
        <v>134.0</v>
      </c>
      <c r="I15" s="105">
        <v>118.0</v>
      </c>
      <c r="J15" s="105">
        <v>99.0</v>
      </c>
      <c r="K15" s="105">
        <v>126.0</v>
      </c>
      <c r="L15" s="105" t="s">
        <v>134</v>
      </c>
      <c r="M15" s="105">
        <v>107.0</v>
      </c>
      <c r="N15" s="105" t="s">
        <v>134</v>
      </c>
      <c r="O15" s="105" t="s">
        <v>134</v>
      </c>
      <c r="P15" s="105" t="s">
        <v>134</v>
      </c>
      <c r="Q15" s="105">
        <v>133.0</v>
      </c>
      <c r="R15" s="105">
        <v>88.0</v>
      </c>
      <c r="S15" s="105" t="s">
        <v>134</v>
      </c>
      <c r="T15" s="105">
        <v>37.0</v>
      </c>
      <c r="U15" s="105">
        <v>84.0</v>
      </c>
      <c r="V15" s="105">
        <v>0.0</v>
      </c>
      <c r="W15" s="105">
        <v>32.0</v>
      </c>
      <c r="X15" s="105">
        <v>84.0</v>
      </c>
      <c r="Y15" s="105">
        <v>179.0</v>
      </c>
      <c r="Z15" s="105">
        <v>40.0</v>
      </c>
      <c r="AA15" s="105">
        <v>199.0</v>
      </c>
      <c r="AB15" s="105" t="s">
        <v>134</v>
      </c>
      <c r="AC15" s="105">
        <v>293.0</v>
      </c>
      <c r="AD15" s="105" t="s">
        <v>134</v>
      </c>
      <c r="AE15" s="105">
        <v>57.0</v>
      </c>
      <c r="AF15" s="105">
        <v>83.0</v>
      </c>
      <c r="AG15" s="105">
        <v>62.0</v>
      </c>
      <c r="AH15" s="105">
        <v>89.0</v>
      </c>
      <c r="AI15" s="105" t="s">
        <v>134</v>
      </c>
      <c r="AJ15" s="105">
        <v>81.0</v>
      </c>
      <c r="AK15" s="105" t="s">
        <v>134</v>
      </c>
      <c r="AL15" s="105">
        <v>73.0</v>
      </c>
      <c r="AM15" s="105">
        <v>35.0</v>
      </c>
      <c r="AN15" s="105">
        <v>91.0</v>
      </c>
      <c r="AO15" s="105">
        <v>136.0</v>
      </c>
    </row>
    <row r="16">
      <c r="A16" s="157" t="s">
        <v>98</v>
      </c>
      <c r="B16" s="105" t="s">
        <v>134</v>
      </c>
      <c r="C16" s="105">
        <v>54.0</v>
      </c>
      <c r="D16" s="105">
        <v>49.0</v>
      </c>
      <c r="E16" s="105">
        <v>578.0</v>
      </c>
      <c r="F16" s="105" t="s">
        <v>134</v>
      </c>
      <c r="G16" s="105">
        <v>52.0</v>
      </c>
      <c r="H16" s="105">
        <v>169.0</v>
      </c>
      <c r="I16" s="105">
        <v>81.0</v>
      </c>
      <c r="J16" s="105">
        <v>38.0</v>
      </c>
      <c r="K16" s="105">
        <v>114.0</v>
      </c>
      <c r="L16" s="105" t="s">
        <v>134</v>
      </c>
      <c r="M16" s="105" t="s">
        <v>134</v>
      </c>
      <c r="N16" s="105">
        <v>60.0</v>
      </c>
      <c r="O16" s="105" t="s">
        <v>134</v>
      </c>
      <c r="P16" s="105" t="s">
        <v>134</v>
      </c>
      <c r="Q16" s="105">
        <v>133.0</v>
      </c>
      <c r="R16" s="105">
        <v>92.0</v>
      </c>
      <c r="S16" s="105" t="s">
        <v>134</v>
      </c>
      <c r="T16" s="105" t="s">
        <v>134</v>
      </c>
      <c r="U16" s="105" t="s">
        <v>134</v>
      </c>
      <c r="V16" s="105">
        <v>0.0</v>
      </c>
      <c r="W16" s="105">
        <v>0.0</v>
      </c>
      <c r="X16" s="105">
        <v>23.0</v>
      </c>
      <c r="Y16" s="105">
        <v>259.0</v>
      </c>
      <c r="Z16" s="105" t="s">
        <v>134</v>
      </c>
      <c r="AA16" s="105">
        <v>288.0</v>
      </c>
      <c r="AB16" s="105" t="s">
        <v>134</v>
      </c>
      <c r="AC16" s="105">
        <v>349.0</v>
      </c>
      <c r="AD16" s="105" t="s">
        <v>134</v>
      </c>
      <c r="AE16" s="105">
        <v>57.0</v>
      </c>
      <c r="AF16" s="105">
        <v>32.0</v>
      </c>
      <c r="AG16" s="105">
        <v>33.0</v>
      </c>
      <c r="AH16" s="105">
        <v>51.0</v>
      </c>
      <c r="AI16" s="105" t="s">
        <v>134</v>
      </c>
      <c r="AJ16" s="105">
        <v>76.0</v>
      </c>
      <c r="AK16" s="105" t="s">
        <v>134</v>
      </c>
      <c r="AL16" s="105">
        <v>107.0</v>
      </c>
      <c r="AM16" s="105">
        <v>27.0</v>
      </c>
      <c r="AN16" s="105">
        <v>116.0</v>
      </c>
      <c r="AO16" s="105">
        <v>153.0</v>
      </c>
    </row>
    <row r="17">
      <c r="A17" s="157" t="s">
        <v>99</v>
      </c>
      <c r="B17" s="105">
        <v>37.0</v>
      </c>
      <c r="C17" s="105">
        <v>54.0</v>
      </c>
      <c r="D17" s="105">
        <v>61.0</v>
      </c>
      <c r="E17" s="105">
        <v>877.0</v>
      </c>
      <c r="F17" s="105" t="s">
        <v>134</v>
      </c>
      <c r="G17" s="105">
        <v>46.0</v>
      </c>
      <c r="H17" s="105">
        <v>151.0</v>
      </c>
      <c r="I17" s="105">
        <v>101.0</v>
      </c>
      <c r="J17" s="105">
        <v>92.0</v>
      </c>
      <c r="K17" s="105">
        <v>103.0</v>
      </c>
      <c r="L17" s="105">
        <v>74.0</v>
      </c>
      <c r="M17" s="105" t="s">
        <v>134</v>
      </c>
      <c r="N17" s="105">
        <v>70.0</v>
      </c>
      <c r="O17" s="105">
        <v>62.0</v>
      </c>
      <c r="P17" s="105" t="s">
        <v>134</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134</v>
      </c>
      <c r="AL17" s="105">
        <v>117.0</v>
      </c>
      <c r="AM17" s="105">
        <v>66.0</v>
      </c>
      <c r="AN17" s="105">
        <v>120.0</v>
      </c>
      <c r="AO17" s="105">
        <v>189.0</v>
      </c>
    </row>
    <row r="18">
      <c r="A18" s="157" t="s">
        <v>100</v>
      </c>
      <c r="B18" s="105" t="s">
        <v>134</v>
      </c>
      <c r="C18" s="105">
        <v>45.0</v>
      </c>
      <c r="D18" s="105">
        <v>61.0</v>
      </c>
      <c r="E18" s="105">
        <v>686.0</v>
      </c>
      <c r="F18" s="105" t="s">
        <v>134</v>
      </c>
      <c r="G18" s="105">
        <v>35.0</v>
      </c>
      <c r="H18" s="105">
        <v>134.0</v>
      </c>
      <c r="I18" s="105">
        <v>58.0</v>
      </c>
      <c r="J18" s="105">
        <v>76.0</v>
      </c>
      <c r="K18" s="105">
        <v>91.0</v>
      </c>
      <c r="L18" s="105" t="s">
        <v>134</v>
      </c>
      <c r="M18" s="105" t="s">
        <v>134</v>
      </c>
      <c r="N18" s="105" t="s">
        <v>134</v>
      </c>
      <c r="O18" s="105">
        <v>0.0</v>
      </c>
      <c r="P18" s="105">
        <v>0.0</v>
      </c>
      <c r="Q18" s="105">
        <v>86.0</v>
      </c>
      <c r="R18" s="105">
        <v>88.0</v>
      </c>
      <c r="S18" s="105">
        <v>0.0</v>
      </c>
      <c r="T18" s="105" t="s">
        <v>134</v>
      </c>
      <c r="U18" s="105" t="s">
        <v>134</v>
      </c>
      <c r="V18" s="105">
        <v>0.0</v>
      </c>
      <c r="W18" s="105">
        <v>32.0</v>
      </c>
      <c r="X18" s="105">
        <v>19.0</v>
      </c>
      <c r="Y18" s="105">
        <v>179.0</v>
      </c>
      <c r="Z18" s="105" t="s">
        <v>134</v>
      </c>
      <c r="AA18" s="105">
        <v>279.0</v>
      </c>
      <c r="AB18" s="105" t="s">
        <v>134</v>
      </c>
      <c r="AC18" s="105">
        <v>389.0</v>
      </c>
      <c r="AD18" s="105">
        <v>66.0</v>
      </c>
      <c r="AE18" s="105" t="s">
        <v>134</v>
      </c>
      <c r="AF18" s="105">
        <v>51.0</v>
      </c>
      <c r="AG18" s="105" t="s">
        <v>134</v>
      </c>
      <c r="AH18" s="105">
        <v>44.0</v>
      </c>
      <c r="AI18" s="105" t="s">
        <v>134</v>
      </c>
      <c r="AJ18" s="105">
        <v>72.0</v>
      </c>
      <c r="AK18" s="105" t="s">
        <v>134</v>
      </c>
      <c r="AL18" s="105">
        <v>86.0</v>
      </c>
      <c r="AM18" s="105">
        <v>31.0</v>
      </c>
      <c r="AN18" s="105">
        <v>130.0</v>
      </c>
      <c r="AO18" s="105">
        <v>155.0</v>
      </c>
    </row>
    <row r="19">
      <c r="A19" s="157" t="s">
        <v>101</v>
      </c>
      <c r="B19" s="105" t="s">
        <v>134</v>
      </c>
      <c r="C19" s="105">
        <v>40.0</v>
      </c>
      <c r="D19" s="105" t="s">
        <v>134</v>
      </c>
      <c r="E19" s="105">
        <v>655.0</v>
      </c>
      <c r="F19" s="105" t="s">
        <v>134</v>
      </c>
      <c r="G19" s="105">
        <v>35.0</v>
      </c>
      <c r="H19" s="105">
        <v>101.0</v>
      </c>
      <c r="I19" s="105">
        <v>61.0</v>
      </c>
      <c r="J19" s="105">
        <v>54.0</v>
      </c>
      <c r="K19" s="105">
        <v>107.0</v>
      </c>
      <c r="L19" s="105">
        <v>88.0</v>
      </c>
      <c r="M19" s="105" t="s">
        <v>134</v>
      </c>
      <c r="N19" s="105" t="s">
        <v>134</v>
      </c>
      <c r="O19" s="105" t="s">
        <v>134</v>
      </c>
      <c r="P19" s="105" t="s">
        <v>134</v>
      </c>
      <c r="Q19" s="105">
        <v>113.0</v>
      </c>
      <c r="R19" s="105">
        <v>92.0</v>
      </c>
      <c r="S19" s="105" t="s">
        <v>134</v>
      </c>
      <c r="T19" s="105" t="s">
        <v>134</v>
      </c>
      <c r="U19" s="105" t="s">
        <v>134</v>
      </c>
      <c r="V19" s="105">
        <v>0.0</v>
      </c>
      <c r="W19" s="105">
        <v>32.0</v>
      </c>
      <c r="X19" s="105">
        <v>31.0</v>
      </c>
      <c r="Y19" s="105">
        <v>139.0</v>
      </c>
      <c r="Z19" s="105" t="s">
        <v>134</v>
      </c>
      <c r="AA19" s="105">
        <v>270.0</v>
      </c>
      <c r="AB19" s="105" t="s">
        <v>134</v>
      </c>
      <c r="AC19" s="105">
        <v>303.0</v>
      </c>
      <c r="AD19" s="105" t="s">
        <v>134</v>
      </c>
      <c r="AE19" s="105" t="s">
        <v>134</v>
      </c>
      <c r="AF19" s="105">
        <v>51.0</v>
      </c>
      <c r="AG19" s="105" t="s">
        <v>134</v>
      </c>
      <c r="AH19" s="105">
        <v>32.0</v>
      </c>
      <c r="AI19" s="105" t="s">
        <v>134</v>
      </c>
      <c r="AJ19" s="105">
        <v>56.0</v>
      </c>
      <c r="AK19" s="105">
        <v>0.0</v>
      </c>
      <c r="AL19" s="105">
        <v>97.0</v>
      </c>
      <c r="AM19" s="105" t="s">
        <v>134</v>
      </c>
      <c r="AN19" s="105">
        <v>137.0</v>
      </c>
      <c r="AO19" s="105">
        <v>131.0</v>
      </c>
    </row>
    <row r="20">
      <c r="A20" s="157" t="s">
        <v>102</v>
      </c>
      <c r="B20" s="105">
        <v>43.0</v>
      </c>
      <c r="C20" s="105">
        <v>27.0</v>
      </c>
      <c r="D20" s="105" t="s">
        <v>134</v>
      </c>
      <c r="E20" s="105">
        <v>480.0</v>
      </c>
      <c r="F20" s="105">
        <v>0.0</v>
      </c>
      <c r="G20" s="105">
        <v>38.0</v>
      </c>
      <c r="H20" s="105">
        <v>94.0</v>
      </c>
      <c r="I20" s="105">
        <v>32.0</v>
      </c>
      <c r="J20" s="105">
        <v>46.0</v>
      </c>
      <c r="K20" s="105">
        <v>76.0</v>
      </c>
      <c r="L20" s="105" t="s">
        <v>134</v>
      </c>
      <c r="M20" s="105" t="s">
        <v>134</v>
      </c>
      <c r="N20" s="105">
        <v>89.0</v>
      </c>
      <c r="O20" s="105" t="s">
        <v>134</v>
      </c>
      <c r="P20" s="105">
        <v>0.0</v>
      </c>
      <c r="Q20" s="105">
        <v>79.0</v>
      </c>
      <c r="R20" s="105">
        <v>60.0</v>
      </c>
      <c r="S20" s="105">
        <v>0.0</v>
      </c>
      <c r="T20" s="105">
        <v>0.0</v>
      </c>
      <c r="U20" s="105" t="s">
        <v>134</v>
      </c>
      <c r="V20" s="105">
        <v>0.0</v>
      </c>
      <c r="W20" s="105" t="s">
        <v>134</v>
      </c>
      <c r="X20" s="105">
        <v>19.0</v>
      </c>
      <c r="Y20" s="105">
        <v>145.0</v>
      </c>
      <c r="Z20" s="105">
        <v>73.0</v>
      </c>
      <c r="AA20" s="105">
        <v>170.0</v>
      </c>
      <c r="AB20" s="105" t="s">
        <v>134</v>
      </c>
      <c r="AC20" s="105">
        <v>268.0</v>
      </c>
      <c r="AD20" s="105" t="s">
        <v>134</v>
      </c>
      <c r="AE20" s="105">
        <v>47.0</v>
      </c>
      <c r="AF20" s="105">
        <v>55.0</v>
      </c>
      <c r="AG20" s="105" t="s">
        <v>134</v>
      </c>
      <c r="AH20" s="105">
        <v>44.0</v>
      </c>
      <c r="AI20" s="105">
        <v>133.0</v>
      </c>
      <c r="AJ20" s="105">
        <v>43.0</v>
      </c>
      <c r="AK20" s="105" t="s">
        <v>134</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134</v>
      </c>
      <c r="K21" s="105">
        <v>36.0</v>
      </c>
      <c r="L21" s="105" t="s">
        <v>134</v>
      </c>
      <c r="M21" s="105" t="s">
        <v>134</v>
      </c>
      <c r="N21" s="105" t="s">
        <v>134</v>
      </c>
      <c r="O21" s="105" t="s">
        <v>134</v>
      </c>
      <c r="P21" s="105" t="s">
        <v>134</v>
      </c>
      <c r="Q21" s="105">
        <v>65.0</v>
      </c>
      <c r="R21" s="105">
        <v>51.0</v>
      </c>
      <c r="S21" s="105" t="s">
        <v>134</v>
      </c>
      <c r="T21" s="105" t="s">
        <v>134</v>
      </c>
      <c r="U21" s="105" t="s">
        <v>134</v>
      </c>
      <c r="V21" s="105">
        <v>0.0</v>
      </c>
      <c r="W21" s="105" t="s">
        <v>134</v>
      </c>
      <c r="X21" s="105">
        <v>19.0</v>
      </c>
      <c r="Y21" s="105">
        <v>80.0</v>
      </c>
      <c r="Z21" s="105">
        <v>49.0</v>
      </c>
      <c r="AA21" s="105">
        <v>155.0</v>
      </c>
      <c r="AB21" s="105">
        <v>40.0</v>
      </c>
      <c r="AC21" s="105">
        <v>227.0</v>
      </c>
      <c r="AD21" s="105" t="s">
        <v>134</v>
      </c>
      <c r="AE21" s="105" t="s">
        <v>134</v>
      </c>
      <c r="AF21" s="105">
        <v>28.0</v>
      </c>
      <c r="AG21" s="105" t="s">
        <v>134</v>
      </c>
      <c r="AH21" s="105">
        <v>57.0</v>
      </c>
      <c r="AI21" s="105">
        <v>48.0</v>
      </c>
      <c r="AJ21" s="105">
        <v>44.0</v>
      </c>
      <c r="AK21" s="105" t="s">
        <v>134</v>
      </c>
      <c r="AL21" s="105">
        <v>41.0</v>
      </c>
      <c r="AM21" s="105" t="s">
        <v>134</v>
      </c>
      <c r="AN21" s="105">
        <v>89.0</v>
      </c>
      <c r="AO21" s="105">
        <v>91.0</v>
      </c>
    </row>
    <row r="22">
      <c r="A22" s="157" t="s">
        <v>104</v>
      </c>
      <c r="B22" s="105" t="s">
        <v>134</v>
      </c>
      <c r="C22" s="105">
        <v>36.0</v>
      </c>
      <c r="D22" s="105" t="s">
        <v>134</v>
      </c>
      <c r="E22" s="105">
        <v>160.0</v>
      </c>
      <c r="F22" s="105" t="s">
        <v>134</v>
      </c>
      <c r="G22" s="105">
        <v>29.0</v>
      </c>
      <c r="H22" s="105">
        <v>60.0</v>
      </c>
      <c r="I22" s="105">
        <v>17.0</v>
      </c>
      <c r="J22" s="105">
        <v>0.0</v>
      </c>
      <c r="K22" s="105">
        <v>44.0</v>
      </c>
      <c r="L22" s="105">
        <v>0.0</v>
      </c>
      <c r="M22" s="105" t="s">
        <v>134</v>
      </c>
      <c r="N22" s="105" t="s">
        <v>134</v>
      </c>
      <c r="O22" s="105">
        <v>0.0</v>
      </c>
      <c r="P22" s="105" t="s">
        <v>134</v>
      </c>
      <c r="Q22" s="105">
        <v>116.0</v>
      </c>
      <c r="R22" s="105">
        <v>42.0</v>
      </c>
      <c r="S22" s="105">
        <v>0.0</v>
      </c>
      <c r="T22" s="105" t="s">
        <v>134</v>
      </c>
      <c r="U22" s="105" t="s">
        <v>134</v>
      </c>
      <c r="V22" s="105">
        <v>0.0</v>
      </c>
      <c r="W22" s="105">
        <v>36.0</v>
      </c>
      <c r="X22" s="105">
        <v>23.0</v>
      </c>
      <c r="Y22" s="105">
        <v>52.0</v>
      </c>
      <c r="Z22" s="105" t="s">
        <v>134</v>
      </c>
      <c r="AA22" s="105">
        <v>99.0</v>
      </c>
      <c r="AB22" s="105">
        <v>34.0</v>
      </c>
      <c r="AC22" s="105">
        <v>185.0</v>
      </c>
      <c r="AD22" s="105" t="s">
        <v>134</v>
      </c>
      <c r="AE22" s="105" t="s">
        <v>134</v>
      </c>
      <c r="AF22" s="105">
        <v>0.0</v>
      </c>
      <c r="AG22" s="105">
        <v>0.0</v>
      </c>
      <c r="AH22" s="105" t="s">
        <v>134</v>
      </c>
      <c r="AI22" s="105">
        <v>0.0</v>
      </c>
      <c r="AJ22" s="105">
        <v>25.0</v>
      </c>
      <c r="AK22" s="105" t="s">
        <v>134</v>
      </c>
      <c r="AL22" s="105">
        <v>31.0</v>
      </c>
      <c r="AM22" s="105" t="s">
        <v>134</v>
      </c>
      <c r="AN22" s="105">
        <v>91.0</v>
      </c>
      <c r="AO22" s="105">
        <v>68.0</v>
      </c>
    </row>
    <row r="23">
      <c r="A23" s="157" t="s">
        <v>105</v>
      </c>
      <c r="B23" s="105" t="s">
        <v>134</v>
      </c>
      <c r="C23" s="105" t="s">
        <v>134</v>
      </c>
      <c r="D23" s="105" t="s">
        <v>134</v>
      </c>
      <c r="E23" s="105">
        <v>150.0</v>
      </c>
      <c r="F23" s="105">
        <v>0.0</v>
      </c>
      <c r="G23" s="105" t="s">
        <v>134</v>
      </c>
      <c r="H23" s="105">
        <v>43.0</v>
      </c>
      <c r="I23" s="105">
        <v>32.0</v>
      </c>
      <c r="J23" s="105" t="s">
        <v>134</v>
      </c>
      <c r="K23" s="105">
        <v>25.0</v>
      </c>
      <c r="L23" s="105" t="s">
        <v>134</v>
      </c>
      <c r="M23" s="105">
        <v>0.0</v>
      </c>
      <c r="N23" s="105" t="s">
        <v>134</v>
      </c>
      <c r="O23" s="105">
        <v>0.0</v>
      </c>
      <c r="P23" s="105" t="s">
        <v>134</v>
      </c>
      <c r="Q23" s="105">
        <v>41.0</v>
      </c>
      <c r="R23" s="105" t="s">
        <v>134</v>
      </c>
      <c r="S23" s="105">
        <v>0.0</v>
      </c>
      <c r="T23" s="105" t="s">
        <v>134</v>
      </c>
      <c r="U23" s="105" t="s">
        <v>134</v>
      </c>
      <c r="V23" s="105">
        <v>0.0</v>
      </c>
      <c r="W23" s="105" t="s">
        <v>134</v>
      </c>
      <c r="X23" s="105" t="s">
        <v>134</v>
      </c>
      <c r="Y23" s="105">
        <v>62.0</v>
      </c>
      <c r="Z23" s="105" t="s">
        <v>134</v>
      </c>
      <c r="AA23" s="105">
        <v>71.0</v>
      </c>
      <c r="AB23" s="105">
        <v>29.0</v>
      </c>
      <c r="AC23" s="105">
        <v>144.0</v>
      </c>
      <c r="AD23" s="105">
        <v>0.0</v>
      </c>
      <c r="AE23" s="105" t="s">
        <v>134</v>
      </c>
      <c r="AF23" s="105" t="s">
        <v>134</v>
      </c>
      <c r="AG23" s="105">
        <v>0.0</v>
      </c>
      <c r="AH23" s="105" t="s">
        <v>134</v>
      </c>
      <c r="AI23" s="105" t="s">
        <v>134</v>
      </c>
      <c r="AJ23" s="105">
        <v>23.0</v>
      </c>
      <c r="AK23" s="105">
        <v>0.0</v>
      </c>
      <c r="AL23" s="105">
        <v>31.0</v>
      </c>
      <c r="AM23" s="105">
        <v>0.0</v>
      </c>
      <c r="AN23" s="105">
        <v>60.0</v>
      </c>
      <c r="AO23" s="105">
        <v>50.0</v>
      </c>
    </row>
    <row r="24">
      <c r="A24" s="157" t="s">
        <v>106</v>
      </c>
      <c r="B24" s="105" t="s">
        <v>134</v>
      </c>
      <c r="C24" s="105" t="s">
        <v>134</v>
      </c>
      <c r="D24" s="105" t="s">
        <v>134</v>
      </c>
      <c r="E24" s="105">
        <v>119.0</v>
      </c>
      <c r="F24" s="105" t="s">
        <v>134</v>
      </c>
      <c r="G24" s="105" t="s">
        <v>134</v>
      </c>
      <c r="H24" s="105">
        <v>39.0</v>
      </c>
      <c r="I24" s="105">
        <v>26.0</v>
      </c>
      <c r="J24" s="105" t="s">
        <v>134</v>
      </c>
      <c r="K24" s="105">
        <v>25.0</v>
      </c>
      <c r="L24" s="105" t="s">
        <v>134</v>
      </c>
      <c r="M24" s="105">
        <v>0.0</v>
      </c>
      <c r="N24" s="105">
        <v>0.0</v>
      </c>
      <c r="O24" s="105">
        <v>0.0</v>
      </c>
      <c r="P24" s="105">
        <v>0.0</v>
      </c>
      <c r="Q24" s="105">
        <v>51.0</v>
      </c>
      <c r="R24" s="105">
        <v>28.0</v>
      </c>
      <c r="S24" s="105">
        <v>0.0</v>
      </c>
      <c r="T24" s="105" t="s">
        <v>134</v>
      </c>
      <c r="U24" s="105">
        <v>0.0</v>
      </c>
      <c r="V24" s="105">
        <v>0.0</v>
      </c>
      <c r="W24" s="105" t="s">
        <v>134</v>
      </c>
      <c r="X24" s="105" t="s">
        <v>134</v>
      </c>
      <c r="Y24" s="105">
        <v>28.0</v>
      </c>
      <c r="Z24" s="105">
        <v>49.0</v>
      </c>
      <c r="AA24" s="105">
        <v>57.0</v>
      </c>
      <c r="AB24" s="105">
        <v>0.0</v>
      </c>
      <c r="AC24" s="105">
        <v>89.0</v>
      </c>
      <c r="AD24" s="105">
        <v>0.0</v>
      </c>
      <c r="AE24" s="105" t="s">
        <v>134</v>
      </c>
      <c r="AF24" s="105" t="s">
        <v>134</v>
      </c>
      <c r="AG24" s="105" t="s">
        <v>134</v>
      </c>
      <c r="AH24" s="105" t="s">
        <v>134</v>
      </c>
      <c r="AI24" s="105" t="s">
        <v>134</v>
      </c>
      <c r="AJ24" s="105">
        <v>12.0</v>
      </c>
      <c r="AK24" s="105">
        <v>0.0</v>
      </c>
      <c r="AL24" s="105" t="s">
        <v>134</v>
      </c>
      <c r="AM24" s="105">
        <v>0.0</v>
      </c>
      <c r="AN24" s="105">
        <v>46.0</v>
      </c>
      <c r="AO24" s="105">
        <v>36.0</v>
      </c>
    </row>
    <row r="25">
      <c r="A25" s="157" t="s">
        <v>107</v>
      </c>
      <c r="B25" s="105">
        <v>0.0</v>
      </c>
      <c r="C25" s="105" t="s">
        <v>134</v>
      </c>
      <c r="D25" s="105" t="s">
        <v>134</v>
      </c>
      <c r="E25" s="105">
        <v>108.0</v>
      </c>
      <c r="F25" s="105" t="s">
        <v>134</v>
      </c>
      <c r="G25" s="105">
        <v>0.0</v>
      </c>
      <c r="H25" s="105">
        <v>22.0</v>
      </c>
      <c r="I25" s="105" t="s">
        <v>134</v>
      </c>
      <c r="J25" s="105" t="s">
        <v>134</v>
      </c>
      <c r="K25" s="105">
        <v>17.0</v>
      </c>
      <c r="L25" s="105">
        <v>0.0</v>
      </c>
      <c r="M25" s="105">
        <v>0.0</v>
      </c>
      <c r="N25" s="105">
        <v>0.0</v>
      </c>
      <c r="O25" s="105">
        <v>0.0</v>
      </c>
      <c r="P25" s="105" t="s">
        <v>134</v>
      </c>
      <c r="Q25" s="105">
        <v>21.0</v>
      </c>
      <c r="R25" s="105">
        <v>23.0</v>
      </c>
      <c r="S25" s="105">
        <v>0.0</v>
      </c>
      <c r="T25" s="105" t="s">
        <v>134</v>
      </c>
      <c r="U25" s="105" t="s">
        <v>134</v>
      </c>
      <c r="V25" s="105">
        <v>0.0</v>
      </c>
      <c r="W25" s="105">
        <v>28.0</v>
      </c>
      <c r="X25" s="105" t="s">
        <v>134</v>
      </c>
      <c r="Y25" s="105" t="s">
        <v>134</v>
      </c>
      <c r="Z25" s="105" t="s">
        <v>134</v>
      </c>
      <c r="AA25" s="105">
        <v>36.0</v>
      </c>
      <c r="AB25" s="105">
        <v>0.0</v>
      </c>
      <c r="AC25" s="105">
        <v>72.0</v>
      </c>
      <c r="AD25" s="105" t="s">
        <v>134</v>
      </c>
      <c r="AE25" s="105" t="s">
        <v>134</v>
      </c>
      <c r="AF25" s="105" t="s">
        <v>134</v>
      </c>
      <c r="AG25" s="105">
        <v>0.0</v>
      </c>
      <c r="AH25" s="105">
        <v>0.0</v>
      </c>
      <c r="AI25" s="105" t="s">
        <v>134</v>
      </c>
      <c r="AJ25" s="105">
        <v>14.0</v>
      </c>
      <c r="AK25" s="105">
        <v>0.0</v>
      </c>
      <c r="AL25" s="105">
        <v>35.0</v>
      </c>
      <c r="AM25" s="105" t="s">
        <v>134</v>
      </c>
      <c r="AN25" s="105">
        <v>39.0</v>
      </c>
      <c r="AO25" s="105">
        <v>28.0</v>
      </c>
    </row>
    <row r="26">
      <c r="A26" s="157" t="s">
        <v>108</v>
      </c>
      <c r="B26" s="105" t="s">
        <v>134</v>
      </c>
      <c r="C26" s="105" t="s">
        <v>134</v>
      </c>
      <c r="D26" s="105" t="s">
        <v>134</v>
      </c>
      <c r="E26" s="105">
        <v>62.0</v>
      </c>
      <c r="F26" s="105" t="s">
        <v>134</v>
      </c>
      <c r="G26" s="105" t="s">
        <v>134</v>
      </c>
      <c r="H26" s="105">
        <v>14.0</v>
      </c>
      <c r="I26" s="105">
        <v>26.0</v>
      </c>
      <c r="J26" s="105" t="s">
        <v>134</v>
      </c>
      <c r="K26" s="105">
        <v>15.0</v>
      </c>
      <c r="L26" s="105">
        <v>0.0</v>
      </c>
      <c r="M26" s="105" t="s">
        <v>134</v>
      </c>
      <c r="N26" s="105" t="s">
        <v>134</v>
      </c>
      <c r="O26" s="105" t="s">
        <v>134</v>
      </c>
      <c r="P26" s="105">
        <v>0.0</v>
      </c>
      <c r="Q26" s="105">
        <v>31.0</v>
      </c>
      <c r="R26" s="105">
        <v>23.0</v>
      </c>
      <c r="S26" s="105">
        <v>0.0</v>
      </c>
      <c r="T26" s="105">
        <v>37.0</v>
      </c>
      <c r="U26" s="105">
        <v>0.0</v>
      </c>
      <c r="V26" s="105">
        <v>0.0</v>
      </c>
      <c r="W26" s="105">
        <v>48.0</v>
      </c>
      <c r="X26" s="105" t="s">
        <v>134</v>
      </c>
      <c r="Y26" s="105">
        <v>37.0</v>
      </c>
      <c r="Z26" s="105" t="s">
        <v>134</v>
      </c>
      <c r="AA26" s="105">
        <v>56.0</v>
      </c>
      <c r="AB26" s="105" t="s">
        <v>134</v>
      </c>
      <c r="AC26" s="105">
        <v>69.0</v>
      </c>
      <c r="AD26" s="105">
        <v>0.0</v>
      </c>
      <c r="AE26" s="105" t="s">
        <v>134</v>
      </c>
      <c r="AF26" s="105" t="s">
        <v>134</v>
      </c>
      <c r="AG26" s="105" t="s">
        <v>134</v>
      </c>
      <c r="AH26" s="105" t="s">
        <v>134</v>
      </c>
      <c r="AI26" s="105" t="s">
        <v>134</v>
      </c>
      <c r="AJ26" s="105">
        <v>12.0</v>
      </c>
      <c r="AK26" s="105" t="s">
        <v>134</v>
      </c>
      <c r="AL26" s="105">
        <v>31.0</v>
      </c>
      <c r="AM26" s="105" t="s">
        <v>134</v>
      </c>
      <c r="AN26" s="105">
        <v>39.0</v>
      </c>
      <c r="AO26" s="105">
        <v>31.0</v>
      </c>
    </row>
    <row r="27">
      <c r="A27" s="157" t="s">
        <v>109</v>
      </c>
      <c r="B27" s="105" t="s">
        <v>134</v>
      </c>
      <c r="C27" s="105" t="s">
        <v>134</v>
      </c>
      <c r="D27" s="105" t="s">
        <v>134</v>
      </c>
      <c r="E27" s="105">
        <v>31.0</v>
      </c>
      <c r="F27" s="105" t="s">
        <v>134</v>
      </c>
      <c r="G27" s="105">
        <v>23.0</v>
      </c>
      <c r="H27" s="105">
        <v>39.0</v>
      </c>
      <c r="I27" s="105" t="s">
        <v>134</v>
      </c>
      <c r="J27" s="105" t="s">
        <v>134</v>
      </c>
      <c r="K27" s="105">
        <v>13.0</v>
      </c>
      <c r="L27" s="105">
        <v>0.0</v>
      </c>
      <c r="M27" s="105" t="s">
        <v>134</v>
      </c>
      <c r="N27" s="105" t="s">
        <v>134</v>
      </c>
      <c r="O27" s="105" t="s">
        <v>134</v>
      </c>
      <c r="P27" s="105" t="s">
        <v>134</v>
      </c>
      <c r="Q27" s="105">
        <v>31.0</v>
      </c>
      <c r="R27" s="105" t="s">
        <v>134</v>
      </c>
      <c r="S27" s="105" t="s">
        <v>134</v>
      </c>
      <c r="T27" s="105">
        <v>31.0</v>
      </c>
      <c r="U27" s="105">
        <v>0.0</v>
      </c>
      <c r="V27" s="105">
        <v>0.0</v>
      </c>
      <c r="W27" s="105">
        <v>36.0</v>
      </c>
      <c r="X27" s="105" t="s">
        <v>134</v>
      </c>
      <c r="Y27" s="105">
        <v>31.0</v>
      </c>
      <c r="Z27" s="105" t="s">
        <v>134</v>
      </c>
      <c r="AA27" s="105">
        <v>18.0</v>
      </c>
      <c r="AB27" s="105" t="s">
        <v>134</v>
      </c>
      <c r="AC27" s="105">
        <v>48.0</v>
      </c>
      <c r="AD27" s="105">
        <v>0.0</v>
      </c>
      <c r="AE27" s="105" t="s">
        <v>134</v>
      </c>
      <c r="AF27" s="105">
        <v>23.0</v>
      </c>
      <c r="AG27" s="105" t="s">
        <v>134</v>
      </c>
      <c r="AH27" s="105" t="s">
        <v>134</v>
      </c>
      <c r="AI27" s="105" t="s">
        <v>134</v>
      </c>
      <c r="AJ27" s="105">
        <v>12.0</v>
      </c>
      <c r="AK27" s="105">
        <v>0.0</v>
      </c>
      <c r="AL27" s="105">
        <v>28.0</v>
      </c>
      <c r="AM27" s="105">
        <v>22.0</v>
      </c>
      <c r="AN27" s="105">
        <v>17.0</v>
      </c>
      <c r="AO27" s="105">
        <v>24.0</v>
      </c>
    </row>
    <row r="28">
      <c r="A28" s="157" t="s">
        <v>110</v>
      </c>
      <c r="B28" s="105" t="s">
        <v>134</v>
      </c>
      <c r="C28" s="105">
        <v>31.0</v>
      </c>
      <c r="D28" s="105" t="s">
        <v>134</v>
      </c>
      <c r="E28" s="105">
        <v>77.0</v>
      </c>
      <c r="F28" s="105" t="s">
        <v>134</v>
      </c>
      <c r="G28" s="105">
        <v>26.0</v>
      </c>
      <c r="H28" s="105">
        <v>30.0</v>
      </c>
      <c r="I28" s="105" t="s">
        <v>134</v>
      </c>
      <c r="J28" s="105">
        <v>54.0</v>
      </c>
      <c r="K28" s="105">
        <v>15.0</v>
      </c>
      <c r="L28" s="105">
        <v>0.0</v>
      </c>
      <c r="M28" s="105">
        <v>0.0</v>
      </c>
      <c r="N28" s="105" t="s">
        <v>134</v>
      </c>
      <c r="O28" s="105" t="s">
        <v>134</v>
      </c>
      <c r="P28" s="105" t="s">
        <v>134</v>
      </c>
      <c r="Q28" s="105">
        <v>21.0</v>
      </c>
      <c r="R28" s="105">
        <v>28.0</v>
      </c>
      <c r="S28" s="105">
        <v>0.0</v>
      </c>
      <c r="T28" s="105">
        <v>50.0</v>
      </c>
      <c r="U28" s="105" t="s">
        <v>134</v>
      </c>
      <c r="V28" s="105" t="s">
        <v>134</v>
      </c>
      <c r="W28" s="105">
        <v>44.0</v>
      </c>
      <c r="X28" s="105">
        <v>0.0</v>
      </c>
      <c r="Y28" s="105">
        <v>49.0</v>
      </c>
      <c r="Z28" s="105">
        <v>40.0</v>
      </c>
      <c r="AA28" s="105">
        <v>39.0</v>
      </c>
      <c r="AB28" s="105" t="s">
        <v>134</v>
      </c>
      <c r="AC28" s="105">
        <v>57.0</v>
      </c>
      <c r="AD28" s="105">
        <v>0.0</v>
      </c>
      <c r="AE28" s="105" t="s">
        <v>134</v>
      </c>
      <c r="AF28" s="105">
        <v>23.0</v>
      </c>
      <c r="AG28" s="105" t="s">
        <v>134</v>
      </c>
      <c r="AH28" s="105" t="s">
        <v>134</v>
      </c>
      <c r="AI28" s="105" t="s">
        <v>134</v>
      </c>
      <c r="AJ28" s="105">
        <v>21.0</v>
      </c>
      <c r="AK28" s="105" t="s">
        <v>134</v>
      </c>
      <c r="AL28" s="105">
        <v>45.0</v>
      </c>
      <c r="AM28" s="105" t="s">
        <v>134</v>
      </c>
      <c r="AN28" s="105">
        <v>29.0</v>
      </c>
      <c r="AO28" s="105">
        <v>32.0</v>
      </c>
    </row>
    <row r="29">
      <c r="A29" s="157" t="s">
        <v>111</v>
      </c>
      <c r="B29" s="105" t="s">
        <v>134</v>
      </c>
      <c r="C29" s="105">
        <v>36.0</v>
      </c>
      <c r="D29" s="105" t="s">
        <v>134</v>
      </c>
      <c r="E29" s="105">
        <v>108.0</v>
      </c>
      <c r="F29" s="105" t="s">
        <v>134</v>
      </c>
      <c r="G29" s="105" t="s">
        <v>134</v>
      </c>
      <c r="H29" s="105">
        <v>41.0</v>
      </c>
      <c r="I29" s="105">
        <v>32.0</v>
      </c>
      <c r="J29" s="105" t="s">
        <v>134</v>
      </c>
      <c r="K29" s="105">
        <v>32.0</v>
      </c>
      <c r="L29" s="105">
        <v>0.0</v>
      </c>
      <c r="M29" s="105" t="s">
        <v>134</v>
      </c>
      <c r="N29" s="105">
        <v>0.0</v>
      </c>
      <c r="O29" s="105">
        <v>0.0</v>
      </c>
      <c r="P29" s="105">
        <v>0.0</v>
      </c>
      <c r="Q29" s="105">
        <v>38.0</v>
      </c>
      <c r="R29" s="105">
        <v>23.0</v>
      </c>
      <c r="S29" s="105" t="s">
        <v>134</v>
      </c>
      <c r="T29" s="105" t="s">
        <v>134</v>
      </c>
      <c r="U29" s="105" t="s">
        <v>134</v>
      </c>
      <c r="V29" s="105">
        <v>0.0</v>
      </c>
      <c r="W29" s="105" t="s">
        <v>134</v>
      </c>
      <c r="X29" s="105" t="s">
        <v>134</v>
      </c>
      <c r="Y29" s="105">
        <v>43.0</v>
      </c>
      <c r="Z29" s="105" t="s">
        <v>134</v>
      </c>
      <c r="AA29" s="105">
        <v>82.0</v>
      </c>
      <c r="AB29" s="105" t="s">
        <v>134</v>
      </c>
      <c r="AC29" s="105">
        <v>67.0</v>
      </c>
      <c r="AD29" s="105">
        <v>0.0</v>
      </c>
      <c r="AE29" s="105" t="s">
        <v>134</v>
      </c>
      <c r="AF29" s="105">
        <v>60.0</v>
      </c>
      <c r="AG29" s="105" t="s">
        <v>134</v>
      </c>
      <c r="AH29" s="105" t="s">
        <v>134</v>
      </c>
      <c r="AI29" s="105" t="s">
        <v>134</v>
      </c>
      <c r="AJ29" s="105">
        <v>25.0</v>
      </c>
      <c r="AK29" s="105">
        <v>0.0</v>
      </c>
      <c r="AL29" s="105">
        <v>31.0</v>
      </c>
      <c r="AM29" s="105" t="s">
        <v>134</v>
      </c>
      <c r="AN29" s="105">
        <v>39.0</v>
      </c>
      <c r="AO29" s="105">
        <v>39.0</v>
      </c>
    </row>
    <row r="30">
      <c r="A30" s="157" t="s">
        <v>112</v>
      </c>
      <c r="B30" s="105">
        <v>0.0</v>
      </c>
      <c r="C30" s="105">
        <v>36.0</v>
      </c>
      <c r="D30" s="105" t="s">
        <v>134</v>
      </c>
      <c r="E30" s="105">
        <v>175.0</v>
      </c>
      <c r="F30" s="105" t="s">
        <v>134</v>
      </c>
      <c r="G30" s="105">
        <v>32.0</v>
      </c>
      <c r="H30" s="105">
        <v>54.0</v>
      </c>
      <c r="I30" s="105">
        <v>29.0</v>
      </c>
      <c r="J30" s="105">
        <v>46.0</v>
      </c>
      <c r="K30" s="105">
        <v>42.0</v>
      </c>
      <c r="L30" s="105" t="s">
        <v>134</v>
      </c>
      <c r="M30" s="105">
        <v>0.0</v>
      </c>
      <c r="N30" s="105" t="s">
        <v>134</v>
      </c>
      <c r="O30" s="105" t="s">
        <v>134</v>
      </c>
      <c r="P30" s="105" t="s">
        <v>134</v>
      </c>
      <c r="Q30" s="105">
        <v>65.0</v>
      </c>
      <c r="R30" s="105">
        <v>23.0</v>
      </c>
      <c r="S30" s="105">
        <v>0.0</v>
      </c>
      <c r="T30" s="105" t="s">
        <v>134</v>
      </c>
      <c r="U30" s="105" t="s">
        <v>134</v>
      </c>
      <c r="V30" s="105" t="s">
        <v>134</v>
      </c>
      <c r="W30" s="105">
        <v>28.0</v>
      </c>
      <c r="X30" s="105">
        <v>19.0</v>
      </c>
      <c r="Y30" s="105">
        <v>102.0</v>
      </c>
      <c r="Z30" s="105">
        <v>57.0</v>
      </c>
      <c r="AA30" s="105">
        <v>130.0</v>
      </c>
      <c r="AB30" s="105" t="s">
        <v>134</v>
      </c>
      <c r="AC30" s="105">
        <v>95.0</v>
      </c>
      <c r="AD30" s="105">
        <v>0.0</v>
      </c>
      <c r="AE30" s="105" t="s">
        <v>134</v>
      </c>
      <c r="AF30" s="105">
        <v>42.0</v>
      </c>
      <c r="AG30" s="105" t="s">
        <v>134</v>
      </c>
      <c r="AH30" s="105" t="s">
        <v>134</v>
      </c>
      <c r="AI30" s="105">
        <v>86.0</v>
      </c>
      <c r="AJ30" s="105">
        <v>42.0</v>
      </c>
      <c r="AK30" s="105" t="s">
        <v>134</v>
      </c>
      <c r="AL30" s="105">
        <v>35.0</v>
      </c>
      <c r="AM30" s="105" t="s">
        <v>134</v>
      </c>
      <c r="AN30" s="105">
        <v>41.0</v>
      </c>
      <c r="AO30" s="105">
        <v>58.0</v>
      </c>
    </row>
    <row r="31">
      <c r="A31" s="159" t="s">
        <v>113</v>
      </c>
      <c r="B31" s="105" t="s">
        <v>134</v>
      </c>
      <c r="C31" s="105">
        <v>22.0</v>
      </c>
      <c r="D31" s="105">
        <v>43.0</v>
      </c>
      <c r="E31" s="105">
        <v>191.0</v>
      </c>
      <c r="F31" s="105" t="s">
        <v>134</v>
      </c>
      <c r="G31" s="105">
        <v>20.0</v>
      </c>
      <c r="H31" s="105">
        <v>94.0</v>
      </c>
      <c r="I31" s="105">
        <v>29.0</v>
      </c>
      <c r="J31" s="105">
        <v>54.0</v>
      </c>
      <c r="K31" s="105">
        <v>30.0</v>
      </c>
      <c r="L31" s="105" t="s">
        <v>134</v>
      </c>
      <c r="M31" s="105" t="s">
        <v>134</v>
      </c>
      <c r="N31" s="105" t="s">
        <v>134</v>
      </c>
      <c r="O31" s="105" t="s">
        <v>134</v>
      </c>
      <c r="P31" s="105" t="s">
        <v>134</v>
      </c>
      <c r="Q31" s="105">
        <v>38.0</v>
      </c>
      <c r="R31" s="105">
        <v>60.0</v>
      </c>
      <c r="S31" s="105">
        <v>0.0</v>
      </c>
      <c r="T31" s="105">
        <v>37.0</v>
      </c>
      <c r="U31" s="105">
        <v>0.0</v>
      </c>
      <c r="V31" s="105" t="s">
        <v>134</v>
      </c>
      <c r="W31" s="105">
        <v>28.0</v>
      </c>
      <c r="X31" s="105">
        <v>19.0</v>
      </c>
      <c r="Y31" s="105">
        <v>105.0</v>
      </c>
      <c r="Z31" s="105" t="s">
        <v>134</v>
      </c>
      <c r="AA31" s="105">
        <v>145.0</v>
      </c>
      <c r="AB31" s="105">
        <v>0.0</v>
      </c>
      <c r="AC31" s="105">
        <v>107.0</v>
      </c>
      <c r="AD31" s="105" t="s">
        <v>134</v>
      </c>
      <c r="AE31" s="105" t="s">
        <v>134</v>
      </c>
      <c r="AF31" s="105" t="s">
        <v>134</v>
      </c>
      <c r="AG31" s="105" t="s">
        <v>134</v>
      </c>
      <c r="AH31" s="105" t="s">
        <v>134</v>
      </c>
      <c r="AI31" s="105" t="s">
        <v>134</v>
      </c>
      <c r="AJ31" s="105">
        <v>44.0</v>
      </c>
      <c r="AK31" s="105" t="s">
        <v>134</v>
      </c>
      <c r="AL31" s="105">
        <v>73.0</v>
      </c>
      <c r="AM31" s="105" t="s">
        <v>134</v>
      </c>
      <c r="AN31" s="105">
        <v>48.0</v>
      </c>
      <c r="AO31" s="105">
        <v>63.0</v>
      </c>
    </row>
    <row r="32">
      <c r="A32" s="159" t="s">
        <v>114</v>
      </c>
      <c r="B32" s="105" t="s">
        <v>134</v>
      </c>
      <c r="C32" s="105">
        <v>22.0</v>
      </c>
      <c r="D32" s="105" t="s">
        <v>134</v>
      </c>
      <c r="E32" s="105">
        <v>196.0</v>
      </c>
      <c r="F32" s="105">
        <v>0.0</v>
      </c>
      <c r="G32" s="105">
        <v>23.0</v>
      </c>
      <c r="H32" s="105">
        <v>108.0</v>
      </c>
      <c r="I32" s="105">
        <v>32.0</v>
      </c>
      <c r="J32" s="105" t="s">
        <v>134</v>
      </c>
      <c r="K32" s="105">
        <v>40.0</v>
      </c>
      <c r="L32" s="105" t="s">
        <v>134</v>
      </c>
      <c r="M32" s="105" t="s">
        <v>134</v>
      </c>
      <c r="N32" s="105" t="s">
        <v>134</v>
      </c>
      <c r="O32" s="105" t="s">
        <v>134</v>
      </c>
      <c r="P32" s="105">
        <v>0.0</v>
      </c>
      <c r="Q32" s="105">
        <v>58.0</v>
      </c>
      <c r="R32" s="105">
        <v>65.0</v>
      </c>
      <c r="S32" s="105">
        <v>0.0</v>
      </c>
      <c r="T32" s="105" t="s">
        <v>134</v>
      </c>
      <c r="U32" s="105" t="s">
        <v>134</v>
      </c>
      <c r="V32" s="105" t="s">
        <v>134</v>
      </c>
      <c r="W32" s="105">
        <v>20.0</v>
      </c>
      <c r="X32" s="105">
        <v>27.0</v>
      </c>
      <c r="Y32" s="105">
        <v>83.0</v>
      </c>
      <c r="Z32" s="105" t="s">
        <v>134</v>
      </c>
      <c r="AA32" s="105">
        <v>116.0</v>
      </c>
      <c r="AB32" s="105" t="s">
        <v>134</v>
      </c>
      <c r="AC32" s="105">
        <v>124.0</v>
      </c>
      <c r="AD32" s="105" t="s">
        <v>134</v>
      </c>
      <c r="AE32" s="105">
        <v>47.0</v>
      </c>
      <c r="AF32" s="105">
        <v>32.0</v>
      </c>
      <c r="AG32" s="105" t="s">
        <v>134</v>
      </c>
      <c r="AH32" s="105">
        <v>0.0</v>
      </c>
      <c r="AI32" s="105">
        <v>0.0</v>
      </c>
      <c r="AJ32" s="105">
        <v>37.0</v>
      </c>
      <c r="AK32" s="105">
        <v>0.0</v>
      </c>
      <c r="AL32" s="105">
        <v>38.0</v>
      </c>
      <c r="AM32" s="105">
        <v>22.0</v>
      </c>
      <c r="AN32" s="105">
        <v>51.0</v>
      </c>
      <c r="AO32" s="105">
        <v>62.0</v>
      </c>
    </row>
    <row r="33">
      <c r="A33" s="159" t="s">
        <v>115</v>
      </c>
      <c r="B33" s="105" t="s">
        <v>134</v>
      </c>
      <c r="C33" s="105">
        <v>22.0</v>
      </c>
      <c r="D33" s="105" t="s">
        <v>134</v>
      </c>
      <c r="E33" s="105">
        <v>175.0</v>
      </c>
      <c r="F33" s="105" t="s">
        <v>134</v>
      </c>
      <c r="G33" s="105">
        <v>20.0</v>
      </c>
      <c r="H33" s="105">
        <v>42.0</v>
      </c>
      <c r="I33" s="105">
        <v>43.0</v>
      </c>
      <c r="J33" s="105">
        <v>38.0</v>
      </c>
      <c r="K33" s="105">
        <v>27.0</v>
      </c>
      <c r="L33" s="105" t="s">
        <v>134</v>
      </c>
      <c r="M33" s="105" t="s">
        <v>134</v>
      </c>
      <c r="N33" s="105" t="s">
        <v>134</v>
      </c>
      <c r="O33" s="105">
        <v>0.0</v>
      </c>
      <c r="P33" s="105" t="s">
        <v>134</v>
      </c>
      <c r="Q33" s="105">
        <v>38.0</v>
      </c>
      <c r="R33" s="105">
        <v>23.0</v>
      </c>
      <c r="S33" s="105">
        <v>0.0</v>
      </c>
      <c r="T33" s="105">
        <v>0.0</v>
      </c>
      <c r="U33" s="105">
        <v>116.0</v>
      </c>
      <c r="V33" s="105" t="s">
        <v>134</v>
      </c>
      <c r="W33" s="105" t="s">
        <v>134</v>
      </c>
      <c r="X33" s="105">
        <v>42.0</v>
      </c>
      <c r="Y33" s="105">
        <v>62.0</v>
      </c>
      <c r="Z33" s="105">
        <v>0.0</v>
      </c>
      <c r="AA33" s="105">
        <v>77.0</v>
      </c>
      <c r="AB33" s="105" t="s">
        <v>134</v>
      </c>
      <c r="AC33" s="105">
        <v>123.0</v>
      </c>
      <c r="AD33" s="105" t="s">
        <v>134</v>
      </c>
      <c r="AE33" s="105" t="s">
        <v>134</v>
      </c>
      <c r="AF33" s="105">
        <v>51.0</v>
      </c>
      <c r="AG33" s="105">
        <v>55.0</v>
      </c>
      <c r="AH33" s="105" t="s">
        <v>134</v>
      </c>
      <c r="AI33" s="105">
        <v>0.0</v>
      </c>
      <c r="AJ33" s="105">
        <v>25.0</v>
      </c>
      <c r="AK33" s="105" t="s">
        <v>134</v>
      </c>
      <c r="AL33" s="105">
        <v>52.0</v>
      </c>
      <c r="AM33" s="105">
        <v>0.0</v>
      </c>
      <c r="AN33" s="105">
        <v>51.0</v>
      </c>
      <c r="AO33" s="105">
        <v>54.0</v>
      </c>
    </row>
    <row r="34">
      <c r="A34" s="159" t="s">
        <v>116</v>
      </c>
      <c r="B34" s="105">
        <v>0.0</v>
      </c>
      <c r="C34" s="105">
        <v>67.0</v>
      </c>
      <c r="D34" s="105" t="s">
        <v>134</v>
      </c>
      <c r="E34" s="105">
        <v>186.0</v>
      </c>
      <c r="F34" s="105">
        <v>0.0</v>
      </c>
      <c r="G34" s="105">
        <v>26.0</v>
      </c>
      <c r="H34" s="105">
        <v>58.0</v>
      </c>
      <c r="I34" s="105">
        <v>61.0</v>
      </c>
      <c r="J34" s="105">
        <v>69.0</v>
      </c>
      <c r="K34" s="105">
        <v>27.0</v>
      </c>
      <c r="L34" s="105" t="s">
        <v>134</v>
      </c>
      <c r="M34" s="105" t="s">
        <v>134</v>
      </c>
      <c r="N34" s="105" t="s">
        <v>134</v>
      </c>
      <c r="O34" s="105" t="s">
        <v>134</v>
      </c>
      <c r="P34" s="105" t="s">
        <v>134</v>
      </c>
      <c r="Q34" s="105">
        <v>75.0</v>
      </c>
      <c r="R34" s="105">
        <v>42.0</v>
      </c>
      <c r="S34" s="105">
        <v>0.0</v>
      </c>
      <c r="T34" s="105">
        <v>44.0</v>
      </c>
      <c r="U34" s="105">
        <v>58.0</v>
      </c>
      <c r="V34" s="105">
        <v>0.0</v>
      </c>
      <c r="W34" s="105" t="s">
        <v>134</v>
      </c>
      <c r="X34" s="105">
        <v>84.0</v>
      </c>
      <c r="Y34" s="105">
        <v>62.0</v>
      </c>
      <c r="Z34" s="105" t="s">
        <v>134</v>
      </c>
      <c r="AA34" s="105">
        <v>75.0</v>
      </c>
      <c r="AB34" s="105" t="s">
        <v>134</v>
      </c>
      <c r="AC34" s="105">
        <v>122.0</v>
      </c>
      <c r="AD34" s="105">
        <v>0.0</v>
      </c>
      <c r="AE34" s="105" t="s">
        <v>134</v>
      </c>
      <c r="AF34" s="105">
        <v>42.0</v>
      </c>
      <c r="AG34" s="105">
        <v>23.0</v>
      </c>
      <c r="AH34" s="105">
        <v>44.0</v>
      </c>
      <c r="AI34" s="105" t="s">
        <v>134</v>
      </c>
      <c r="AJ34" s="105">
        <v>44.0</v>
      </c>
      <c r="AK34" s="105" t="s">
        <v>134</v>
      </c>
      <c r="AL34" s="105" t="s">
        <v>134</v>
      </c>
      <c r="AM34" s="105" t="s">
        <v>134</v>
      </c>
      <c r="AN34" s="105">
        <v>39.0</v>
      </c>
      <c r="AO34" s="105">
        <v>59.0</v>
      </c>
    </row>
    <row r="35">
      <c r="A35" s="159" t="s">
        <v>117</v>
      </c>
      <c r="B35" s="105" t="s">
        <v>134</v>
      </c>
      <c r="C35" s="105">
        <v>31.0</v>
      </c>
      <c r="D35" s="105" t="s">
        <v>134</v>
      </c>
      <c r="E35" s="105">
        <v>114.0</v>
      </c>
      <c r="F35" s="105" t="s">
        <v>134</v>
      </c>
      <c r="G35" s="105">
        <v>26.0</v>
      </c>
      <c r="H35" s="105">
        <v>48.0</v>
      </c>
      <c r="I35" s="105">
        <v>32.0</v>
      </c>
      <c r="J35" s="105">
        <v>61.0</v>
      </c>
      <c r="K35" s="105">
        <v>11.0</v>
      </c>
      <c r="L35" s="105">
        <v>0.0</v>
      </c>
      <c r="M35" s="105" t="s">
        <v>134</v>
      </c>
      <c r="N35" s="105" t="s">
        <v>134</v>
      </c>
      <c r="O35" s="105" t="s">
        <v>134</v>
      </c>
      <c r="P35" s="105">
        <v>0.0</v>
      </c>
      <c r="Q35" s="105">
        <v>48.0</v>
      </c>
      <c r="R35" s="105">
        <v>37.0</v>
      </c>
      <c r="S35" s="105">
        <v>0.0</v>
      </c>
      <c r="T35" s="105" t="s">
        <v>134</v>
      </c>
      <c r="U35" s="105">
        <v>39.0</v>
      </c>
      <c r="V35" s="105">
        <v>0.0</v>
      </c>
      <c r="W35" s="105">
        <v>20.0</v>
      </c>
      <c r="X35" s="105">
        <v>27.0</v>
      </c>
      <c r="Y35" s="105">
        <v>49.0</v>
      </c>
      <c r="Z35" s="105" t="s">
        <v>134</v>
      </c>
      <c r="AA35" s="105">
        <v>53.0</v>
      </c>
      <c r="AB35" s="105">
        <v>29.0</v>
      </c>
      <c r="AC35" s="105">
        <v>106.0</v>
      </c>
      <c r="AD35" s="105" t="s">
        <v>134</v>
      </c>
      <c r="AE35" s="105" t="s">
        <v>134</v>
      </c>
      <c r="AF35" s="105">
        <v>37.0</v>
      </c>
      <c r="AG35" s="105" t="s">
        <v>134</v>
      </c>
      <c r="AH35" s="105">
        <v>32.0</v>
      </c>
      <c r="AI35" s="105" t="s">
        <v>134</v>
      </c>
      <c r="AJ35" s="105">
        <v>19.0</v>
      </c>
      <c r="AK35" s="105" t="s">
        <v>134</v>
      </c>
      <c r="AL35" s="105">
        <v>21.0</v>
      </c>
      <c r="AM35" s="105" t="s">
        <v>134</v>
      </c>
      <c r="AN35" s="105">
        <v>43.0</v>
      </c>
      <c r="AO35" s="105">
        <v>46.0</v>
      </c>
    </row>
    <row r="36">
      <c r="A36" s="159" t="s">
        <v>118</v>
      </c>
      <c r="B36" s="105" t="s">
        <v>134</v>
      </c>
      <c r="C36" s="105" t="s">
        <v>134</v>
      </c>
      <c r="D36" s="105" t="s">
        <v>134</v>
      </c>
      <c r="E36" s="105" t="s">
        <v>134</v>
      </c>
      <c r="F36" s="105">
        <v>0.0</v>
      </c>
      <c r="G36" s="105" t="s">
        <v>134</v>
      </c>
      <c r="H36" s="105">
        <v>46.0</v>
      </c>
      <c r="I36" s="105">
        <v>43.0</v>
      </c>
      <c r="J36" s="105">
        <v>0.0</v>
      </c>
      <c r="K36" s="105">
        <v>21.0</v>
      </c>
      <c r="L36" s="105">
        <v>0.0</v>
      </c>
      <c r="M36" s="105" t="s">
        <v>134</v>
      </c>
      <c r="N36" s="105" t="s">
        <v>134</v>
      </c>
      <c r="O36" s="105">
        <v>0.0</v>
      </c>
      <c r="P36" s="105" t="s">
        <v>134</v>
      </c>
      <c r="Q36" s="105">
        <v>48.0</v>
      </c>
      <c r="R36" s="105">
        <v>28.0</v>
      </c>
      <c r="S36" s="105">
        <v>0.0</v>
      </c>
      <c r="T36" s="105" t="s">
        <v>134</v>
      </c>
      <c r="U36" s="105" t="s">
        <v>134</v>
      </c>
      <c r="V36" s="105">
        <v>0.0</v>
      </c>
      <c r="W36" s="105">
        <v>24.0</v>
      </c>
      <c r="X36" s="105">
        <v>23.0</v>
      </c>
      <c r="Y36" s="105">
        <v>89.0</v>
      </c>
      <c r="Z36" s="105" t="s">
        <v>134</v>
      </c>
      <c r="AA36" s="105">
        <v>53.0</v>
      </c>
      <c r="AB36" s="105" t="s">
        <v>134</v>
      </c>
      <c r="AC36" s="105">
        <v>100.0</v>
      </c>
      <c r="AD36" s="105">
        <v>0.0</v>
      </c>
      <c r="AE36" s="105" t="s">
        <v>134</v>
      </c>
      <c r="AF36" s="105">
        <v>28.0</v>
      </c>
      <c r="AG36" s="105">
        <v>0.0</v>
      </c>
      <c r="AH36" s="105">
        <v>38.0</v>
      </c>
      <c r="AI36" s="105" t="s">
        <v>134</v>
      </c>
      <c r="AJ36" s="105">
        <v>32.0</v>
      </c>
      <c r="AK36" s="105">
        <v>0.0</v>
      </c>
      <c r="AL36" s="105" t="s">
        <v>134</v>
      </c>
      <c r="AM36" s="105" t="s">
        <v>134</v>
      </c>
      <c r="AN36" s="105">
        <v>29.0</v>
      </c>
      <c r="AO36" s="105">
        <v>43.0</v>
      </c>
    </row>
    <row r="37">
      <c r="A37" s="159" t="s">
        <v>119</v>
      </c>
      <c r="B37" s="105">
        <v>31.0</v>
      </c>
      <c r="C37" s="105">
        <v>45.0</v>
      </c>
      <c r="D37" s="105">
        <v>43.0</v>
      </c>
      <c r="E37" s="105">
        <v>93.0</v>
      </c>
      <c r="F37" s="105" t="s">
        <v>134</v>
      </c>
      <c r="G37" s="105" t="s">
        <v>134</v>
      </c>
      <c r="H37" s="105">
        <v>37.0</v>
      </c>
      <c r="I37" s="105">
        <v>87.0</v>
      </c>
      <c r="J37" s="105" t="s">
        <v>134</v>
      </c>
      <c r="K37" s="105">
        <v>34.0</v>
      </c>
      <c r="L37" s="105">
        <v>0.0</v>
      </c>
      <c r="M37" s="105" t="s">
        <v>134</v>
      </c>
      <c r="N37" s="105">
        <v>0.0</v>
      </c>
      <c r="O37" s="105">
        <v>0.0</v>
      </c>
      <c r="P37" s="105">
        <v>0.0</v>
      </c>
      <c r="Q37" s="105">
        <v>31.0</v>
      </c>
      <c r="R37" s="105" t="s">
        <v>134</v>
      </c>
      <c r="S37" s="105">
        <v>0.0</v>
      </c>
      <c r="T37" s="105" t="s">
        <v>134</v>
      </c>
      <c r="U37" s="105">
        <v>32.0</v>
      </c>
      <c r="V37" s="105">
        <v>0.0</v>
      </c>
      <c r="W37" s="105">
        <v>52.0</v>
      </c>
      <c r="X37" s="105">
        <v>27.0</v>
      </c>
      <c r="Y37" s="105">
        <v>34.0</v>
      </c>
      <c r="Z37" s="105" t="s">
        <v>134</v>
      </c>
      <c r="AA37" s="105">
        <v>75.0</v>
      </c>
      <c r="AB37" s="105" t="s">
        <v>134</v>
      </c>
      <c r="AC37" s="105">
        <v>81.0</v>
      </c>
      <c r="AD37" s="105">
        <v>0.0</v>
      </c>
      <c r="AE37" s="105" t="s">
        <v>134</v>
      </c>
      <c r="AF37" s="105">
        <v>28.0</v>
      </c>
      <c r="AG37" s="105" t="s">
        <v>134</v>
      </c>
      <c r="AH37" s="105" t="s">
        <v>134</v>
      </c>
      <c r="AI37" s="105">
        <v>0.0</v>
      </c>
      <c r="AJ37" s="105">
        <v>27.0</v>
      </c>
      <c r="AK37" s="105" t="s">
        <v>134</v>
      </c>
      <c r="AL37" s="105">
        <v>38.0</v>
      </c>
      <c r="AM37" s="105">
        <v>22.0</v>
      </c>
      <c r="AN37" s="105">
        <v>39.0</v>
      </c>
      <c r="AO37" s="105">
        <v>43.0</v>
      </c>
    </row>
    <row r="38">
      <c r="A38" s="159" t="s">
        <v>120</v>
      </c>
      <c r="B38" s="105">
        <v>31.0</v>
      </c>
      <c r="C38" s="105">
        <v>31.0</v>
      </c>
      <c r="D38" s="105">
        <v>61.0</v>
      </c>
      <c r="E38" s="105">
        <v>108.0</v>
      </c>
      <c r="F38" s="105" t="s">
        <v>134</v>
      </c>
      <c r="G38" s="105">
        <v>61.0</v>
      </c>
      <c r="H38" s="105">
        <v>47.0</v>
      </c>
      <c r="I38" s="105">
        <v>43.0</v>
      </c>
      <c r="J38" s="105" t="s">
        <v>134</v>
      </c>
      <c r="K38" s="105">
        <v>19.0</v>
      </c>
      <c r="L38" s="105" t="s">
        <v>134</v>
      </c>
      <c r="M38" s="105">
        <v>0.0</v>
      </c>
      <c r="N38" s="105">
        <v>0.0</v>
      </c>
      <c r="O38" s="105" t="s">
        <v>134</v>
      </c>
      <c r="P38" s="105" t="s">
        <v>134</v>
      </c>
      <c r="Q38" s="105">
        <v>72.0</v>
      </c>
      <c r="R38" s="105">
        <v>23.0</v>
      </c>
      <c r="S38" s="105">
        <v>0.0</v>
      </c>
      <c r="T38" s="105">
        <v>0.0</v>
      </c>
      <c r="U38" s="105">
        <v>199.0</v>
      </c>
      <c r="V38" s="105">
        <v>0.0</v>
      </c>
      <c r="W38" s="105">
        <v>32.0</v>
      </c>
      <c r="X38" s="105">
        <v>19.0</v>
      </c>
      <c r="Y38" s="105">
        <v>65.0</v>
      </c>
      <c r="Z38" s="105">
        <v>49.0</v>
      </c>
      <c r="AA38" s="105">
        <v>56.0</v>
      </c>
      <c r="AB38" s="105" t="s">
        <v>134</v>
      </c>
      <c r="AC38" s="105">
        <v>157.0</v>
      </c>
      <c r="AD38" s="105" t="s">
        <v>134</v>
      </c>
      <c r="AE38" s="105" t="s">
        <v>134</v>
      </c>
      <c r="AF38" s="105">
        <v>51.0</v>
      </c>
      <c r="AG38" s="105">
        <v>23.0</v>
      </c>
      <c r="AH38" s="105">
        <v>32.0</v>
      </c>
      <c r="AI38" s="105" t="s">
        <v>134</v>
      </c>
      <c r="AJ38" s="105">
        <v>41.0</v>
      </c>
      <c r="AK38" s="105" t="s">
        <v>134</v>
      </c>
      <c r="AL38" s="105">
        <v>35.0</v>
      </c>
      <c r="AM38" s="105">
        <v>40.0</v>
      </c>
      <c r="AN38" s="105">
        <v>36.0</v>
      </c>
      <c r="AO38" s="105">
        <v>63.0</v>
      </c>
    </row>
    <row r="39">
      <c r="A39" s="159" t="s">
        <v>121</v>
      </c>
      <c r="B39" s="105" t="s">
        <v>134</v>
      </c>
      <c r="C39" s="105" t="s">
        <v>134</v>
      </c>
      <c r="D39" s="105">
        <v>43.0</v>
      </c>
      <c r="E39" s="105">
        <v>175.0</v>
      </c>
      <c r="F39" s="105" t="s">
        <v>134</v>
      </c>
      <c r="G39" s="105">
        <v>17.0</v>
      </c>
      <c r="H39" s="105">
        <v>49.0</v>
      </c>
      <c r="I39" s="105">
        <v>40.0</v>
      </c>
      <c r="J39" s="105" t="s">
        <v>134</v>
      </c>
      <c r="K39" s="105">
        <v>17.0</v>
      </c>
      <c r="L39" s="105" t="s">
        <v>134</v>
      </c>
      <c r="M39" s="105">
        <v>0.0</v>
      </c>
      <c r="N39" s="105" t="s">
        <v>134</v>
      </c>
      <c r="O39" s="105" t="s">
        <v>134</v>
      </c>
      <c r="P39" s="105" t="s">
        <v>134</v>
      </c>
      <c r="Q39" s="105">
        <v>96.0</v>
      </c>
      <c r="R39" s="105">
        <v>65.0</v>
      </c>
      <c r="S39" s="105">
        <v>0.0</v>
      </c>
      <c r="T39" s="105" t="s">
        <v>134</v>
      </c>
      <c r="U39" s="105">
        <v>193.0</v>
      </c>
      <c r="V39" s="105">
        <v>0.0</v>
      </c>
      <c r="W39" s="105" t="s">
        <v>134</v>
      </c>
      <c r="X39" s="105">
        <v>19.0</v>
      </c>
      <c r="Y39" s="105">
        <v>62.0</v>
      </c>
      <c r="Z39" s="105">
        <v>73.0</v>
      </c>
      <c r="AA39" s="105">
        <v>107.0</v>
      </c>
      <c r="AB39" s="105">
        <v>0.0</v>
      </c>
      <c r="AC39" s="105">
        <v>136.0</v>
      </c>
      <c r="AD39" s="105" t="s">
        <v>134</v>
      </c>
      <c r="AE39" s="105" t="s">
        <v>134</v>
      </c>
      <c r="AF39" s="105">
        <v>51.0</v>
      </c>
      <c r="AG39" s="105" t="s">
        <v>134</v>
      </c>
      <c r="AH39" s="105" t="s">
        <v>134</v>
      </c>
      <c r="AI39" s="105">
        <v>67.0</v>
      </c>
      <c r="AJ39" s="105">
        <v>28.0</v>
      </c>
      <c r="AK39" s="105" t="s">
        <v>134</v>
      </c>
      <c r="AL39" s="105">
        <v>31.0</v>
      </c>
      <c r="AM39" s="105">
        <v>44.0</v>
      </c>
      <c r="AN39" s="105">
        <v>26.0</v>
      </c>
      <c r="AO39" s="105">
        <v>62.0</v>
      </c>
    </row>
    <row r="40">
      <c r="A40" s="159" t="s">
        <v>122</v>
      </c>
      <c r="B40" s="105" t="s">
        <v>134</v>
      </c>
      <c r="C40" s="105">
        <v>40.0</v>
      </c>
      <c r="D40" s="105" t="s">
        <v>134</v>
      </c>
      <c r="E40" s="105">
        <v>160.0</v>
      </c>
      <c r="F40" s="105" t="s">
        <v>134</v>
      </c>
      <c r="G40" s="105">
        <v>40.0</v>
      </c>
      <c r="H40" s="105">
        <v>76.0</v>
      </c>
      <c r="I40" s="105">
        <v>63.0</v>
      </c>
      <c r="J40" s="105">
        <v>76.0</v>
      </c>
      <c r="K40" s="105">
        <v>67.0</v>
      </c>
      <c r="L40" s="105" t="s">
        <v>134</v>
      </c>
      <c r="M40" s="105" t="s">
        <v>134</v>
      </c>
      <c r="N40" s="105" t="s">
        <v>134</v>
      </c>
      <c r="O40" s="105" t="s">
        <v>134</v>
      </c>
      <c r="P40" s="105" t="s">
        <v>134</v>
      </c>
      <c r="Q40" s="105">
        <v>86.0</v>
      </c>
      <c r="R40" s="105">
        <v>74.0</v>
      </c>
      <c r="S40" s="105" t="s">
        <v>134</v>
      </c>
      <c r="T40" s="105" t="s">
        <v>134</v>
      </c>
      <c r="U40" s="105">
        <v>257.0</v>
      </c>
      <c r="V40" s="105">
        <v>0.0</v>
      </c>
      <c r="W40" s="105" t="s">
        <v>134</v>
      </c>
      <c r="X40" s="105">
        <v>57.0</v>
      </c>
      <c r="Y40" s="105">
        <v>105.0</v>
      </c>
      <c r="Z40" s="105">
        <v>49.0</v>
      </c>
      <c r="AA40" s="105">
        <v>159.0</v>
      </c>
      <c r="AB40" s="105">
        <v>29.0</v>
      </c>
      <c r="AC40" s="105">
        <v>158.0</v>
      </c>
      <c r="AD40" s="105" t="s">
        <v>134</v>
      </c>
      <c r="AE40" s="105" t="s">
        <v>134</v>
      </c>
      <c r="AF40" s="105">
        <v>65.0</v>
      </c>
      <c r="AG40" s="105">
        <v>39.0</v>
      </c>
      <c r="AH40" s="105" t="s">
        <v>134</v>
      </c>
      <c r="AI40" s="105">
        <v>0.0</v>
      </c>
      <c r="AJ40" s="105">
        <v>48.0</v>
      </c>
      <c r="AK40" s="105" t="s">
        <v>134</v>
      </c>
      <c r="AL40" s="105">
        <v>52.0</v>
      </c>
      <c r="AM40" s="105">
        <v>49.0</v>
      </c>
      <c r="AN40" s="105">
        <v>60.0</v>
      </c>
      <c r="AO40" s="105">
        <v>85.0</v>
      </c>
    </row>
    <row r="41">
      <c r="A41" s="159" t="s">
        <v>123</v>
      </c>
      <c r="B41" s="105">
        <v>43.0</v>
      </c>
      <c r="C41" s="105">
        <v>54.0</v>
      </c>
      <c r="D41" s="105">
        <v>49.0</v>
      </c>
      <c r="E41" s="105">
        <v>227.0</v>
      </c>
      <c r="F41" s="105" t="s">
        <v>134</v>
      </c>
      <c r="G41" s="105">
        <v>58.0</v>
      </c>
      <c r="H41" s="105">
        <v>113.0</v>
      </c>
      <c r="I41" s="105">
        <v>92.0</v>
      </c>
      <c r="J41" s="105">
        <v>61.0</v>
      </c>
      <c r="K41" s="105">
        <v>70.0</v>
      </c>
      <c r="L41" s="105">
        <v>74.0</v>
      </c>
      <c r="M41" s="105">
        <v>128.0</v>
      </c>
      <c r="N41" s="105" t="s">
        <v>134</v>
      </c>
      <c r="O41" s="105" t="s">
        <v>134</v>
      </c>
      <c r="P41" s="105">
        <v>109.0</v>
      </c>
      <c r="Q41" s="105">
        <v>75.0</v>
      </c>
      <c r="R41" s="105">
        <v>88.0</v>
      </c>
      <c r="S41" s="105" t="s">
        <v>134</v>
      </c>
      <c r="T41" s="105" t="s">
        <v>134</v>
      </c>
      <c r="U41" s="105">
        <v>598.0</v>
      </c>
      <c r="V41" s="105">
        <v>0.0</v>
      </c>
      <c r="W41" s="105">
        <v>32.0</v>
      </c>
      <c r="X41" s="105">
        <v>72.0</v>
      </c>
      <c r="Y41" s="105">
        <v>132.0</v>
      </c>
      <c r="Z41" s="105">
        <v>73.0</v>
      </c>
      <c r="AA41" s="105">
        <v>166.0</v>
      </c>
      <c r="AB41" s="105">
        <v>29.0</v>
      </c>
      <c r="AC41" s="105">
        <v>160.0</v>
      </c>
      <c r="AD41" s="105" t="s">
        <v>134</v>
      </c>
      <c r="AE41" s="105" t="s">
        <v>134</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361.0</v>
      </c>
      <c r="F42" s="105" t="s">
        <v>134</v>
      </c>
      <c r="G42" s="105">
        <v>90.0</v>
      </c>
      <c r="H42" s="105">
        <v>163.0</v>
      </c>
      <c r="I42" s="105">
        <v>115.0</v>
      </c>
      <c r="J42" s="105">
        <v>92.0</v>
      </c>
      <c r="K42" s="105">
        <v>86.0</v>
      </c>
      <c r="L42" s="105" t="s">
        <v>134</v>
      </c>
      <c r="M42" s="105" t="s">
        <v>134</v>
      </c>
      <c r="N42" s="105">
        <v>0.0</v>
      </c>
      <c r="O42" s="105">
        <v>0.0</v>
      </c>
      <c r="P42" s="105" t="s">
        <v>134</v>
      </c>
      <c r="Q42" s="105">
        <v>161.0</v>
      </c>
      <c r="R42" s="105">
        <v>97.0</v>
      </c>
      <c r="S42" s="105" t="s">
        <v>134</v>
      </c>
      <c r="T42" s="105" t="s">
        <v>134</v>
      </c>
      <c r="U42" s="105">
        <v>238.0</v>
      </c>
      <c r="V42" s="105" t="s">
        <v>134</v>
      </c>
      <c r="W42" s="105">
        <v>52.0</v>
      </c>
      <c r="X42" s="105">
        <v>57.0</v>
      </c>
      <c r="Y42" s="105">
        <v>179.0</v>
      </c>
      <c r="Z42" s="105">
        <v>154.0</v>
      </c>
      <c r="AA42" s="105">
        <v>213.0</v>
      </c>
      <c r="AB42" s="105">
        <v>69.0</v>
      </c>
      <c r="AC42" s="105">
        <v>200.0</v>
      </c>
      <c r="AD42" s="105" t="s">
        <v>134</v>
      </c>
      <c r="AE42" s="105" t="s">
        <v>134</v>
      </c>
      <c r="AF42" s="105">
        <v>116.0</v>
      </c>
      <c r="AG42" s="105">
        <v>42.0</v>
      </c>
      <c r="AH42" s="105">
        <v>95.0</v>
      </c>
      <c r="AI42" s="105">
        <v>48.0</v>
      </c>
      <c r="AJ42" s="105">
        <v>68.0</v>
      </c>
      <c r="AK42" s="105">
        <v>194.0</v>
      </c>
      <c r="AL42" s="105">
        <v>90.0</v>
      </c>
      <c r="AM42" s="105">
        <v>62.0</v>
      </c>
      <c r="AN42" s="105">
        <v>116.0</v>
      </c>
      <c r="AO42" s="105">
        <v>136.0</v>
      </c>
    </row>
    <row r="43">
      <c r="A43" s="159" t="s">
        <v>125</v>
      </c>
      <c r="B43" s="105">
        <v>130.0</v>
      </c>
      <c r="C43" s="105">
        <v>103.0</v>
      </c>
      <c r="D43" s="105">
        <v>122.0</v>
      </c>
      <c r="E43" s="105">
        <v>470.0</v>
      </c>
      <c r="F43" s="105">
        <v>77.0</v>
      </c>
      <c r="G43" s="105">
        <v>148.0</v>
      </c>
      <c r="H43" s="105">
        <v>261.0</v>
      </c>
      <c r="I43" s="105">
        <v>156.0</v>
      </c>
      <c r="J43" s="105">
        <v>252.0</v>
      </c>
      <c r="K43" s="105">
        <v>152.0</v>
      </c>
      <c r="L43" s="105" t="s">
        <v>134</v>
      </c>
      <c r="M43" s="105" t="s">
        <v>134</v>
      </c>
      <c r="N43" s="105">
        <v>209.0</v>
      </c>
      <c r="O43" s="105" t="s">
        <v>134</v>
      </c>
      <c r="P43" s="105">
        <v>0.0</v>
      </c>
      <c r="Q43" s="105">
        <v>270.0</v>
      </c>
      <c r="R43" s="105">
        <v>166.0</v>
      </c>
      <c r="S43" s="105" t="s">
        <v>134</v>
      </c>
      <c r="T43" s="105">
        <v>50.0</v>
      </c>
      <c r="U43" s="105">
        <v>219.0</v>
      </c>
      <c r="V43" s="105">
        <v>0.0</v>
      </c>
      <c r="W43" s="105">
        <v>77.0</v>
      </c>
      <c r="X43" s="105">
        <v>99.0</v>
      </c>
      <c r="Y43" s="105">
        <v>259.0</v>
      </c>
      <c r="Z43" s="105">
        <v>178.0</v>
      </c>
      <c r="AA43" s="105">
        <v>350.0</v>
      </c>
      <c r="AB43" s="105">
        <v>52.0</v>
      </c>
      <c r="AC43" s="105">
        <v>344.0</v>
      </c>
      <c r="AD43" s="105">
        <v>79.0</v>
      </c>
      <c r="AE43" s="105">
        <v>123.0</v>
      </c>
      <c r="AF43" s="105">
        <v>185.0</v>
      </c>
      <c r="AG43" s="105">
        <v>46.0</v>
      </c>
      <c r="AH43" s="105">
        <v>89.0</v>
      </c>
      <c r="AI43" s="105">
        <v>114.0</v>
      </c>
      <c r="AJ43" s="105">
        <v>149.0</v>
      </c>
      <c r="AK43" s="105">
        <v>275.0</v>
      </c>
      <c r="AL43" s="105">
        <v>180.0</v>
      </c>
      <c r="AM43" s="105">
        <v>49.0</v>
      </c>
      <c r="AN43" s="105">
        <v>156.0</v>
      </c>
      <c r="AO43" s="105">
        <v>224.0</v>
      </c>
    </row>
    <row r="44">
      <c r="A44" s="159" t="s">
        <v>126</v>
      </c>
      <c r="B44" s="105">
        <v>192.0</v>
      </c>
      <c r="C44" s="105">
        <v>166.0</v>
      </c>
      <c r="D44" s="105">
        <v>164.0</v>
      </c>
      <c r="E44" s="105">
        <v>789.0</v>
      </c>
      <c r="F44" s="105" t="s">
        <v>134</v>
      </c>
      <c r="G44" s="105">
        <v>121.0</v>
      </c>
      <c r="H44" s="105">
        <v>312.0</v>
      </c>
      <c r="I44" s="105">
        <v>228.0</v>
      </c>
      <c r="J44" s="105">
        <v>229.0</v>
      </c>
      <c r="K44" s="105">
        <v>196.0</v>
      </c>
      <c r="L44" s="105" t="s">
        <v>134</v>
      </c>
      <c r="M44" s="105">
        <v>256.0</v>
      </c>
      <c r="N44" s="105">
        <v>179.0</v>
      </c>
      <c r="O44" s="105">
        <v>86.0</v>
      </c>
      <c r="P44" s="105">
        <v>109.0</v>
      </c>
      <c r="Q44" s="105">
        <v>352.0</v>
      </c>
      <c r="R44" s="105">
        <v>222.0</v>
      </c>
      <c r="S44" s="105">
        <v>143.0</v>
      </c>
      <c r="T44" s="105">
        <v>155.0</v>
      </c>
      <c r="U44" s="105">
        <v>96.0</v>
      </c>
      <c r="V44" s="105" t="s">
        <v>134</v>
      </c>
      <c r="W44" s="105">
        <v>89.0</v>
      </c>
      <c r="X44" s="105">
        <v>118.0</v>
      </c>
      <c r="Y44" s="105">
        <v>360.0</v>
      </c>
      <c r="Z44" s="105">
        <v>113.0</v>
      </c>
      <c r="AA44" s="105">
        <v>354.0</v>
      </c>
      <c r="AB44" s="105">
        <v>149.0</v>
      </c>
      <c r="AC44" s="105">
        <v>346.0</v>
      </c>
      <c r="AD44" s="105" t="s">
        <v>134</v>
      </c>
      <c r="AE44" s="105">
        <v>179.0</v>
      </c>
      <c r="AF44" s="105">
        <v>157.0</v>
      </c>
      <c r="AG44" s="105">
        <v>33.0</v>
      </c>
      <c r="AH44" s="105">
        <v>190.0</v>
      </c>
      <c r="AI44" s="105">
        <v>305.0</v>
      </c>
      <c r="AJ44" s="105">
        <v>224.0</v>
      </c>
      <c r="AK44" s="105">
        <v>113.0</v>
      </c>
      <c r="AL44" s="105">
        <v>252.0</v>
      </c>
      <c r="AM44" s="105">
        <v>75.0</v>
      </c>
      <c r="AN44" s="105">
        <v>144.0</v>
      </c>
      <c r="AO44" s="105">
        <v>258.0</v>
      </c>
    </row>
    <row r="45">
      <c r="A45" s="159" t="s">
        <v>127</v>
      </c>
      <c r="B45" s="105">
        <v>136.0</v>
      </c>
      <c r="C45" s="105">
        <v>310.0</v>
      </c>
      <c r="D45" s="105">
        <v>140.0</v>
      </c>
      <c r="E45" s="105">
        <v>733.0</v>
      </c>
      <c r="F45" s="105">
        <v>103.0</v>
      </c>
      <c r="G45" s="105">
        <v>278.0</v>
      </c>
      <c r="H45" s="105">
        <v>425.0</v>
      </c>
      <c r="I45" s="105">
        <v>216.0</v>
      </c>
      <c r="J45" s="105">
        <v>390.0</v>
      </c>
      <c r="K45" s="105">
        <v>278.0</v>
      </c>
      <c r="L45" s="105">
        <v>177.0</v>
      </c>
      <c r="M45" s="105">
        <v>149.0</v>
      </c>
      <c r="N45" s="105">
        <v>209.0</v>
      </c>
      <c r="O45" s="105">
        <v>173.0</v>
      </c>
      <c r="P45" s="105">
        <v>218.0</v>
      </c>
      <c r="Q45" s="105">
        <v>496.0</v>
      </c>
      <c r="R45" s="105">
        <v>231.0</v>
      </c>
      <c r="S45" s="105" t="s">
        <v>134</v>
      </c>
      <c r="T45" s="105">
        <v>118.0</v>
      </c>
      <c r="U45" s="105">
        <v>161.0</v>
      </c>
      <c r="V45" s="105" t="s">
        <v>134</v>
      </c>
      <c r="W45" s="105">
        <v>141.0</v>
      </c>
      <c r="X45" s="105">
        <v>164.0</v>
      </c>
      <c r="Y45" s="105">
        <v>330.0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330.0</v>
      </c>
    </row>
    <row r="46">
      <c r="A46" s="159" t="s">
        <v>128</v>
      </c>
      <c r="B46" s="105">
        <v>272.0</v>
      </c>
      <c r="C46" s="105">
        <v>432.0</v>
      </c>
      <c r="D46" s="105">
        <v>207.0</v>
      </c>
      <c r="E46" s="105">
        <v>1083.0</v>
      </c>
      <c r="F46" s="105">
        <v>167.0</v>
      </c>
      <c r="G46" s="105">
        <v>416.0</v>
      </c>
      <c r="H46" s="105">
        <v>644.0</v>
      </c>
      <c r="I46" s="105">
        <v>367.0</v>
      </c>
      <c r="J46" s="105">
        <v>513.0</v>
      </c>
      <c r="K46" s="105">
        <v>415.0</v>
      </c>
      <c r="L46" s="105">
        <v>192.0</v>
      </c>
      <c r="M46" s="105">
        <v>427.0</v>
      </c>
      <c r="N46" s="105">
        <v>288.0</v>
      </c>
      <c r="O46" s="105">
        <v>222.0</v>
      </c>
      <c r="P46" s="105">
        <v>200.0</v>
      </c>
      <c r="Q46" s="105">
        <v>626.0</v>
      </c>
      <c r="R46" s="105">
        <v>471.0</v>
      </c>
      <c r="S46" s="105" t="s">
        <v>134</v>
      </c>
      <c r="T46" s="105">
        <v>143.0</v>
      </c>
      <c r="U46" s="105">
        <v>264.0</v>
      </c>
      <c r="V46" s="105" t="s">
        <v>134</v>
      </c>
      <c r="W46" s="105">
        <v>153.0</v>
      </c>
      <c r="X46" s="105">
        <v>420.0</v>
      </c>
      <c r="Y46" s="105">
        <v>588.0</v>
      </c>
      <c r="Z46" s="105">
        <v>186.0</v>
      </c>
      <c r="AA46" s="105">
        <v>647.0</v>
      </c>
      <c r="AB46" s="105">
        <v>172.0</v>
      </c>
      <c r="AC46" s="105">
        <v>698.0</v>
      </c>
      <c r="AD46" s="105">
        <v>210.0</v>
      </c>
      <c r="AE46" s="105">
        <v>217.0</v>
      </c>
      <c r="AF46" s="105">
        <v>536.0</v>
      </c>
      <c r="AG46" s="105">
        <v>120.0</v>
      </c>
      <c r="AH46" s="105">
        <v>202.0</v>
      </c>
      <c r="AI46" s="105">
        <v>343.0</v>
      </c>
      <c r="AJ46" s="105">
        <v>465.0</v>
      </c>
      <c r="AK46" s="105">
        <v>275.0</v>
      </c>
      <c r="AL46" s="105">
        <v>570.0</v>
      </c>
      <c r="AM46" s="105">
        <v>221.0</v>
      </c>
      <c r="AN46" s="105">
        <v>262.0</v>
      </c>
      <c r="AO46" s="105">
        <v>494.0</v>
      </c>
    </row>
    <row r="47">
      <c r="A47" s="159" t="s">
        <v>129</v>
      </c>
      <c r="B47" s="105">
        <v>303.0</v>
      </c>
      <c r="C47" s="105">
        <v>459.0</v>
      </c>
      <c r="D47" s="105">
        <v>359.0</v>
      </c>
      <c r="E47" s="105">
        <v>991.0</v>
      </c>
      <c r="F47" s="105">
        <v>257.0</v>
      </c>
      <c r="G47" s="105">
        <v>587.0</v>
      </c>
      <c r="H47" s="105">
        <v>761.0</v>
      </c>
      <c r="I47" s="105">
        <v>418.0</v>
      </c>
      <c r="J47" s="105">
        <v>589.0</v>
      </c>
      <c r="K47" s="105">
        <v>502.0</v>
      </c>
      <c r="L47" s="105">
        <v>354.0</v>
      </c>
      <c r="M47" s="105">
        <v>384.0</v>
      </c>
      <c r="N47" s="105">
        <v>348.0</v>
      </c>
      <c r="O47" s="105">
        <v>370.0</v>
      </c>
      <c r="P47" s="105">
        <v>200.0</v>
      </c>
      <c r="Q47" s="105">
        <v>776.0</v>
      </c>
      <c r="R47" s="105">
        <v>490.0</v>
      </c>
      <c r="S47" s="105" t="s">
        <v>134</v>
      </c>
      <c r="T47" s="105">
        <v>155.0</v>
      </c>
      <c r="U47" s="105">
        <v>309.0</v>
      </c>
      <c r="V47" s="105" t="s">
        <v>134</v>
      </c>
      <c r="W47" s="105">
        <v>242.0</v>
      </c>
      <c r="X47" s="105">
        <v>439.0</v>
      </c>
      <c r="Y47" s="105">
        <v>693.0</v>
      </c>
      <c r="Z47" s="105">
        <v>300.0</v>
      </c>
      <c r="AA47" s="105">
        <v>701.0</v>
      </c>
      <c r="AB47" s="105">
        <v>149.0</v>
      </c>
      <c r="AC47" s="105">
        <v>813.0</v>
      </c>
      <c r="AD47" s="105">
        <v>170.0</v>
      </c>
      <c r="AE47" s="105">
        <v>396.0</v>
      </c>
      <c r="AF47" s="105">
        <v>610.0</v>
      </c>
      <c r="AG47" s="105">
        <v>133.0</v>
      </c>
      <c r="AH47" s="105">
        <v>228.0</v>
      </c>
      <c r="AI47" s="105">
        <v>334.0</v>
      </c>
      <c r="AJ47" s="105">
        <v>596.0</v>
      </c>
      <c r="AK47" s="105">
        <v>324.0</v>
      </c>
      <c r="AL47" s="105">
        <v>677.0</v>
      </c>
      <c r="AM47" s="105">
        <v>243.0</v>
      </c>
      <c r="AN47" s="105">
        <v>308.0</v>
      </c>
      <c r="AO47" s="105">
        <v>571.0</v>
      </c>
    </row>
    <row r="48">
      <c r="A48" s="159" t="s">
        <v>130</v>
      </c>
      <c r="B48" s="105">
        <v>284.0</v>
      </c>
      <c r="C48" s="105">
        <v>225.0</v>
      </c>
      <c r="D48" s="105">
        <v>486.0</v>
      </c>
      <c r="E48" s="105">
        <v>841.0</v>
      </c>
      <c r="F48" s="105">
        <v>347.0</v>
      </c>
      <c r="G48" s="105">
        <v>587.0</v>
      </c>
      <c r="H48" s="105">
        <v>600.0</v>
      </c>
      <c r="I48" s="105">
        <v>384.0</v>
      </c>
      <c r="J48" s="105">
        <v>543.0</v>
      </c>
      <c r="K48" s="105">
        <v>377.0</v>
      </c>
      <c r="L48" s="105">
        <v>369.0</v>
      </c>
      <c r="M48" s="105">
        <v>427.0</v>
      </c>
      <c r="N48" s="105">
        <v>298.0</v>
      </c>
      <c r="O48" s="105">
        <v>321.0</v>
      </c>
      <c r="P48" s="105">
        <v>182.0</v>
      </c>
      <c r="Q48" s="105">
        <v>629.0</v>
      </c>
      <c r="R48" s="105">
        <v>573.0</v>
      </c>
      <c r="S48" s="105">
        <v>143.0</v>
      </c>
      <c r="T48" s="105">
        <v>162.0</v>
      </c>
      <c r="U48" s="105">
        <v>219.0</v>
      </c>
      <c r="V48" s="105" t="s">
        <v>134</v>
      </c>
      <c r="W48" s="105">
        <v>186.0</v>
      </c>
      <c r="X48" s="105">
        <v>416.0</v>
      </c>
      <c r="Y48" s="105">
        <v>542.0</v>
      </c>
      <c r="Z48" s="105">
        <v>381.0</v>
      </c>
      <c r="AA48" s="105">
        <v>599.0</v>
      </c>
      <c r="AB48" s="105">
        <v>178.0</v>
      </c>
      <c r="AC48" s="105">
        <v>650.0</v>
      </c>
      <c r="AD48" s="105">
        <v>170.0</v>
      </c>
      <c r="AE48" s="105">
        <v>415.0</v>
      </c>
      <c r="AF48" s="105">
        <v>430.0</v>
      </c>
      <c r="AG48" s="105">
        <v>75.0</v>
      </c>
      <c r="AH48" s="105">
        <v>247.0</v>
      </c>
      <c r="AI48" s="105">
        <v>191.0</v>
      </c>
      <c r="AJ48" s="105">
        <v>514.0</v>
      </c>
      <c r="AK48" s="105">
        <v>518.0</v>
      </c>
      <c r="AL48" s="105">
        <v>459.0</v>
      </c>
      <c r="AM48" s="105">
        <v>199.0</v>
      </c>
      <c r="AN48" s="105">
        <v>392.0</v>
      </c>
      <c r="AO48" s="105">
        <v>492.0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242</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243</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244</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44167.0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245</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199</v>
      </c>
      <c r="C8" s="166" t="s">
        <v>200</v>
      </c>
      <c r="D8" s="166" t="s">
        <v>201</v>
      </c>
      <c r="E8" s="166" t="s">
        <v>202</v>
      </c>
      <c r="F8" s="166" t="s">
        <v>203</v>
      </c>
      <c r="G8" s="166" t="s">
        <v>204</v>
      </c>
      <c r="H8" s="166" t="s">
        <v>205</v>
      </c>
      <c r="I8" s="166" t="s">
        <v>206</v>
      </c>
      <c r="J8" s="166" t="s">
        <v>207</v>
      </c>
      <c r="K8" s="166" t="s">
        <v>208</v>
      </c>
      <c r="L8" s="166" t="s">
        <v>209</v>
      </c>
      <c r="M8" s="166" t="s">
        <v>210</v>
      </c>
      <c r="N8" s="166" t="s">
        <v>211</v>
      </c>
      <c r="O8" s="166" t="s">
        <v>212</v>
      </c>
      <c r="P8" s="166" t="s">
        <v>213</v>
      </c>
      <c r="Q8" s="166" t="s">
        <v>214</v>
      </c>
      <c r="R8" s="166" t="s">
        <v>215</v>
      </c>
      <c r="S8" s="166" t="s">
        <v>216</v>
      </c>
      <c r="T8" s="166" t="s">
        <v>217</v>
      </c>
      <c r="U8" s="166" t="s">
        <v>218</v>
      </c>
      <c r="V8" s="166" t="s">
        <v>219</v>
      </c>
      <c r="W8" s="166" t="s">
        <v>220</v>
      </c>
      <c r="X8" s="166" t="s">
        <v>221</v>
      </c>
      <c r="Y8" s="166" t="s">
        <v>222</v>
      </c>
      <c r="Z8" s="166" t="s">
        <v>223</v>
      </c>
      <c r="AA8" s="166" t="s">
        <v>224</v>
      </c>
      <c r="AB8" s="166" t="s">
        <v>225</v>
      </c>
      <c r="AC8" s="166" t="s">
        <v>226</v>
      </c>
      <c r="AD8" s="166" t="s">
        <v>227</v>
      </c>
      <c r="AE8" s="166" t="s">
        <v>228</v>
      </c>
      <c r="AF8" s="166" t="s">
        <v>229</v>
      </c>
      <c r="AG8" s="166" t="s">
        <v>230</v>
      </c>
      <c r="AH8" s="166" t="s">
        <v>231</v>
      </c>
      <c r="AI8" s="166" t="s">
        <v>232</v>
      </c>
      <c r="AJ8" s="166" t="s">
        <v>233</v>
      </c>
      <c r="AK8" s="166" t="s">
        <v>234</v>
      </c>
      <c r="AL8" s="166" t="s">
        <v>235</v>
      </c>
      <c r="AM8" s="166" t="s">
        <v>236</v>
      </c>
      <c r="AN8" s="166" t="s">
        <v>237</v>
      </c>
      <c r="AO8" s="166" t="s">
        <v>238</v>
      </c>
      <c r="AP8" s="166" t="s">
        <v>193</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42</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523.0</v>
      </c>
      <c r="AP28" s="171">
        <v>17548.0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453.0</v>
      </c>
      <c r="Y30" s="169">
        <v>629.0</v>
      </c>
      <c r="Z30" s="169">
        <v>163.0</v>
      </c>
      <c r="AA30" s="170">
        <v>1797.0</v>
      </c>
      <c r="AB30" s="169">
        <v>244.0</v>
      </c>
      <c r="AC30" s="170">
        <v>4637.0</v>
      </c>
      <c r="AD30" s="169">
        <v>94.0</v>
      </c>
      <c r="AE30" s="169">
        <v>224.0</v>
      </c>
      <c r="AF30" s="169">
        <v>325.0</v>
      </c>
      <c r="AG30" s="169">
        <v>540.0</v>
      </c>
      <c r="AH30" s="169">
        <v>198.0</v>
      </c>
      <c r="AI30" s="169">
        <v>230.0</v>
      </c>
      <c r="AJ30" s="170">
        <v>1715.0</v>
      </c>
      <c r="AK30" s="169">
        <v>127.0</v>
      </c>
      <c r="AL30" s="169">
        <v>616.0</v>
      </c>
      <c r="AM30" s="169">
        <v>350.0</v>
      </c>
      <c r="AN30" s="169">
        <v>888.0</v>
      </c>
      <c r="AO30" s="170">
        <v>1872.0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372.0</v>
      </c>
      <c r="V38" s="169">
        <v>36.0</v>
      </c>
      <c r="W38" s="169">
        <v>949.0</v>
      </c>
      <c r="X38" s="169">
        <v>794.0</v>
      </c>
      <c r="Y38" s="169">
        <v>824.0</v>
      </c>
      <c r="Z38" s="169">
        <v>411.0</v>
      </c>
      <c r="AA38" s="170">
        <v>1981.0</v>
      </c>
      <c r="AB38" s="169">
        <v>355.0</v>
      </c>
      <c r="AC38" s="170">
        <v>13743.0</v>
      </c>
      <c r="AD38" s="169">
        <v>90.0</v>
      </c>
      <c r="AE38" s="169">
        <v>347.0</v>
      </c>
      <c r="AF38" s="170">
        <v>3784.0</v>
      </c>
      <c r="AG38" s="169">
        <v>727.0</v>
      </c>
      <c r="AH38" s="169">
        <v>323.0</v>
      </c>
      <c r="AI38" s="169">
        <v>279.0</v>
      </c>
      <c r="AJ38" s="170">
        <v>1796.0</v>
      </c>
      <c r="AK38" s="169">
        <v>159.0</v>
      </c>
      <c r="AL38" s="169">
        <v>611.0</v>
      </c>
      <c r="AM38" s="169">
        <v>543.0</v>
      </c>
      <c r="AN38" s="169">
        <v>901.0</v>
      </c>
      <c r="AO38" s="170">
        <v>1853.0</v>
      </c>
      <c r="AP38" s="171">
        <v>49027.0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14583.0</v>
      </c>
      <c r="AD39" s="169">
        <v>131.0</v>
      </c>
      <c r="AE39" s="169">
        <v>345.0</v>
      </c>
      <c r="AF39" s="170">
        <v>3772.0</v>
      </c>
      <c r="AG39" s="169">
        <v>872.0</v>
      </c>
      <c r="AH39" s="169">
        <v>309.0</v>
      </c>
      <c r="AI39" s="169">
        <v>272.0</v>
      </c>
      <c r="AJ39" s="170">
        <v>1860.0</v>
      </c>
      <c r="AK39" s="169">
        <v>174.0</v>
      </c>
      <c r="AL39" s="169">
        <v>633.0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15482.0</v>
      </c>
      <c r="AD40" s="169">
        <v>162.0</v>
      </c>
      <c r="AE40" s="169">
        <v>424.0</v>
      </c>
      <c r="AF40" s="170">
        <v>3910.0</v>
      </c>
      <c r="AG40" s="170">
        <v>1383.0</v>
      </c>
      <c r="AH40" s="169">
        <v>416.0</v>
      </c>
      <c r="AI40" s="169">
        <v>319.0</v>
      </c>
      <c r="AJ40" s="170">
        <v>2161.0</v>
      </c>
      <c r="AK40" s="169">
        <v>242.0</v>
      </c>
      <c r="AL40" s="169">
        <v>709.0</v>
      </c>
      <c r="AM40" s="169">
        <v>722.0</v>
      </c>
      <c r="AN40" s="169">
        <v>981.0</v>
      </c>
      <c r="AO40" s="170">
        <v>4092.0</v>
      </c>
      <c r="AP40" s="171">
        <v>57835.0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2377.0</v>
      </c>
      <c r="AK41" s="169">
        <v>249.0</v>
      </c>
      <c r="AL41" s="169">
        <v>853.0</v>
      </c>
      <c r="AM41" s="169">
        <v>747.0</v>
      </c>
      <c r="AN41" s="170">
        <v>1119.0</v>
      </c>
      <c r="AO41" s="170">
        <v>4372.0</v>
      </c>
      <c r="AP41" s="171">
        <v>58070.0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1315.0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7398.0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1300.0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8030.0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1444.0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8136.0</v>
      </c>
      <c r="AP45" s="171">
        <v>72550.0</v>
      </c>
    </row>
    <row r="46">
      <c r="A46" s="144" t="s">
        <v>129</v>
      </c>
      <c r="B46" s="170">
        <v>1164.0</v>
      </c>
      <c r="C46" s="170">
        <v>6241.0</v>
      </c>
      <c r="D46" s="169">
        <v>830.0</v>
      </c>
      <c r="E46" s="169">
        <v>995.0</v>
      </c>
      <c r="F46" s="169">
        <v>486.0</v>
      </c>
      <c r="G46" s="170">
        <v>2138.0</v>
      </c>
      <c r="H46" s="170">
        <v>4347.0</v>
      </c>
      <c r="I46" s="170">
        <v>1856.0</v>
      </c>
      <c r="J46" s="170">
        <v>1217.0</v>
      </c>
      <c r="K46" s="170">
        <v>2608.0</v>
      </c>
      <c r="L46" s="169">
        <v>281.0</v>
      </c>
      <c r="M46" s="169">
        <v>204.0</v>
      </c>
      <c r="N46" s="169">
        <v>414.0</v>
      </c>
      <c r="O46" s="169">
        <v>443.0</v>
      </c>
      <c r="P46" s="169">
        <v>296.0</v>
      </c>
      <c r="Q46" s="170">
        <v>1688.0</v>
      </c>
      <c r="R46" s="170">
        <v>1165.0</v>
      </c>
      <c r="S46" s="169">
        <v>138.0</v>
      </c>
      <c r="T46" s="169">
        <v>924.0</v>
      </c>
      <c r="U46" s="169">
        <v>698.0</v>
      </c>
      <c r="V46" s="169">
        <v>156.0</v>
      </c>
      <c r="W46" s="170">
        <v>1846.0</v>
      </c>
      <c r="X46" s="170">
        <v>2025.0</v>
      </c>
      <c r="Y46" s="170">
        <v>1742.0</v>
      </c>
      <c r="Z46" s="169">
        <v>790.0</v>
      </c>
      <c r="AA46" s="170">
        <v>4066.0</v>
      </c>
      <c r="AB46" s="169">
        <v>763.0</v>
      </c>
      <c r="AC46" s="170">
        <v>18591.0</v>
      </c>
      <c r="AD46" s="169">
        <v>266.0</v>
      </c>
      <c r="AE46" s="169">
        <v>638.0</v>
      </c>
      <c r="AF46" s="170">
        <v>3037.0</v>
      </c>
      <c r="AG46" s="170">
        <v>1774.0</v>
      </c>
      <c r="AH46" s="169">
        <v>575.0</v>
      </c>
      <c r="AI46" s="169">
        <v>520.0</v>
      </c>
      <c r="AJ46" s="170">
        <v>4278.0</v>
      </c>
      <c r="AK46" s="169">
        <v>357.0</v>
      </c>
      <c r="AL46" s="170">
        <v>1539.0</v>
      </c>
      <c r="AM46" s="170">
        <v>1273.0</v>
      </c>
      <c r="AN46" s="170">
        <v>1642.0</v>
      </c>
      <c r="AO46" s="170">
        <v>8431.0</v>
      </c>
      <c r="AP46" s="171">
        <v>82442.0</v>
      </c>
    </row>
    <row r="47">
      <c r="A47" s="144" t="s">
        <v>130</v>
      </c>
      <c r="B47" s="170">
        <v>1059.0</v>
      </c>
      <c r="C47" s="170">
        <v>2257.0</v>
      </c>
      <c r="D47" s="169">
        <v>673.0</v>
      </c>
      <c r="E47" s="169">
        <v>854.0</v>
      </c>
      <c r="F47" s="169">
        <v>433.0</v>
      </c>
      <c r="G47" s="170">
        <v>1604.0</v>
      </c>
      <c r="H47" s="170">
        <v>3449.0</v>
      </c>
      <c r="I47" s="170">
        <v>1579.0</v>
      </c>
      <c r="J47" s="170">
        <v>1111.0</v>
      </c>
      <c r="K47" s="170">
        <v>2092.0</v>
      </c>
      <c r="L47" s="169">
        <v>244.0</v>
      </c>
      <c r="M47" s="169">
        <v>190.0</v>
      </c>
      <c r="N47" s="169">
        <v>340.0</v>
      </c>
      <c r="O47" s="169">
        <v>384.0</v>
      </c>
      <c r="P47" s="169">
        <v>303.0</v>
      </c>
      <c r="Q47" s="170">
        <v>1445.0</v>
      </c>
      <c r="R47" s="170">
        <v>1041.0</v>
      </c>
      <c r="S47" s="169">
        <v>131.0</v>
      </c>
      <c r="T47" s="169">
        <v>552.0</v>
      </c>
      <c r="U47" s="169">
        <v>664.0</v>
      </c>
      <c r="V47" s="169">
        <v>50.0</v>
      </c>
      <c r="W47" s="170">
        <v>1556.0</v>
      </c>
      <c r="X47" s="170">
        <v>1664.0</v>
      </c>
      <c r="Y47" s="170">
        <v>1431.0</v>
      </c>
      <c r="Z47" s="169">
        <v>470.0</v>
      </c>
      <c r="AA47" s="170">
        <v>3362.0</v>
      </c>
      <c r="AB47" s="169">
        <v>655.0</v>
      </c>
      <c r="AC47" s="170">
        <v>15963.0</v>
      </c>
      <c r="AD47" s="169">
        <v>232.0</v>
      </c>
      <c r="AE47" s="169">
        <v>547.0</v>
      </c>
      <c r="AF47" s="170">
        <v>1404.0</v>
      </c>
      <c r="AG47" s="170">
        <v>1563.0</v>
      </c>
      <c r="AH47" s="169">
        <v>481.0</v>
      </c>
      <c r="AI47" s="169">
        <v>405.0</v>
      </c>
      <c r="AJ47" s="170">
        <v>3576.0</v>
      </c>
      <c r="AK47" s="169">
        <v>277.0</v>
      </c>
      <c r="AL47" s="170">
        <v>1175.0</v>
      </c>
      <c r="AM47" s="170">
        <v>1119.0</v>
      </c>
      <c r="AN47" s="170">
        <v>1324.0</v>
      </c>
      <c r="AO47" s="170">
        <v>6386.0</v>
      </c>
      <c r="AP47" s="171">
        <v>64045.0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246</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247</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248</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249</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199</v>
      </c>
      <c r="C8" s="175" t="s">
        <v>200</v>
      </c>
      <c r="D8" s="175" t="s">
        <v>201</v>
      </c>
      <c r="E8" s="175" t="s">
        <v>202</v>
      </c>
      <c r="F8" s="175" t="s">
        <v>203</v>
      </c>
      <c r="G8" s="175" t="s">
        <v>204</v>
      </c>
      <c r="H8" s="175" t="s">
        <v>205</v>
      </c>
      <c r="I8" s="175" t="s">
        <v>206</v>
      </c>
      <c r="J8" s="175" t="s">
        <v>207</v>
      </c>
      <c r="K8" s="175" t="s">
        <v>208</v>
      </c>
      <c r="L8" s="175" t="s">
        <v>209</v>
      </c>
      <c r="M8" s="175" t="s">
        <v>210</v>
      </c>
      <c r="N8" s="175" t="s">
        <v>211</v>
      </c>
      <c r="O8" s="175" t="s">
        <v>212</v>
      </c>
      <c r="P8" s="175" t="s">
        <v>213</v>
      </c>
      <c r="Q8" s="175" t="s">
        <v>214</v>
      </c>
      <c r="R8" s="175" t="s">
        <v>215</v>
      </c>
      <c r="S8" s="175" t="s">
        <v>216</v>
      </c>
      <c r="T8" s="175" t="s">
        <v>217</v>
      </c>
      <c r="U8" s="175" t="s">
        <v>218</v>
      </c>
      <c r="V8" s="175" t="s">
        <v>219</v>
      </c>
      <c r="W8" s="175" t="s">
        <v>220</v>
      </c>
      <c r="X8" s="175" t="s">
        <v>221</v>
      </c>
      <c r="Y8" s="175" t="s">
        <v>222</v>
      </c>
      <c r="Z8" s="175" t="s">
        <v>223</v>
      </c>
      <c r="AA8" s="175" t="s">
        <v>224</v>
      </c>
      <c r="AB8" s="175" t="s">
        <v>225</v>
      </c>
      <c r="AC8" s="175" t="s">
        <v>226</v>
      </c>
      <c r="AD8" s="175" t="s">
        <v>227</v>
      </c>
      <c r="AE8" s="175" t="s">
        <v>228</v>
      </c>
      <c r="AF8" s="175" t="s">
        <v>229</v>
      </c>
      <c r="AG8" s="175" t="s">
        <v>230</v>
      </c>
      <c r="AH8" s="175" t="s">
        <v>231</v>
      </c>
      <c r="AI8" s="175" t="s">
        <v>232</v>
      </c>
      <c r="AJ8" s="175" t="s">
        <v>233</v>
      </c>
      <c r="AK8" s="175" t="s">
        <v>234</v>
      </c>
      <c r="AL8" s="175" t="s">
        <v>235</v>
      </c>
      <c r="AM8" s="175" t="s">
        <v>236</v>
      </c>
      <c r="AN8" s="175" t="s">
        <v>237</v>
      </c>
      <c r="AO8" s="175" t="s">
        <v>193</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134</v>
      </c>
      <c r="C17" s="177">
        <v>0.051</v>
      </c>
      <c r="D17" s="177">
        <v>0.052</v>
      </c>
      <c r="E17" s="177">
        <v>0.225</v>
      </c>
      <c r="F17" s="176" t="s">
        <v>134</v>
      </c>
      <c r="G17" s="177">
        <v>0.044</v>
      </c>
      <c r="H17" s="177">
        <v>0.103</v>
      </c>
      <c r="I17" s="177">
        <v>0.047</v>
      </c>
      <c r="J17" s="177">
        <v>0.067</v>
      </c>
      <c r="K17" s="177">
        <v>0.057</v>
      </c>
      <c r="L17" s="176" t="s">
        <v>134</v>
      </c>
      <c r="M17" s="176" t="s">
        <v>134</v>
      </c>
      <c r="N17" s="176" t="s">
        <v>134</v>
      </c>
      <c r="O17" s="177">
        <v>0.0</v>
      </c>
      <c r="P17" s="177">
        <v>0.0</v>
      </c>
      <c r="Q17" s="177">
        <v>0.071</v>
      </c>
      <c r="R17" s="177">
        <v>0.073</v>
      </c>
      <c r="S17" s="177">
        <v>0.0</v>
      </c>
      <c r="T17" s="176" t="s">
        <v>134</v>
      </c>
      <c r="U17" s="176" t="s">
        <v>134</v>
      </c>
      <c r="V17" s="177">
        <v>0.0</v>
      </c>
      <c r="W17" s="177">
        <v>0.037</v>
      </c>
      <c r="X17" s="177">
        <v>0.021</v>
      </c>
      <c r="Y17" s="177">
        <v>0.1</v>
      </c>
      <c r="Z17" s="176" t="s">
        <v>134</v>
      </c>
      <c r="AA17" s="177">
        <v>0.154</v>
      </c>
      <c r="AB17" s="176" t="s">
        <v>134</v>
      </c>
      <c r="AC17" s="177">
        <v>0.196</v>
      </c>
      <c r="AD17" s="177">
        <v>0.116</v>
      </c>
      <c r="AE17" s="176" t="s">
        <v>134</v>
      </c>
      <c r="AF17" s="177">
        <v>0.055</v>
      </c>
      <c r="AG17" s="176" t="s">
        <v>134</v>
      </c>
      <c r="AH17" s="177">
        <v>0.049</v>
      </c>
      <c r="AI17" s="176" t="s">
        <v>134</v>
      </c>
      <c r="AJ17" s="177">
        <v>0.076</v>
      </c>
      <c r="AK17" s="176" t="s">
        <v>134</v>
      </c>
      <c r="AL17" s="177">
        <v>0.085</v>
      </c>
      <c r="AM17" s="177">
        <v>0.074</v>
      </c>
      <c r="AN17" s="177">
        <v>0.107</v>
      </c>
      <c r="AO17" s="177">
        <v>0.114</v>
      </c>
    </row>
    <row r="18">
      <c r="A18" s="173" t="s">
        <v>101</v>
      </c>
      <c r="B18" s="176" t="s">
        <v>134</v>
      </c>
      <c r="C18" s="177">
        <v>0.039</v>
      </c>
      <c r="D18" s="176" t="s">
        <v>134</v>
      </c>
      <c r="E18" s="177">
        <v>0.194</v>
      </c>
      <c r="F18" s="176" t="s">
        <v>134</v>
      </c>
      <c r="G18" s="177">
        <v>0.037</v>
      </c>
      <c r="H18" s="177">
        <v>0.071</v>
      </c>
      <c r="I18" s="177">
        <v>0.061</v>
      </c>
      <c r="J18" s="177">
        <v>0.046</v>
      </c>
      <c r="K18" s="177">
        <v>0.068</v>
      </c>
      <c r="L18" s="177">
        <v>0.15</v>
      </c>
      <c r="M18" s="176" t="s">
        <v>134</v>
      </c>
      <c r="N18" s="176" t="s">
        <v>134</v>
      </c>
      <c r="O18" s="176" t="s">
        <v>134</v>
      </c>
      <c r="P18" s="176" t="s">
        <v>134</v>
      </c>
      <c r="Q18" s="177">
        <v>0.077</v>
      </c>
      <c r="R18" s="177">
        <v>0.066</v>
      </c>
      <c r="S18" s="176" t="s">
        <v>134</v>
      </c>
      <c r="T18" s="176" t="s">
        <v>134</v>
      </c>
      <c r="U18" s="176" t="s">
        <v>134</v>
      </c>
      <c r="V18" s="177">
        <v>0.0</v>
      </c>
      <c r="W18" s="177">
        <v>0.036</v>
      </c>
      <c r="X18" s="177">
        <v>0.035</v>
      </c>
      <c r="Y18" s="177">
        <v>0.079</v>
      </c>
      <c r="Z18" s="176" t="s">
        <v>134</v>
      </c>
      <c r="AA18" s="177">
        <v>0.129</v>
      </c>
      <c r="AB18" s="176" t="s">
        <v>134</v>
      </c>
      <c r="AC18" s="177">
        <v>0.142</v>
      </c>
      <c r="AD18" s="176" t="s">
        <v>134</v>
      </c>
      <c r="AE18" s="176" t="s">
        <v>134</v>
      </c>
      <c r="AF18" s="177">
        <v>0.058</v>
      </c>
      <c r="AG18" s="176" t="s">
        <v>134</v>
      </c>
      <c r="AH18" s="177">
        <v>0.029</v>
      </c>
      <c r="AI18" s="176" t="s">
        <v>134</v>
      </c>
      <c r="AJ18" s="177">
        <v>0.049</v>
      </c>
      <c r="AK18" s="177">
        <v>0.0</v>
      </c>
      <c r="AL18" s="177">
        <v>0.085</v>
      </c>
      <c r="AM18" s="176" t="s">
        <v>134</v>
      </c>
      <c r="AN18" s="177">
        <v>0.115</v>
      </c>
      <c r="AO18" s="177">
        <v>0.089</v>
      </c>
    </row>
    <row r="19">
      <c r="A19" s="173" t="s">
        <v>102</v>
      </c>
      <c r="B19" s="177">
        <v>0.058</v>
      </c>
      <c r="C19" s="177">
        <v>0.028</v>
      </c>
      <c r="D19" s="176" t="s">
        <v>134</v>
      </c>
      <c r="E19" s="177">
        <v>0.153</v>
      </c>
      <c r="F19" s="177">
        <v>0.0</v>
      </c>
      <c r="G19" s="177">
        <v>0.027</v>
      </c>
      <c r="H19" s="177">
        <v>0.066</v>
      </c>
      <c r="I19" s="177">
        <v>0.029</v>
      </c>
      <c r="J19" s="177">
        <v>0.029</v>
      </c>
      <c r="K19" s="177">
        <v>0.046</v>
      </c>
      <c r="L19" s="176" t="s">
        <v>134</v>
      </c>
      <c r="M19" s="176" t="s">
        <v>134</v>
      </c>
      <c r="N19" s="177">
        <v>0.087</v>
      </c>
      <c r="O19" s="176" t="s">
        <v>134</v>
      </c>
      <c r="P19" s="177">
        <v>0.0</v>
      </c>
      <c r="Q19" s="177">
        <v>0.053</v>
      </c>
      <c r="R19" s="177">
        <v>0.042</v>
      </c>
      <c r="S19" s="177">
        <v>0.0</v>
      </c>
      <c r="T19" s="177">
        <v>0.0</v>
      </c>
      <c r="U19" s="176" t="s">
        <v>134</v>
      </c>
      <c r="V19" s="176" t="s">
        <v>134</v>
      </c>
      <c r="W19" s="176" t="s">
        <v>134</v>
      </c>
      <c r="X19" s="177">
        <v>0.016</v>
      </c>
      <c r="Y19" s="177">
        <v>0.074</v>
      </c>
      <c r="Z19" s="177">
        <v>0.031</v>
      </c>
      <c r="AA19" s="177">
        <v>0.086</v>
      </c>
      <c r="AB19" s="176" t="s">
        <v>134</v>
      </c>
      <c r="AC19" s="177">
        <v>0.121</v>
      </c>
      <c r="AD19" s="176" t="s">
        <v>134</v>
      </c>
      <c r="AE19" s="177">
        <v>0.036</v>
      </c>
      <c r="AF19" s="177">
        <v>0.054</v>
      </c>
      <c r="AG19" s="176" t="s">
        <v>134</v>
      </c>
      <c r="AH19" s="177">
        <v>0.051</v>
      </c>
      <c r="AI19" s="177">
        <v>0.083</v>
      </c>
      <c r="AJ19" s="177">
        <v>0.035</v>
      </c>
      <c r="AK19" s="176" t="s">
        <v>134</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134</v>
      </c>
      <c r="K20" s="177">
        <v>0.023</v>
      </c>
      <c r="L20" s="176" t="s">
        <v>134</v>
      </c>
      <c r="M20" s="176" t="s">
        <v>134</v>
      </c>
      <c r="N20" s="176" t="s">
        <v>134</v>
      </c>
      <c r="O20" s="176" t="s">
        <v>134</v>
      </c>
      <c r="P20" s="176" t="s">
        <v>134</v>
      </c>
      <c r="Q20" s="177">
        <v>0.045</v>
      </c>
      <c r="R20" s="177">
        <v>0.035</v>
      </c>
      <c r="S20" s="176" t="s">
        <v>134</v>
      </c>
      <c r="T20" s="176" t="s">
        <v>134</v>
      </c>
      <c r="U20" s="176" t="s">
        <v>134</v>
      </c>
      <c r="V20" s="177">
        <v>0.0</v>
      </c>
      <c r="W20" s="176" t="s">
        <v>134</v>
      </c>
      <c r="X20" s="177">
        <v>0.017</v>
      </c>
      <c r="Y20" s="177">
        <v>0.045</v>
      </c>
      <c r="Z20" s="177">
        <v>0.035</v>
      </c>
      <c r="AA20" s="177">
        <v>0.071</v>
      </c>
      <c r="AB20" s="177">
        <v>0.047</v>
      </c>
      <c r="AC20" s="177">
        <v>0.1</v>
      </c>
      <c r="AD20" s="176" t="s">
        <v>134</v>
      </c>
      <c r="AE20" s="176" t="s">
        <v>134</v>
      </c>
      <c r="AF20" s="177">
        <v>0.027</v>
      </c>
      <c r="AG20" s="176" t="s">
        <v>134</v>
      </c>
      <c r="AH20" s="177">
        <v>0.053</v>
      </c>
      <c r="AI20" s="177">
        <v>0.028</v>
      </c>
      <c r="AJ20" s="177">
        <v>0.038</v>
      </c>
      <c r="AK20" s="176" t="s">
        <v>134</v>
      </c>
      <c r="AL20" s="177">
        <v>0.034</v>
      </c>
      <c r="AM20" s="176" t="s">
        <v>134</v>
      </c>
      <c r="AN20" s="177">
        <v>0.061</v>
      </c>
      <c r="AO20" s="177">
        <v>0.057</v>
      </c>
    </row>
    <row r="21">
      <c r="A21" s="173" t="s">
        <v>104</v>
      </c>
      <c r="B21" s="176" t="s">
        <v>134</v>
      </c>
      <c r="C21" s="177">
        <v>0.026</v>
      </c>
      <c r="D21" s="176" t="s">
        <v>134</v>
      </c>
      <c r="E21" s="177">
        <v>0.088</v>
      </c>
      <c r="F21" s="176" t="s">
        <v>134</v>
      </c>
      <c r="G21" s="177">
        <v>0.022</v>
      </c>
      <c r="H21" s="177">
        <v>0.047</v>
      </c>
      <c r="I21" s="177">
        <v>0.019</v>
      </c>
      <c r="J21" s="177">
        <v>0.0</v>
      </c>
      <c r="K21" s="177">
        <v>0.032</v>
      </c>
      <c r="L21" s="177">
        <v>0.0</v>
      </c>
      <c r="M21" s="176" t="s">
        <v>134</v>
      </c>
      <c r="N21" s="176" t="s">
        <v>134</v>
      </c>
      <c r="O21" s="177">
        <v>0.0</v>
      </c>
      <c r="P21" s="176" t="s">
        <v>134</v>
      </c>
      <c r="Q21" s="177">
        <v>0.093</v>
      </c>
      <c r="R21" s="177">
        <v>0.042</v>
      </c>
      <c r="S21" s="177">
        <v>0.0</v>
      </c>
      <c r="T21" s="176" t="s">
        <v>134</v>
      </c>
      <c r="U21" s="176" t="s">
        <v>134</v>
      </c>
      <c r="V21" s="177">
        <v>0.0</v>
      </c>
      <c r="W21" s="177">
        <v>0.041</v>
      </c>
      <c r="X21" s="177">
        <v>0.019</v>
      </c>
      <c r="Y21" s="177">
        <v>0.038</v>
      </c>
      <c r="Z21" s="176" t="s">
        <v>134</v>
      </c>
      <c r="AA21" s="177">
        <v>0.066</v>
      </c>
      <c r="AB21" s="177">
        <v>0.041</v>
      </c>
      <c r="AC21" s="177">
        <v>0.107</v>
      </c>
      <c r="AD21" s="176" t="s">
        <v>134</v>
      </c>
      <c r="AE21" s="176" t="s">
        <v>134</v>
      </c>
      <c r="AF21" s="177">
        <v>0.0</v>
      </c>
      <c r="AG21" s="177">
        <v>0.0</v>
      </c>
      <c r="AH21" s="176" t="s">
        <v>134</v>
      </c>
      <c r="AI21" s="177">
        <v>0.0</v>
      </c>
      <c r="AJ21" s="177">
        <v>0.02</v>
      </c>
      <c r="AK21" s="176" t="s">
        <v>134</v>
      </c>
      <c r="AL21" s="177">
        <v>0.026</v>
      </c>
      <c r="AM21" s="176" t="s">
        <v>134</v>
      </c>
      <c r="AN21" s="177">
        <v>0.068</v>
      </c>
      <c r="AO21" s="177">
        <v>0.052</v>
      </c>
    </row>
    <row r="22">
      <c r="A22" s="173" t="s">
        <v>105</v>
      </c>
      <c r="B22" s="176" t="s">
        <v>134</v>
      </c>
      <c r="C22" s="176" t="s">
        <v>134</v>
      </c>
      <c r="D22" s="176" t="s">
        <v>134</v>
      </c>
      <c r="E22" s="177">
        <v>0.086</v>
      </c>
      <c r="F22" s="177">
        <v>0.0</v>
      </c>
      <c r="G22" s="176" t="s">
        <v>134</v>
      </c>
      <c r="H22" s="177">
        <v>0.031</v>
      </c>
      <c r="I22" s="177">
        <v>0.03</v>
      </c>
      <c r="J22" s="176" t="s">
        <v>134</v>
      </c>
      <c r="K22" s="177">
        <v>0.014</v>
      </c>
      <c r="L22" s="176" t="s">
        <v>134</v>
      </c>
      <c r="M22" s="177">
        <v>0.0</v>
      </c>
      <c r="N22" s="176" t="s">
        <v>134</v>
      </c>
      <c r="O22" s="177">
        <v>0.0</v>
      </c>
      <c r="P22" s="176" t="s">
        <v>134</v>
      </c>
      <c r="Q22" s="177">
        <v>0.028</v>
      </c>
      <c r="R22" s="176" t="s">
        <v>134</v>
      </c>
      <c r="S22" s="177">
        <v>0.0</v>
      </c>
      <c r="T22" s="176" t="s">
        <v>134</v>
      </c>
      <c r="U22" s="176" t="s">
        <v>134</v>
      </c>
      <c r="V22" s="177">
        <v>0.0</v>
      </c>
      <c r="W22" s="176" t="s">
        <v>134</v>
      </c>
      <c r="X22" s="176" t="s">
        <v>134</v>
      </c>
      <c r="Y22" s="177">
        <v>0.036</v>
      </c>
      <c r="Z22" s="176" t="s">
        <v>134</v>
      </c>
      <c r="AA22" s="177">
        <v>0.041</v>
      </c>
      <c r="AB22" s="177">
        <v>0.027</v>
      </c>
      <c r="AC22" s="177">
        <v>0.073</v>
      </c>
      <c r="AD22" s="177">
        <v>0.0</v>
      </c>
      <c r="AE22" s="176" t="s">
        <v>134</v>
      </c>
      <c r="AF22" s="176" t="s">
        <v>134</v>
      </c>
      <c r="AG22" s="177">
        <v>0.0</v>
      </c>
      <c r="AH22" s="176" t="s">
        <v>134</v>
      </c>
      <c r="AI22" s="176" t="s">
        <v>134</v>
      </c>
      <c r="AJ22" s="177">
        <v>0.017</v>
      </c>
      <c r="AK22" s="177">
        <v>0.0</v>
      </c>
      <c r="AL22" s="177">
        <v>0.02</v>
      </c>
      <c r="AM22" s="177">
        <v>0.0</v>
      </c>
      <c r="AN22" s="177">
        <v>0.043</v>
      </c>
      <c r="AO22" s="177">
        <v>0.033</v>
      </c>
    </row>
    <row r="23">
      <c r="A23" s="173" t="s">
        <v>106</v>
      </c>
      <c r="B23" s="176" t="s">
        <v>134</v>
      </c>
      <c r="C23" s="176" t="s">
        <v>134</v>
      </c>
      <c r="D23" s="176" t="s">
        <v>134</v>
      </c>
      <c r="E23" s="177">
        <v>0.082</v>
      </c>
      <c r="F23" s="176" t="s">
        <v>134</v>
      </c>
      <c r="G23" s="176" t="s">
        <v>134</v>
      </c>
      <c r="H23" s="177">
        <v>0.032</v>
      </c>
      <c r="I23" s="177">
        <v>0.02</v>
      </c>
      <c r="J23" s="176" t="s">
        <v>134</v>
      </c>
      <c r="K23" s="177">
        <v>0.019</v>
      </c>
      <c r="L23" s="176" t="s">
        <v>134</v>
      </c>
      <c r="M23" s="177">
        <v>0.0</v>
      </c>
      <c r="N23" s="177">
        <v>0.0</v>
      </c>
      <c r="O23" s="177">
        <v>0.0</v>
      </c>
      <c r="P23" s="177">
        <v>0.0</v>
      </c>
      <c r="Q23" s="177">
        <v>0.037</v>
      </c>
      <c r="R23" s="177">
        <v>0.018</v>
      </c>
      <c r="S23" s="177">
        <v>0.0</v>
      </c>
      <c r="T23" s="176" t="s">
        <v>134</v>
      </c>
      <c r="U23" s="177">
        <v>0.0</v>
      </c>
      <c r="V23" s="177">
        <v>0.0</v>
      </c>
      <c r="W23" s="176" t="s">
        <v>134</v>
      </c>
      <c r="X23" s="176" t="s">
        <v>134</v>
      </c>
      <c r="Y23" s="177">
        <v>0.018</v>
      </c>
      <c r="Z23" s="177">
        <v>0.043</v>
      </c>
      <c r="AA23" s="177">
        <v>0.037</v>
      </c>
      <c r="AB23" s="177">
        <v>0.0</v>
      </c>
      <c r="AC23" s="177">
        <v>0.047</v>
      </c>
      <c r="AD23" s="177">
        <v>0.0</v>
      </c>
      <c r="AE23" s="176" t="s">
        <v>134</v>
      </c>
      <c r="AF23" s="176" t="s">
        <v>134</v>
      </c>
      <c r="AG23" s="176" t="s">
        <v>134</v>
      </c>
      <c r="AH23" s="176" t="s">
        <v>134</v>
      </c>
      <c r="AI23" s="176" t="s">
        <v>134</v>
      </c>
      <c r="AJ23" s="177">
        <v>0.011</v>
      </c>
      <c r="AK23" s="177">
        <v>0.0</v>
      </c>
      <c r="AL23" s="176" t="s">
        <v>134</v>
      </c>
      <c r="AM23" s="177">
        <v>0.0</v>
      </c>
      <c r="AN23" s="177">
        <v>0.037</v>
      </c>
      <c r="AO23" s="177">
        <v>0.027</v>
      </c>
    </row>
    <row r="24">
      <c r="A24" s="173" t="s">
        <v>107</v>
      </c>
      <c r="B24" s="177">
        <v>0.0</v>
      </c>
      <c r="C24" s="176" t="s">
        <v>134</v>
      </c>
      <c r="D24" s="176" t="s">
        <v>134</v>
      </c>
      <c r="E24" s="177">
        <v>0.071</v>
      </c>
      <c r="F24" s="176" t="s">
        <v>134</v>
      </c>
      <c r="G24" s="177">
        <v>0.0</v>
      </c>
      <c r="H24" s="177">
        <v>0.019</v>
      </c>
      <c r="I24" s="176" t="s">
        <v>134</v>
      </c>
      <c r="J24" s="176" t="s">
        <v>134</v>
      </c>
      <c r="K24" s="177">
        <v>0.014</v>
      </c>
      <c r="L24" s="177">
        <v>0.0</v>
      </c>
      <c r="M24" s="177">
        <v>0.0</v>
      </c>
      <c r="N24" s="177">
        <v>0.0</v>
      </c>
      <c r="O24" s="177">
        <v>0.0</v>
      </c>
      <c r="P24" s="176" t="s">
        <v>134</v>
      </c>
      <c r="Q24" s="177">
        <v>0.015</v>
      </c>
      <c r="R24" s="177">
        <v>0.024</v>
      </c>
      <c r="S24" s="177">
        <v>0.0</v>
      </c>
      <c r="T24" s="176" t="s">
        <v>134</v>
      </c>
      <c r="U24" s="176" t="s">
        <v>134</v>
      </c>
      <c r="V24" s="177">
        <v>0.0</v>
      </c>
      <c r="W24" s="177">
        <v>0.016</v>
      </c>
      <c r="X24" s="176" t="s">
        <v>134</v>
      </c>
      <c r="Y24" s="176" t="s">
        <v>134</v>
      </c>
      <c r="Z24" s="176" t="s">
        <v>134</v>
      </c>
      <c r="AA24" s="177">
        <v>0.032</v>
      </c>
      <c r="AB24" s="177">
        <v>0.0</v>
      </c>
      <c r="AC24" s="177">
        <v>0.04</v>
      </c>
      <c r="AD24" s="176" t="s">
        <v>134</v>
      </c>
      <c r="AE24" s="176" t="s">
        <v>134</v>
      </c>
      <c r="AF24" s="176" t="s">
        <v>134</v>
      </c>
      <c r="AG24" s="177">
        <v>0.0</v>
      </c>
      <c r="AH24" s="177">
        <v>0.0</v>
      </c>
      <c r="AI24" s="176" t="s">
        <v>134</v>
      </c>
      <c r="AJ24" s="177">
        <v>0.013</v>
      </c>
      <c r="AK24" s="177">
        <v>0.0</v>
      </c>
      <c r="AL24" s="177">
        <v>0.027</v>
      </c>
      <c r="AM24" s="176" t="s">
        <v>134</v>
      </c>
      <c r="AN24" s="177">
        <v>0.036</v>
      </c>
      <c r="AO24" s="177">
        <v>0.021</v>
      </c>
    </row>
    <row r="25">
      <c r="A25" s="173" t="s">
        <v>108</v>
      </c>
      <c r="B25" s="176" t="s">
        <v>134</v>
      </c>
      <c r="C25" s="176" t="s">
        <v>134</v>
      </c>
      <c r="D25" s="176" t="s">
        <v>134</v>
      </c>
      <c r="E25" s="177">
        <v>0.043</v>
      </c>
      <c r="F25" s="176" t="s">
        <v>134</v>
      </c>
      <c r="G25" s="176" t="s">
        <v>134</v>
      </c>
      <c r="H25" s="177">
        <v>0.01</v>
      </c>
      <c r="I25" s="177">
        <v>0.02</v>
      </c>
      <c r="J25" s="176" t="s">
        <v>134</v>
      </c>
      <c r="K25" s="177">
        <v>0.01</v>
      </c>
      <c r="L25" s="177">
        <v>0.0</v>
      </c>
      <c r="M25" s="176" t="s">
        <v>134</v>
      </c>
      <c r="N25" s="176" t="s">
        <v>134</v>
      </c>
      <c r="O25" s="176" t="s">
        <v>134</v>
      </c>
      <c r="P25" s="177">
        <v>0.0</v>
      </c>
      <c r="Q25" s="177">
        <v>0.021</v>
      </c>
      <c r="R25" s="177">
        <v>0.016</v>
      </c>
      <c r="S25" s="177">
        <v>0.0</v>
      </c>
      <c r="T25" s="177">
        <v>0.025</v>
      </c>
      <c r="U25" s="177">
        <v>0.0</v>
      </c>
      <c r="V25" s="177">
        <v>0.0</v>
      </c>
      <c r="W25" s="177">
        <v>0.029</v>
      </c>
      <c r="X25" s="176" t="s">
        <v>134</v>
      </c>
      <c r="Y25" s="177">
        <v>0.022</v>
      </c>
      <c r="Z25" s="176" t="s">
        <v>134</v>
      </c>
      <c r="AA25" s="177">
        <v>0.038</v>
      </c>
      <c r="AB25" s="176" t="s">
        <v>134</v>
      </c>
      <c r="AC25" s="177">
        <v>0.034</v>
      </c>
      <c r="AD25" s="177">
        <v>0.0</v>
      </c>
      <c r="AE25" s="176" t="s">
        <v>134</v>
      </c>
      <c r="AF25" s="176" t="s">
        <v>134</v>
      </c>
      <c r="AG25" s="176" t="s">
        <v>134</v>
      </c>
      <c r="AH25" s="176" t="s">
        <v>134</v>
      </c>
      <c r="AI25" s="176" t="s">
        <v>134</v>
      </c>
      <c r="AJ25" s="177">
        <v>0.009</v>
      </c>
      <c r="AK25" s="176" t="s">
        <v>134</v>
      </c>
      <c r="AL25" s="177">
        <v>0.024</v>
      </c>
      <c r="AM25" s="176" t="s">
        <v>134</v>
      </c>
      <c r="AN25" s="177">
        <v>0.026</v>
      </c>
      <c r="AO25" s="177">
        <v>0.02</v>
      </c>
    </row>
    <row r="26">
      <c r="A26" s="173" t="s">
        <v>109</v>
      </c>
      <c r="B26" s="176" t="s">
        <v>134</v>
      </c>
      <c r="C26" s="176" t="s">
        <v>134</v>
      </c>
      <c r="D26" s="176" t="s">
        <v>134</v>
      </c>
      <c r="E26" s="177">
        <v>0.024</v>
      </c>
      <c r="F26" s="176" t="s">
        <v>134</v>
      </c>
      <c r="G26" s="177">
        <v>0.019</v>
      </c>
      <c r="H26" s="177">
        <v>0.036</v>
      </c>
      <c r="I26" s="176" t="s">
        <v>134</v>
      </c>
      <c r="J26" s="176" t="s">
        <v>134</v>
      </c>
      <c r="K26" s="177">
        <v>0.009</v>
      </c>
      <c r="L26" s="177">
        <v>0.0</v>
      </c>
      <c r="M26" s="176" t="s">
        <v>134</v>
      </c>
      <c r="N26" s="176" t="s">
        <v>134</v>
      </c>
      <c r="O26" s="176" t="s">
        <v>134</v>
      </c>
      <c r="P26" s="176" t="s">
        <v>134</v>
      </c>
      <c r="Q26" s="177">
        <v>0.029</v>
      </c>
      <c r="R26" s="176" t="s">
        <v>134</v>
      </c>
      <c r="S26" s="176" t="s">
        <v>134</v>
      </c>
      <c r="T26" s="177">
        <v>0.019</v>
      </c>
      <c r="U26" s="177">
        <v>0.0</v>
      </c>
      <c r="V26" s="177">
        <v>0.0</v>
      </c>
      <c r="W26" s="177">
        <v>0.019</v>
      </c>
      <c r="X26" s="176" t="s">
        <v>134</v>
      </c>
      <c r="Y26" s="177">
        <v>0.026</v>
      </c>
      <c r="Z26" s="176" t="s">
        <v>134</v>
      </c>
      <c r="AA26" s="177">
        <v>0.015</v>
      </c>
      <c r="AB26" s="176" t="s">
        <v>134</v>
      </c>
      <c r="AC26" s="177">
        <v>0.029</v>
      </c>
      <c r="AD26" s="177">
        <v>0.0</v>
      </c>
      <c r="AE26" s="176" t="s">
        <v>134</v>
      </c>
      <c r="AF26" s="177">
        <v>0.024</v>
      </c>
      <c r="AG26" s="176" t="s">
        <v>134</v>
      </c>
      <c r="AH26" s="176" t="s">
        <v>134</v>
      </c>
      <c r="AI26" s="176" t="s">
        <v>134</v>
      </c>
      <c r="AJ26" s="177">
        <v>0.01</v>
      </c>
      <c r="AK26" s="177">
        <v>0.0</v>
      </c>
      <c r="AL26" s="177">
        <v>0.02</v>
      </c>
      <c r="AM26" s="177">
        <v>0.017</v>
      </c>
      <c r="AN26" s="177">
        <v>0.014</v>
      </c>
      <c r="AO26" s="177">
        <v>0.019</v>
      </c>
    </row>
    <row r="27">
      <c r="A27" s="173" t="s">
        <v>110</v>
      </c>
      <c r="B27" s="176" t="s">
        <v>134</v>
      </c>
      <c r="C27" s="177">
        <v>0.017</v>
      </c>
      <c r="D27" s="176" t="s">
        <v>134</v>
      </c>
      <c r="E27" s="177">
        <v>0.049</v>
      </c>
      <c r="F27" s="176" t="s">
        <v>134</v>
      </c>
      <c r="G27" s="177">
        <v>0.015</v>
      </c>
      <c r="H27" s="177">
        <v>0.019</v>
      </c>
      <c r="I27" s="176" t="s">
        <v>134</v>
      </c>
      <c r="J27" s="177">
        <v>0.016</v>
      </c>
      <c r="K27" s="177">
        <v>0.008</v>
      </c>
      <c r="L27" s="177">
        <v>0.0</v>
      </c>
      <c r="M27" s="177">
        <v>0.0</v>
      </c>
      <c r="N27" s="176" t="s">
        <v>134</v>
      </c>
      <c r="O27" s="176" t="s">
        <v>134</v>
      </c>
      <c r="P27" s="176" t="s">
        <v>134</v>
      </c>
      <c r="Q27" s="177">
        <v>0.014</v>
      </c>
      <c r="R27" s="177">
        <v>0.019</v>
      </c>
      <c r="S27" s="177">
        <v>0.0</v>
      </c>
      <c r="T27" s="177">
        <v>0.021</v>
      </c>
      <c r="U27" s="176" t="s">
        <v>134</v>
      </c>
      <c r="V27" s="176" t="s">
        <v>134</v>
      </c>
      <c r="W27" s="177">
        <v>0.017</v>
      </c>
      <c r="X27" s="177">
        <v>0.0</v>
      </c>
      <c r="Y27" s="177">
        <v>0.028</v>
      </c>
      <c r="Z27" s="177">
        <v>0.034</v>
      </c>
      <c r="AA27" s="177">
        <v>0.024</v>
      </c>
      <c r="AB27" s="176" t="s">
        <v>134</v>
      </c>
      <c r="AC27" s="177">
        <v>0.026</v>
      </c>
      <c r="AD27" s="177">
        <v>0.0</v>
      </c>
      <c r="AE27" s="176" t="s">
        <v>134</v>
      </c>
      <c r="AF27" s="177">
        <v>0.014</v>
      </c>
      <c r="AG27" s="176" t="s">
        <v>134</v>
      </c>
      <c r="AH27" s="176" t="s">
        <v>134</v>
      </c>
      <c r="AI27" s="176" t="s">
        <v>134</v>
      </c>
      <c r="AJ27" s="177">
        <v>0.014</v>
      </c>
      <c r="AK27" s="176" t="s">
        <v>134</v>
      </c>
      <c r="AL27" s="177">
        <v>0.026</v>
      </c>
      <c r="AM27" s="176" t="s">
        <v>134</v>
      </c>
      <c r="AN27" s="177">
        <v>0.021</v>
      </c>
      <c r="AO27" s="177">
        <v>0.018</v>
      </c>
    </row>
    <row r="28">
      <c r="A28" s="173" t="s">
        <v>111</v>
      </c>
      <c r="B28" s="176" t="s">
        <v>134</v>
      </c>
      <c r="C28" s="177">
        <v>0.023</v>
      </c>
      <c r="D28" s="176" t="s">
        <v>134</v>
      </c>
      <c r="E28" s="177">
        <v>0.062</v>
      </c>
      <c r="F28" s="176" t="s">
        <v>134</v>
      </c>
      <c r="G28" s="176" t="s">
        <v>134</v>
      </c>
      <c r="H28" s="177">
        <v>0.029</v>
      </c>
      <c r="I28" s="177">
        <v>0.023</v>
      </c>
      <c r="J28" s="176" t="s">
        <v>134</v>
      </c>
      <c r="K28" s="177">
        <v>0.02</v>
      </c>
      <c r="L28" s="177">
        <v>0.0</v>
      </c>
      <c r="M28" s="176" t="s">
        <v>134</v>
      </c>
      <c r="N28" s="177">
        <v>0.0</v>
      </c>
      <c r="O28" s="177">
        <v>0.0</v>
      </c>
      <c r="P28" s="177">
        <v>0.0</v>
      </c>
      <c r="Q28" s="177">
        <v>0.028</v>
      </c>
      <c r="R28" s="177">
        <v>0.017</v>
      </c>
      <c r="S28" s="176" t="s">
        <v>134</v>
      </c>
      <c r="T28" s="176" t="s">
        <v>134</v>
      </c>
      <c r="U28" s="176" t="s">
        <v>134</v>
      </c>
      <c r="V28" s="177">
        <v>0.0</v>
      </c>
      <c r="W28" s="176" t="s">
        <v>134</v>
      </c>
      <c r="X28" s="176" t="s">
        <v>134</v>
      </c>
      <c r="Y28" s="177">
        <v>0.026</v>
      </c>
      <c r="Z28" s="176" t="s">
        <v>134</v>
      </c>
      <c r="AA28" s="177">
        <v>0.046</v>
      </c>
      <c r="AB28" s="176" t="s">
        <v>134</v>
      </c>
      <c r="AC28" s="177">
        <v>0.034</v>
      </c>
      <c r="AD28" s="177">
        <v>0.0</v>
      </c>
      <c r="AE28" s="176" t="s">
        <v>134</v>
      </c>
      <c r="AF28" s="177">
        <v>0.042</v>
      </c>
      <c r="AG28" s="176" t="s">
        <v>134</v>
      </c>
      <c r="AH28" s="176" t="s">
        <v>134</v>
      </c>
      <c r="AI28" s="176" t="s">
        <v>134</v>
      </c>
      <c r="AJ28" s="177">
        <v>0.017</v>
      </c>
      <c r="AK28" s="177">
        <v>0.0</v>
      </c>
      <c r="AL28" s="177">
        <v>0.019</v>
      </c>
      <c r="AM28" s="176" t="s">
        <v>134</v>
      </c>
      <c r="AN28" s="177">
        <v>0.029</v>
      </c>
      <c r="AO28" s="177">
        <v>0.024</v>
      </c>
    </row>
    <row r="29">
      <c r="A29" s="178" t="s">
        <v>112</v>
      </c>
      <c r="B29" s="177">
        <v>0.0</v>
      </c>
      <c r="C29" s="177">
        <v>0.017</v>
      </c>
      <c r="D29" s="176" t="s">
        <v>134</v>
      </c>
      <c r="E29" s="177">
        <v>0.077</v>
      </c>
      <c r="F29" s="176" t="s">
        <v>134</v>
      </c>
      <c r="G29" s="177">
        <v>0.013</v>
      </c>
      <c r="H29" s="177">
        <v>0.029</v>
      </c>
      <c r="I29" s="177">
        <v>0.02</v>
      </c>
      <c r="J29" s="177">
        <v>0.011</v>
      </c>
      <c r="K29" s="177">
        <v>0.019</v>
      </c>
      <c r="L29" s="176" t="s">
        <v>134</v>
      </c>
      <c r="M29" s="177">
        <v>0.0</v>
      </c>
      <c r="N29" s="176" t="s">
        <v>134</v>
      </c>
      <c r="O29" s="176" t="s">
        <v>134</v>
      </c>
      <c r="P29" s="176" t="s">
        <v>134</v>
      </c>
      <c r="Q29" s="177">
        <v>0.036</v>
      </c>
      <c r="R29" s="177">
        <v>0.015</v>
      </c>
      <c r="S29" s="177">
        <v>0.0</v>
      </c>
      <c r="T29" s="176" t="s">
        <v>134</v>
      </c>
      <c r="U29" s="176" t="s">
        <v>134</v>
      </c>
      <c r="V29" s="176" t="s">
        <v>134</v>
      </c>
      <c r="W29" s="177">
        <v>0.011</v>
      </c>
      <c r="X29" s="177">
        <v>0.008</v>
      </c>
      <c r="Y29" s="177">
        <v>0.051</v>
      </c>
      <c r="Z29" s="179">
        <v>0.045</v>
      </c>
      <c r="AA29" s="177">
        <v>0.057</v>
      </c>
      <c r="AB29" s="176" t="s">
        <v>134</v>
      </c>
      <c r="AC29" s="177">
        <v>0.037</v>
      </c>
      <c r="AD29" s="177">
        <v>0.0</v>
      </c>
      <c r="AE29" s="176" t="s">
        <v>134</v>
      </c>
      <c r="AF29" s="177">
        <v>0.025</v>
      </c>
      <c r="AG29" s="176" t="s">
        <v>134</v>
      </c>
      <c r="AH29" s="176" t="s">
        <v>134</v>
      </c>
      <c r="AI29" s="177">
        <v>0.038</v>
      </c>
      <c r="AJ29" s="177">
        <v>0.023</v>
      </c>
      <c r="AK29" s="176" t="s">
        <v>134</v>
      </c>
      <c r="AL29" s="177">
        <v>0.017</v>
      </c>
      <c r="AM29" s="176" t="s">
        <v>134</v>
      </c>
      <c r="AN29" s="177">
        <v>0.023</v>
      </c>
      <c r="AO29" s="177">
        <v>0.027</v>
      </c>
    </row>
    <row r="30">
      <c r="A30" s="173" t="s">
        <v>113</v>
      </c>
      <c r="B30" s="176" t="s">
        <v>134</v>
      </c>
      <c r="C30" s="177">
        <v>0.011</v>
      </c>
      <c r="D30" s="177">
        <v>0.035</v>
      </c>
      <c r="E30" s="177">
        <v>0.074</v>
      </c>
      <c r="F30" s="176" t="s">
        <v>134</v>
      </c>
      <c r="G30" s="177">
        <v>0.008</v>
      </c>
      <c r="H30" s="177">
        <v>0.053</v>
      </c>
      <c r="I30" s="177">
        <v>0.017</v>
      </c>
      <c r="J30" s="177">
        <v>0.022</v>
      </c>
      <c r="K30" s="177">
        <v>0.012</v>
      </c>
      <c r="L30" s="176" t="s">
        <v>134</v>
      </c>
      <c r="M30" s="176" t="s">
        <v>134</v>
      </c>
      <c r="N30" s="176" t="s">
        <v>134</v>
      </c>
      <c r="O30" s="176" t="s">
        <v>134</v>
      </c>
      <c r="P30" s="176" t="s">
        <v>134</v>
      </c>
      <c r="Q30" s="177">
        <v>0.026</v>
      </c>
      <c r="R30" s="177">
        <v>0.041</v>
      </c>
      <c r="S30" s="177">
        <v>0.0</v>
      </c>
      <c r="T30" s="177">
        <v>0.018</v>
      </c>
      <c r="U30" s="177">
        <v>0.0</v>
      </c>
      <c r="V30" s="176" t="s">
        <v>134</v>
      </c>
      <c r="W30" s="177">
        <v>0.013</v>
      </c>
      <c r="X30" s="177">
        <v>0.011</v>
      </c>
      <c r="Y30" s="177">
        <v>0.054</v>
      </c>
      <c r="Z30" s="176" t="s">
        <v>134</v>
      </c>
      <c r="AA30" s="177">
        <v>0.058</v>
      </c>
      <c r="AB30" s="177">
        <v>0.0</v>
      </c>
      <c r="AC30" s="177">
        <v>0.041</v>
      </c>
      <c r="AD30" s="176" t="s">
        <v>134</v>
      </c>
      <c r="AE30" s="176" t="s">
        <v>134</v>
      </c>
      <c r="AF30" s="176" t="s">
        <v>134</v>
      </c>
      <c r="AG30" s="176" t="s">
        <v>134</v>
      </c>
      <c r="AH30" s="176" t="s">
        <v>134</v>
      </c>
      <c r="AI30" s="176" t="s">
        <v>134</v>
      </c>
      <c r="AJ30" s="177">
        <v>0.021</v>
      </c>
      <c r="AK30" s="176" t="s">
        <v>134</v>
      </c>
      <c r="AL30" s="177">
        <v>0.034</v>
      </c>
      <c r="AM30" s="176" t="s">
        <v>134</v>
      </c>
      <c r="AN30" s="177">
        <v>0.023</v>
      </c>
      <c r="AO30" s="177">
        <v>0.029</v>
      </c>
    </row>
    <row r="31">
      <c r="A31" s="180" t="s">
        <v>114</v>
      </c>
      <c r="B31" s="176" t="s">
        <v>134</v>
      </c>
      <c r="C31" s="177">
        <v>0.005</v>
      </c>
      <c r="D31" s="176" t="s">
        <v>134</v>
      </c>
      <c r="E31" s="177">
        <v>0.073</v>
      </c>
      <c r="F31" s="177">
        <v>0.0</v>
      </c>
      <c r="G31" s="177">
        <v>0.011</v>
      </c>
      <c r="H31" s="177">
        <v>0.057</v>
      </c>
      <c r="I31" s="177">
        <v>0.018</v>
      </c>
      <c r="J31" s="176" t="s">
        <v>134</v>
      </c>
      <c r="K31" s="177">
        <v>0.017</v>
      </c>
      <c r="L31" s="176" t="s">
        <v>134</v>
      </c>
      <c r="M31" s="176" t="s">
        <v>134</v>
      </c>
      <c r="N31" s="176" t="s">
        <v>134</v>
      </c>
      <c r="O31" s="176" t="s">
        <v>134</v>
      </c>
      <c r="P31" s="177">
        <v>0.0</v>
      </c>
      <c r="Q31" s="177">
        <v>0.033</v>
      </c>
      <c r="R31" s="177">
        <v>0.036</v>
      </c>
      <c r="S31" s="177">
        <v>0.0</v>
      </c>
      <c r="T31" s="176" t="s">
        <v>134</v>
      </c>
      <c r="U31" s="176" t="s">
        <v>134</v>
      </c>
      <c r="V31" s="176" t="s">
        <v>134</v>
      </c>
      <c r="W31" s="177">
        <v>0.008</v>
      </c>
      <c r="X31" s="177">
        <v>0.015</v>
      </c>
      <c r="Y31" s="177">
        <v>0.042</v>
      </c>
      <c r="Z31" s="176" t="s">
        <v>134</v>
      </c>
      <c r="AA31" s="177">
        <v>0.051</v>
      </c>
      <c r="AB31" s="176" t="s">
        <v>134</v>
      </c>
      <c r="AC31" s="177">
        <v>0.044</v>
      </c>
      <c r="AD31" s="176" t="s">
        <v>134</v>
      </c>
      <c r="AE31" s="177">
        <v>0.024</v>
      </c>
      <c r="AF31" s="177">
        <v>0.022</v>
      </c>
      <c r="AG31" s="176" t="s">
        <v>134</v>
      </c>
      <c r="AH31" s="177">
        <v>0.0</v>
      </c>
      <c r="AI31" s="177">
        <v>0.0</v>
      </c>
      <c r="AJ31" s="177">
        <v>0.021</v>
      </c>
      <c r="AK31" s="177">
        <v>0.0</v>
      </c>
      <c r="AL31" s="177">
        <v>0.021</v>
      </c>
      <c r="AM31" s="177">
        <v>0.013</v>
      </c>
      <c r="AN31" s="177">
        <v>0.027</v>
      </c>
      <c r="AO31" s="177">
        <v>0.026</v>
      </c>
    </row>
    <row r="32">
      <c r="A32" s="180" t="s">
        <v>115</v>
      </c>
      <c r="B32" s="176" t="s">
        <v>134</v>
      </c>
      <c r="C32" s="177">
        <v>0.007</v>
      </c>
      <c r="D32" s="176" t="s">
        <v>134</v>
      </c>
      <c r="E32" s="177">
        <v>0.067</v>
      </c>
      <c r="F32" s="176" t="s">
        <v>134</v>
      </c>
      <c r="G32" s="177">
        <v>0.013</v>
      </c>
      <c r="H32" s="177">
        <v>0.024</v>
      </c>
      <c r="I32" s="177">
        <v>0.02</v>
      </c>
      <c r="J32" s="177">
        <v>0.014</v>
      </c>
      <c r="K32" s="177">
        <v>0.013</v>
      </c>
      <c r="L32" s="176" t="s">
        <v>134</v>
      </c>
      <c r="M32" s="176" t="s">
        <v>134</v>
      </c>
      <c r="N32" s="176" t="s">
        <v>134</v>
      </c>
      <c r="O32" s="177">
        <v>0.0</v>
      </c>
      <c r="P32" s="176" t="s">
        <v>134</v>
      </c>
      <c r="Q32" s="177">
        <v>0.022</v>
      </c>
      <c r="R32" s="177">
        <v>0.012</v>
      </c>
      <c r="S32" s="177">
        <v>0.0</v>
      </c>
      <c r="T32" s="177">
        <v>0.0</v>
      </c>
      <c r="U32" s="177">
        <v>0.07</v>
      </c>
      <c r="V32" s="176" t="s">
        <v>134</v>
      </c>
      <c r="W32" s="176" t="s">
        <v>134</v>
      </c>
      <c r="X32" s="177">
        <v>0.023</v>
      </c>
      <c r="Y32" s="177">
        <v>0.028</v>
      </c>
      <c r="Z32" s="177">
        <v>0.0</v>
      </c>
      <c r="AA32" s="177">
        <v>0.033</v>
      </c>
      <c r="AB32" s="176" t="s">
        <v>134</v>
      </c>
      <c r="AC32" s="177">
        <v>0.047</v>
      </c>
      <c r="AD32" s="176" t="s">
        <v>134</v>
      </c>
      <c r="AE32" s="176" t="s">
        <v>134</v>
      </c>
      <c r="AF32" s="177">
        <v>0.027</v>
      </c>
      <c r="AG32" s="177">
        <v>0.032</v>
      </c>
      <c r="AH32" s="176" t="s">
        <v>134</v>
      </c>
      <c r="AI32" s="177">
        <v>0.0</v>
      </c>
      <c r="AJ32" s="177">
        <v>0.014</v>
      </c>
      <c r="AK32" s="176" t="s">
        <v>134</v>
      </c>
      <c r="AL32" s="177">
        <v>0.028</v>
      </c>
      <c r="AM32" s="177">
        <v>0.0</v>
      </c>
      <c r="AN32" s="177">
        <v>0.023</v>
      </c>
      <c r="AO32" s="177">
        <v>0.024</v>
      </c>
    </row>
    <row r="33">
      <c r="A33" s="180" t="s">
        <v>116</v>
      </c>
      <c r="B33" s="177">
        <v>0.0</v>
      </c>
      <c r="C33" s="177">
        <v>0.004</v>
      </c>
      <c r="D33" s="176" t="s">
        <v>134</v>
      </c>
      <c r="E33" s="177">
        <v>0.086</v>
      </c>
      <c r="F33" s="177">
        <v>0.0</v>
      </c>
      <c r="G33" s="177">
        <v>0.016</v>
      </c>
      <c r="H33" s="177">
        <v>0.033</v>
      </c>
      <c r="I33" s="177">
        <v>0.025</v>
      </c>
      <c r="J33" s="177">
        <v>0.022</v>
      </c>
      <c r="K33" s="177">
        <v>0.013</v>
      </c>
      <c r="L33" s="176" t="s">
        <v>134</v>
      </c>
      <c r="M33" s="176" t="s">
        <v>134</v>
      </c>
      <c r="N33" s="176" t="s">
        <v>134</v>
      </c>
      <c r="O33" s="176" t="s">
        <v>134</v>
      </c>
      <c r="P33" s="176" t="s">
        <v>134</v>
      </c>
      <c r="Q33" s="177">
        <v>0.047</v>
      </c>
      <c r="R33" s="177">
        <v>0.02</v>
      </c>
      <c r="S33" s="177">
        <v>0.0</v>
      </c>
      <c r="T33" s="177">
        <v>0.018</v>
      </c>
      <c r="U33" s="177">
        <v>0.028</v>
      </c>
      <c r="V33" s="177">
        <v>0.0</v>
      </c>
      <c r="W33" s="176" t="s">
        <v>134</v>
      </c>
      <c r="X33" s="177">
        <v>0.031</v>
      </c>
      <c r="Y33" s="177">
        <v>0.033</v>
      </c>
      <c r="Z33" s="176" t="s">
        <v>134</v>
      </c>
      <c r="AA33" s="177">
        <v>0.034</v>
      </c>
      <c r="AB33" s="176" t="s">
        <v>134</v>
      </c>
      <c r="AC33" s="177">
        <v>0.04</v>
      </c>
      <c r="AD33" s="177">
        <v>0.0</v>
      </c>
      <c r="AE33" s="176" t="s">
        <v>134</v>
      </c>
      <c r="AF33" s="177">
        <v>0.004</v>
      </c>
      <c r="AG33" s="177">
        <v>0.014</v>
      </c>
      <c r="AH33" s="177">
        <v>0.027</v>
      </c>
      <c r="AI33" s="176" t="s">
        <v>134</v>
      </c>
      <c r="AJ33" s="177">
        <v>0.024</v>
      </c>
      <c r="AK33" s="176" t="s">
        <v>134</v>
      </c>
      <c r="AL33" s="176" t="s">
        <v>134</v>
      </c>
      <c r="AM33" s="176" t="s">
        <v>134</v>
      </c>
      <c r="AN33" s="177">
        <v>0.02</v>
      </c>
      <c r="AO33" s="177">
        <v>0.021</v>
      </c>
    </row>
    <row r="34">
      <c r="A34" s="180" t="s">
        <v>117</v>
      </c>
      <c r="B34" s="176" t="s">
        <v>134</v>
      </c>
      <c r="C34" s="177">
        <v>0.001</v>
      </c>
      <c r="D34" s="176" t="s">
        <v>134</v>
      </c>
      <c r="E34" s="177">
        <v>0.048</v>
      </c>
      <c r="F34" s="176" t="s">
        <v>134</v>
      </c>
      <c r="G34" s="177">
        <v>0.013</v>
      </c>
      <c r="H34" s="177">
        <v>0.025</v>
      </c>
      <c r="I34" s="177">
        <v>0.014</v>
      </c>
      <c r="J34" s="177">
        <v>0.017</v>
      </c>
      <c r="K34" s="177">
        <v>0.005</v>
      </c>
      <c r="L34" s="177">
        <v>0.0</v>
      </c>
      <c r="M34" s="176" t="s">
        <v>134</v>
      </c>
      <c r="N34" s="176" t="s">
        <v>134</v>
      </c>
      <c r="O34" s="176" t="s">
        <v>134</v>
      </c>
      <c r="P34" s="177">
        <v>0.0</v>
      </c>
      <c r="Q34" s="177">
        <v>0.027</v>
      </c>
      <c r="R34" s="177">
        <v>0.017</v>
      </c>
      <c r="S34" s="177">
        <v>0.0</v>
      </c>
      <c r="T34" s="176" t="s">
        <v>134</v>
      </c>
      <c r="U34" s="177">
        <v>0.021</v>
      </c>
      <c r="V34" s="177">
        <v>0.0</v>
      </c>
      <c r="W34" s="177">
        <v>0.006</v>
      </c>
      <c r="X34" s="177">
        <v>0.012</v>
      </c>
      <c r="Y34" s="177">
        <v>0.025</v>
      </c>
      <c r="Z34" s="176" t="s">
        <v>134</v>
      </c>
      <c r="AA34" s="177">
        <v>0.025</v>
      </c>
      <c r="AB34" s="177">
        <v>0.019</v>
      </c>
      <c r="AC34" s="177">
        <v>0.027</v>
      </c>
      <c r="AD34" s="176" t="s">
        <v>134</v>
      </c>
      <c r="AE34" s="176" t="s">
        <v>134</v>
      </c>
      <c r="AF34" s="177">
        <v>0.002</v>
      </c>
      <c r="AG34" s="176" t="s">
        <v>134</v>
      </c>
      <c r="AH34" s="177">
        <v>0.022</v>
      </c>
      <c r="AI34" s="176" t="s">
        <v>134</v>
      </c>
      <c r="AJ34" s="177">
        <v>0.01</v>
      </c>
      <c r="AK34" s="176" t="s">
        <v>134</v>
      </c>
      <c r="AL34" s="177">
        <v>0.011</v>
      </c>
      <c r="AM34" s="176" t="s">
        <v>134</v>
      </c>
      <c r="AN34" s="177">
        <v>0.021</v>
      </c>
      <c r="AO34" s="177">
        <v>0.013</v>
      </c>
    </row>
    <row r="35">
      <c r="A35" s="180" t="s">
        <v>118</v>
      </c>
      <c r="B35" s="176" t="s">
        <v>134</v>
      </c>
      <c r="C35" s="176" t="s">
        <v>134</v>
      </c>
      <c r="D35" s="176" t="s">
        <v>134</v>
      </c>
      <c r="E35" s="176" t="s">
        <v>134</v>
      </c>
      <c r="F35" s="177">
        <v>0.0</v>
      </c>
      <c r="G35" s="176" t="s">
        <v>134</v>
      </c>
      <c r="H35" s="177">
        <v>0.021</v>
      </c>
      <c r="I35" s="177">
        <v>0.016</v>
      </c>
      <c r="J35" s="177">
        <v>0.0</v>
      </c>
      <c r="K35" s="177">
        <v>0.009</v>
      </c>
      <c r="L35" s="177">
        <v>0.0</v>
      </c>
      <c r="M35" s="176" t="s">
        <v>134</v>
      </c>
      <c r="N35" s="176" t="s">
        <v>134</v>
      </c>
      <c r="O35" s="177">
        <v>0.0</v>
      </c>
      <c r="P35" s="176" t="s">
        <v>134</v>
      </c>
      <c r="Q35" s="177">
        <v>0.023</v>
      </c>
      <c r="R35" s="177">
        <v>0.011</v>
      </c>
      <c r="S35" s="177">
        <v>0.0</v>
      </c>
      <c r="T35" s="176" t="s">
        <v>134</v>
      </c>
      <c r="U35" s="176" t="s">
        <v>134</v>
      </c>
      <c r="V35" s="177">
        <v>0.0</v>
      </c>
      <c r="W35" s="177">
        <v>0.005</v>
      </c>
      <c r="X35" s="177">
        <v>0.009</v>
      </c>
      <c r="Y35" s="177">
        <v>0.039</v>
      </c>
      <c r="Z35" s="176" t="s">
        <v>134</v>
      </c>
      <c r="AA35" s="177">
        <v>0.021</v>
      </c>
      <c r="AB35" s="176" t="s">
        <v>134</v>
      </c>
      <c r="AC35" s="177">
        <v>0.014</v>
      </c>
      <c r="AD35" s="177">
        <v>0.0</v>
      </c>
      <c r="AE35" s="176" t="s">
        <v>134</v>
      </c>
      <c r="AF35" s="177">
        <v>0.002</v>
      </c>
      <c r="AG35" s="177">
        <v>0.0</v>
      </c>
      <c r="AH35" s="177">
        <v>0.022</v>
      </c>
      <c r="AI35" s="176" t="s">
        <v>134</v>
      </c>
      <c r="AJ35" s="177">
        <v>0.017</v>
      </c>
      <c r="AK35" s="177">
        <v>0.0</v>
      </c>
      <c r="AL35" s="176" t="s">
        <v>134</v>
      </c>
      <c r="AM35" s="176" t="s">
        <v>134</v>
      </c>
      <c r="AN35" s="177">
        <v>0.011</v>
      </c>
      <c r="AO35" s="177">
        <v>0.01</v>
      </c>
    </row>
    <row r="36">
      <c r="A36" s="180" t="s">
        <v>119</v>
      </c>
      <c r="B36" s="177">
        <v>0.01</v>
      </c>
      <c r="C36" s="177">
        <v>0.001</v>
      </c>
      <c r="D36" s="177">
        <v>0.027</v>
      </c>
      <c r="E36" s="177">
        <v>0.051</v>
      </c>
      <c r="F36" s="176" t="s">
        <v>134</v>
      </c>
      <c r="G36" s="176" t="s">
        <v>134</v>
      </c>
      <c r="H36" s="177">
        <v>0.02</v>
      </c>
      <c r="I36" s="177">
        <v>0.04</v>
      </c>
      <c r="J36" s="176" t="s">
        <v>134</v>
      </c>
      <c r="K36" s="177">
        <v>0.015</v>
      </c>
      <c r="L36" s="177">
        <v>0.0</v>
      </c>
      <c r="M36" s="176" t="s">
        <v>134</v>
      </c>
      <c r="N36" s="177">
        <v>0.0</v>
      </c>
      <c r="O36" s="177">
        <v>0.0</v>
      </c>
      <c r="P36" s="177">
        <v>0.0</v>
      </c>
      <c r="Q36" s="177">
        <v>0.019</v>
      </c>
      <c r="R36" s="176" t="s">
        <v>134</v>
      </c>
      <c r="S36" s="177">
        <v>0.0</v>
      </c>
      <c r="T36" s="176" t="s">
        <v>134</v>
      </c>
      <c r="U36" s="177">
        <v>0.019</v>
      </c>
      <c r="V36" s="177">
        <v>0.0</v>
      </c>
      <c r="W36" s="177">
        <v>0.008</v>
      </c>
      <c r="X36" s="177">
        <v>0.013</v>
      </c>
      <c r="Y36" s="177">
        <v>0.018</v>
      </c>
      <c r="Z36" s="176" t="s">
        <v>134</v>
      </c>
      <c r="AA36" s="177">
        <v>0.033</v>
      </c>
      <c r="AB36" s="176" t="s">
        <v>134</v>
      </c>
      <c r="AC36" s="177">
        <v>0.014</v>
      </c>
      <c r="AD36" s="177">
        <v>0.0</v>
      </c>
      <c r="AE36" s="176" t="s">
        <v>134</v>
      </c>
      <c r="AF36" s="177">
        <v>0.002</v>
      </c>
      <c r="AG36" s="176" t="s">
        <v>134</v>
      </c>
      <c r="AH36" s="176" t="s">
        <v>134</v>
      </c>
      <c r="AI36" s="177">
        <v>0.0</v>
      </c>
      <c r="AJ36" s="177">
        <v>0.016</v>
      </c>
      <c r="AK36" s="176" t="s">
        <v>134</v>
      </c>
      <c r="AL36" s="177">
        <v>0.024</v>
      </c>
      <c r="AM36" s="177">
        <v>0.015</v>
      </c>
      <c r="AN36" s="177">
        <v>0.023</v>
      </c>
      <c r="AO36" s="177">
        <v>0.011</v>
      </c>
    </row>
    <row r="37">
      <c r="A37" s="180" t="s">
        <v>120</v>
      </c>
      <c r="B37" s="177">
        <v>0.009</v>
      </c>
      <c r="C37" s="177">
        <v>0.001</v>
      </c>
      <c r="D37" s="177">
        <v>0.032</v>
      </c>
      <c r="E37" s="177">
        <v>0.051</v>
      </c>
      <c r="F37" s="176" t="s">
        <v>134</v>
      </c>
      <c r="G37" s="177">
        <v>0.028</v>
      </c>
      <c r="H37" s="177">
        <v>0.021</v>
      </c>
      <c r="I37" s="177">
        <v>0.019</v>
      </c>
      <c r="J37" s="176" t="s">
        <v>134</v>
      </c>
      <c r="K37" s="177">
        <v>0.008</v>
      </c>
      <c r="L37" s="176" t="s">
        <v>134</v>
      </c>
      <c r="M37" s="177">
        <v>0.0</v>
      </c>
      <c r="N37" s="177">
        <v>0.0</v>
      </c>
      <c r="O37" s="176" t="s">
        <v>134</v>
      </c>
      <c r="P37" s="176" t="s">
        <v>134</v>
      </c>
      <c r="Q37" s="177">
        <v>0.031</v>
      </c>
      <c r="R37" s="177">
        <v>0.008</v>
      </c>
      <c r="S37" s="177">
        <v>0.0</v>
      </c>
      <c r="T37" s="177">
        <v>0.0</v>
      </c>
      <c r="U37" s="177">
        <v>0.088</v>
      </c>
      <c r="V37" s="177">
        <v>0.0</v>
      </c>
      <c r="W37" s="177">
        <v>0.01</v>
      </c>
      <c r="X37" s="177">
        <v>0.007</v>
      </c>
      <c r="Y37" s="177">
        <v>0.028</v>
      </c>
      <c r="Z37" s="177">
        <v>0.018</v>
      </c>
      <c r="AA37" s="177">
        <v>0.023</v>
      </c>
      <c r="AB37" s="176" t="s">
        <v>134</v>
      </c>
      <c r="AC37" s="177">
        <v>0.023</v>
      </c>
      <c r="AD37" s="176" t="s">
        <v>134</v>
      </c>
      <c r="AE37" s="176" t="s">
        <v>134</v>
      </c>
      <c r="AF37" s="177">
        <v>0.003</v>
      </c>
      <c r="AG37" s="177">
        <v>0.01</v>
      </c>
      <c r="AH37" s="177">
        <v>0.018</v>
      </c>
      <c r="AI37" s="176" t="s">
        <v>134</v>
      </c>
      <c r="AJ37" s="177">
        <v>0.02</v>
      </c>
      <c r="AK37" s="176" t="s">
        <v>134</v>
      </c>
      <c r="AL37" s="177">
        <v>0.017</v>
      </c>
      <c r="AM37" s="177">
        <v>0.021</v>
      </c>
      <c r="AN37" s="177">
        <v>0.017</v>
      </c>
      <c r="AO37" s="177">
        <v>0.015</v>
      </c>
    </row>
    <row r="38">
      <c r="A38" s="180" t="s">
        <v>121</v>
      </c>
      <c r="B38" s="176" t="s">
        <v>134</v>
      </c>
      <c r="C38" s="176" t="s">
        <v>134</v>
      </c>
      <c r="D38" s="177">
        <v>0.018</v>
      </c>
      <c r="E38" s="177">
        <v>0.069</v>
      </c>
      <c r="F38" s="176" t="s">
        <v>134</v>
      </c>
      <c r="G38" s="177">
        <v>0.007</v>
      </c>
      <c r="H38" s="177">
        <v>0.021</v>
      </c>
      <c r="I38" s="177">
        <v>0.014</v>
      </c>
      <c r="J38" s="176" t="s">
        <v>134</v>
      </c>
      <c r="K38" s="177">
        <v>0.006</v>
      </c>
      <c r="L38" s="176" t="s">
        <v>134</v>
      </c>
      <c r="M38" s="177">
        <v>0.0</v>
      </c>
      <c r="N38" s="176" t="s">
        <v>134</v>
      </c>
      <c r="O38" s="176" t="s">
        <v>134</v>
      </c>
      <c r="P38" s="176" t="s">
        <v>134</v>
      </c>
      <c r="Q38" s="177">
        <v>0.038</v>
      </c>
      <c r="R38" s="177">
        <v>0.021</v>
      </c>
      <c r="S38" s="177">
        <v>0.0</v>
      </c>
      <c r="T38" s="176" t="s">
        <v>134</v>
      </c>
      <c r="U38" s="177">
        <v>0.081</v>
      </c>
      <c r="V38" s="177">
        <v>0.0</v>
      </c>
      <c r="W38" s="176" t="s">
        <v>134</v>
      </c>
      <c r="X38" s="177">
        <v>0.006</v>
      </c>
      <c r="Y38" s="177">
        <v>0.024</v>
      </c>
      <c r="Z38" s="177">
        <v>0.022</v>
      </c>
      <c r="AA38" s="177">
        <v>0.039</v>
      </c>
      <c r="AB38" s="177">
        <v>0.0</v>
      </c>
      <c r="AC38" s="177">
        <v>0.018</v>
      </c>
      <c r="AD38" s="176" t="s">
        <v>134</v>
      </c>
      <c r="AE38" s="176" t="s">
        <v>134</v>
      </c>
      <c r="AF38" s="177">
        <v>0.003</v>
      </c>
      <c r="AG38" s="176" t="s">
        <v>134</v>
      </c>
      <c r="AH38" s="176" t="s">
        <v>134</v>
      </c>
      <c r="AI38" s="177">
        <v>0.025</v>
      </c>
      <c r="AJ38" s="177">
        <v>0.013</v>
      </c>
      <c r="AK38" s="176" t="s">
        <v>134</v>
      </c>
      <c r="AL38" s="177">
        <v>0.015</v>
      </c>
      <c r="AM38" s="177">
        <v>0.018</v>
      </c>
      <c r="AN38" s="177">
        <v>0.012</v>
      </c>
      <c r="AO38" s="177">
        <v>0.013</v>
      </c>
    </row>
    <row r="39">
      <c r="A39" s="180" t="s">
        <v>122</v>
      </c>
      <c r="B39" s="176" t="s">
        <v>134</v>
      </c>
      <c r="C39" s="177">
        <v>0.001</v>
      </c>
      <c r="D39" s="176" t="s">
        <v>134</v>
      </c>
      <c r="E39" s="177">
        <v>0.055</v>
      </c>
      <c r="F39" s="176" t="s">
        <v>134</v>
      </c>
      <c r="G39" s="177">
        <v>0.015</v>
      </c>
      <c r="H39" s="177">
        <v>0.031</v>
      </c>
      <c r="I39" s="177">
        <v>0.021</v>
      </c>
      <c r="J39" s="177">
        <v>0.017</v>
      </c>
      <c r="K39" s="177">
        <v>0.022</v>
      </c>
      <c r="L39" s="176" t="s">
        <v>134</v>
      </c>
      <c r="M39" s="176" t="s">
        <v>134</v>
      </c>
      <c r="N39" s="176" t="s">
        <v>134</v>
      </c>
      <c r="O39" s="176" t="s">
        <v>134</v>
      </c>
      <c r="P39" s="176" t="s">
        <v>134</v>
      </c>
      <c r="Q39" s="177">
        <v>0.03</v>
      </c>
      <c r="R39" s="177">
        <v>0.022</v>
      </c>
      <c r="S39" s="176" t="s">
        <v>134</v>
      </c>
      <c r="T39" s="176" t="s">
        <v>134</v>
      </c>
      <c r="U39" s="177">
        <v>0.092</v>
      </c>
      <c r="V39" s="177">
        <v>0.0</v>
      </c>
      <c r="W39" s="176" t="s">
        <v>134</v>
      </c>
      <c r="X39" s="177">
        <v>0.015</v>
      </c>
      <c r="Y39" s="177">
        <v>0.036</v>
      </c>
      <c r="Z39" s="177">
        <v>0.015</v>
      </c>
      <c r="AA39" s="177">
        <v>0.048</v>
      </c>
      <c r="AB39" s="177">
        <v>0.014</v>
      </c>
      <c r="AC39" s="177">
        <v>0.019</v>
      </c>
      <c r="AD39" s="176" t="s">
        <v>134</v>
      </c>
      <c r="AE39" s="176" t="s">
        <v>134</v>
      </c>
      <c r="AF39" s="177">
        <v>0.004</v>
      </c>
      <c r="AG39" s="177">
        <v>0.014</v>
      </c>
      <c r="AH39" s="176" t="s">
        <v>134</v>
      </c>
      <c r="AI39" s="177">
        <v>0.0</v>
      </c>
      <c r="AJ39" s="177">
        <v>0.021</v>
      </c>
      <c r="AK39" s="176" t="s">
        <v>134</v>
      </c>
      <c r="AL39" s="177">
        <v>0.024</v>
      </c>
      <c r="AM39" s="177">
        <v>0.019</v>
      </c>
      <c r="AN39" s="177">
        <v>0.026</v>
      </c>
      <c r="AO39" s="177">
        <v>0.017</v>
      </c>
    </row>
    <row r="40">
      <c r="A40" s="180" t="s">
        <v>123</v>
      </c>
      <c r="B40" s="177">
        <v>0.008</v>
      </c>
      <c r="C40" s="177">
        <v>0.002</v>
      </c>
      <c r="D40" s="177">
        <v>0.016</v>
      </c>
      <c r="E40" s="177">
        <v>0.077</v>
      </c>
      <c r="F40" s="176" t="s">
        <v>134</v>
      </c>
      <c r="G40" s="177">
        <v>0.02</v>
      </c>
      <c r="H40" s="177">
        <v>0.04</v>
      </c>
      <c r="I40" s="177">
        <v>0.026</v>
      </c>
      <c r="J40" s="177">
        <v>0.009</v>
      </c>
      <c r="K40" s="177">
        <v>0.023</v>
      </c>
      <c r="L40" s="177">
        <v>0.023</v>
      </c>
      <c r="M40" s="177">
        <v>0.031</v>
      </c>
      <c r="N40" s="176" t="s">
        <v>134</v>
      </c>
      <c r="O40" s="176" t="s">
        <v>134</v>
      </c>
      <c r="P40" s="177">
        <v>0.024</v>
      </c>
      <c r="Q40" s="177">
        <v>0.025</v>
      </c>
      <c r="R40" s="177">
        <v>0.024</v>
      </c>
      <c r="S40" s="176" t="s">
        <v>134</v>
      </c>
      <c r="T40" s="176" t="s">
        <v>134</v>
      </c>
      <c r="U40" s="177">
        <v>0.187</v>
      </c>
      <c r="V40" s="177">
        <v>0.0</v>
      </c>
      <c r="W40" s="177">
        <v>0.008</v>
      </c>
      <c r="X40" s="177">
        <v>0.016</v>
      </c>
      <c r="Y40" s="177">
        <v>0.042</v>
      </c>
      <c r="Z40" s="177">
        <v>0.021</v>
      </c>
      <c r="AA40" s="177">
        <v>0.049</v>
      </c>
      <c r="AB40" s="177">
        <v>0.01</v>
      </c>
      <c r="AC40" s="177">
        <v>0.019</v>
      </c>
      <c r="AD40" s="176" t="s">
        <v>134</v>
      </c>
      <c r="AE40" s="176" t="s">
        <v>134</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0.112</v>
      </c>
      <c r="F41" s="176" t="s">
        <v>134</v>
      </c>
      <c r="G41" s="177">
        <v>0.026</v>
      </c>
      <c r="H41" s="177">
        <v>0.055</v>
      </c>
      <c r="I41" s="177">
        <v>0.034</v>
      </c>
      <c r="J41" s="177">
        <v>0.016</v>
      </c>
      <c r="K41" s="177">
        <v>0.027</v>
      </c>
      <c r="L41" s="176" t="s">
        <v>134</v>
      </c>
      <c r="M41" s="176" t="s">
        <v>134</v>
      </c>
      <c r="N41" s="177">
        <v>0.0</v>
      </c>
      <c r="O41" s="177">
        <v>0.0</v>
      </c>
      <c r="P41" s="176" t="s">
        <v>134</v>
      </c>
      <c r="Q41" s="177">
        <v>0.047</v>
      </c>
      <c r="R41" s="177">
        <v>0.028</v>
      </c>
      <c r="S41" s="176" t="s">
        <v>134</v>
      </c>
      <c r="T41" s="176" t="s">
        <v>134</v>
      </c>
      <c r="U41" s="177">
        <v>0.079</v>
      </c>
      <c r="V41" s="176" t="s">
        <v>134</v>
      </c>
      <c r="W41" s="177">
        <v>0.013</v>
      </c>
      <c r="X41" s="177">
        <v>0.013</v>
      </c>
      <c r="Y41" s="177">
        <v>0.056</v>
      </c>
      <c r="Z41" s="177">
        <v>0.038</v>
      </c>
      <c r="AA41" s="177">
        <v>0.064</v>
      </c>
      <c r="AB41" s="177">
        <v>0.024</v>
      </c>
      <c r="AC41" s="177">
        <v>0.024</v>
      </c>
      <c r="AD41" s="176" t="s">
        <v>134</v>
      </c>
      <c r="AE41" s="176" t="s">
        <v>134</v>
      </c>
      <c r="AF41" s="177">
        <v>0.006</v>
      </c>
      <c r="AG41" s="177">
        <v>0.01</v>
      </c>
      <c r="AH41" s="177">
        <v>0.033</v>
      </c>
      <c r="AI41" s="179">
        <v>0.015</v>
      </c>
      <c r="AJ41" s="177">
        <v>0.023</v>
      </c>
      <c r="AK41" s="177">
        <v>0.048</v>
      </c>
      <c r="AL41" s="177">
        <v>0.03</v>
      </c>
      <c r="AM41" s="177">
        <v>0.019</v>
      </c>
      <c r="AN41" s="177">
        <v>0.043</v>
      </c>
      <c r="AO41" s="177">
        <v>0.025</v>
      </c>
    </row>
    <row r="42">
      <c r="A42" s="180" t="s">
        <v>125</v>
      </c>
      <c r="B42" s="177">
        <v>0.026</v>
      </c>
      <c r="C42" s="177">
        <v>0.003</v>
      </c>
      <c r="D42" s="177">
        <v>0.036</v>
      </c>
      <c r="E42" s="177">
        <v>0.105</v>
      </c>
      <c r="F42" s="177">
        <v>0.022</v>
      </c>
      <c r="G42" s="177">
        <v>0.04</v>
      </c>
      <c r="H42" s="177">
        <v>0.07</v>
      </c>
      <c r="I42" s="177">
        <v>0.04</v>
      </c>
      <c r="J42" s="177">
        <v>0.039</v>
      </c>
      <c r="K42" s="177">
        <v>0.038</v>
      </c>
      <c r="L42" s="176" t="s">
        <v>134</v>
      </c>
      <c r="M42" s="176" t="s">
        <v>134</v>
      </c>
      <c r="N42" s="177">
        <v>0.063</v>
      </c>
      <c r="O42" s="176" t="s">
        <v>134</v>
      </c>
      <c r="P42" s="177">
        <v>0.0</v>
      </c>
      <c r="Q42" s="177">
        <v>0.065</v>
      </c>
      <c r="R42" s="177">
        <v>0.04</v>
      </c>
      <c r="S42" s="176" t="s">
        <v>134</v>
      </c>
      <c r="T42" s="177">
        <v>0.012</v>
      </c>
      <c r="U42" s="177">
        <v>0.076</v>
      </c>
      <c r="V42" s="177">
        <v>0.0</v>
      </c>
      <c r="W42" s="177">
        <v>0.013</v>
      </c>
      <c r="X42" s="177">
        <v>0.021</v>
      </c>
      <c r="Y42" s="177">
        <v>0.065</v>
      </c>
      <c r="Z42" s="177">
        <v>0.048</v>
      </c>
      <c r="AA42" s="177">
        <v>0.082</v>
      </c>
      <c r="AB42" s="177">
        <v>0.016</v>
      </c>
      <c r="AC42" s="177">
        <v>0.037</v>
      </c>
      <c r="AD42" s="179">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0.161</v>
      </c>
      <c r="F43" s="176" t="s">
        <v>134</v>
      </c>
      <c r="G43" s="177">
        <v>0.033</v>
      </c>
      <c r="H43" s="177">
        <v>0.08</v>
      </c>
      <c r="I43" s="177">
        <v>0.051</v>
      </c>
      <c r="J43" s="177">
        <v>0.034</v>
      </c>
      <c r="K43" s="177">
        <v>0.045</v>
      </c>
      <c r="L43" s="176" t="s">
        <v>134</v>
      </c>
      <c r="M43" s="177">
        <v>0.055</v>
      </c>
      <c r="N43" s="177">
        <v>0.048</v>
      </c>
      <c r="O43" s="179">
        <v>0.022</v>
      </c>
      <c r="P43" s="177">
        <v>0.028</v>
      </c>
      <c r="Q43" s="177">
        <v>0.089</v>
      </c>
      <c r="R43" s="177">
        <v>0.046</v>
      </c>
      <c r="S43" s="179">
        <v>0.035</v>
      </c>
      <c r="T43" s="177">
        <v>0.03</v>
      </c>
      <c r="U43" s="177">
        <v>0.033</v>
      </c>
      <c r="V43" s="176" t="s">
        <v>134</v>
      </c>
      <c r="W43" s="177">
        <v>0.018</v>
      </c>
      <c r="X43" s="177">
        <v>0.024</v>
      </c>
      <c r="Y43" s="177">
        <v>0.089</v>
      </c>
      <c r="Z43" s="177">
        <v>0.026</v>
      </c>
      <c r="AA43" s="177">
        <v>0.082</v>
      </c>
      <c r="AB43" s="177">
        <v>0.038</v>
      </c>
      <c r="AC43" s="177">
        <v>0.038</v>
      </c>
      <c r="AD43" s="176" t="s">
        <v>134</v>
      </c>
      <c r="AE43" s="177">
        <v>0.035</v>
      </c>
      <c r="AF43" s="177">
        <v>0.008</v>
      </c>
      <c r="AG43" s="177">
        <v>0.009</v>
      </c>
      <c r="AH43" s="177">
        <v>0.05</v>
      </c>
      <c r="AI43" s="177">
        <v>0.068</v>
      </c>
      <c r="AJ43" s="177">
        <v>0.063</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0.103</v>
      </c>
      <c r="I44" s="177">
        <v>0.05</v>
      </c>
      <c r="J44" s="177">
        <v>0.052</v>
      </c>
      <c r="K44" s="177">
        <v>0.064</v>
      </c>
      <c r="L44" s="177">
        <v>0.063</v>
      </c>
      <c r="M44" s="177">
        <v>0.033</v>
      </c>
      <c r="N44" s="177">
        <v>0.053</v>
      </c>
      <c r="O44" s="177">
        <v>0.04</v>
      </c>
      <c r="P44" s="177">
        <v>0.05</v>
      </c>
      <c r="Q44" s="177">
        <v>0.118</v>
      </c>
      <c r="R44" s="177">
        <v>0.049</v>
      </c>
      <c r="S44" s="176" t="s">
        <v>134</v>
      </c>
      <c r="T44" s="177">
        <v>0.023</v>
      </c>
      <c r="U44" s="177">
        <v>0.056</v>
      </c>
      <c r="V44" s="176" t="s">
        <v>134</v>
      </c>
      <c r="W44" s="177">
        <v>0.026</v>
      </c>
      <c r="X44" s="177">
        <v>0.033</v>
      </c>
      <c r="Y44" s="177">
        <v>0.081</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0.222</v>
      </c>
      <c r="F45" s="177">
        <v>0.039</v>
      </c>
      <c r="G45" s="177">
        <v>0.1</v>
      </c>
      <c r="H45" s="177">
        <v>0.15</v>
      </c>
      <c r="I45" s="177">
        <v>0.086</v>
      </c>
      <c r="J45" s="177">
        <v>0.071</v>
      </c>
      <c r="K45" s="177">
        <v>0.091</v>
      </c>
      <c r="L45" s="177">
        <v>0.06</v>
      </c>
      <c r="M45" s="177">
        <v>0.097</v>
      </c>
      <c r="N45" s="177">
        <v>0.091</v>
      </c>
      <c r="O45" s="177">
        <v>0.05</v>
      </c>
      <c r="P45" s="177">
        <v>0.043</v>
      </c>
      <c r="Q45" s="177">
        <v>0.14</v>
      </c>
      <c r="R45" s="177">
        <v>0.107</v>
      </c>
      <c r="S45" s="176" t="s">
        <v>134</v>
      </c>
      <c r="T45" s="177">
        <v>0.03</v>
      </c>
      <c r="U45" s="177">
        <v>0.083</v>
      </c>
      <c r="V45" s="176" t="s">
        <v>134</v>
      </c>
      <c r="W45" s="177">
        <v>0.028</v>
      </c>
      <c r="X45" s="177">
        <v>0.076</v>
      </c>
      <c r="Y45" s="177">
        <v>0.149</v>
      </c>
      <c r="Z45" s="177">
        <v>0.047</v>
      </c>
      <c r="AA45" s="177">
        <v>0.138</v>
      </c>
      <c r="AB45" s="177">
        <v>0.043</v>
      </c>
      <c r="AC45" s="177">
        <v>0.072</v>
      </c>
      <c r="AD45" s="177">
        <v>0.072</v>
      </c>
      <c r="AE45" s="177">
        <v>0.043</v>
      </c>
      <c r="AF45" s="177">
        <v>0.027</v>
      </c>
      <c r="AG45" s="177">
        <v>0.026</v>
      </c>
      <c r="AH45" s="177">
        <v>0.058</v>
      </c>
      <c r="AI45" s="177">
        <v>0.071</v>
      </c>
      <c r="AJ45" s="177">
        <v>0.118</v>
      </c>
      <c r="AK45" s="177">
        <v>0.069</v>
      </c>
      <c r="AL45" s="177">
        <v>0.142</v>
      </c>
      <c r="AM45" s="177">
        <v>0.06</v>
      </c>
      <c r="AN45" s="177">
        <v>0.082</v>
      </c>
      <c r="AO45" s="177">
        <v>0.072</v>
      </c>
    </row>
    <row r="46">
      <c r="A46" s="180" t="s">
        <v>129</v>
      </c>
      <c r="B46" s="177">
        <v>0.042</v>
      </c>
      <c r="C46" s="177">
        <v>0.016</v>
      </c>
      <c r="D46" s="177">
        <v>0.071</v>
      </c>
      <c r="E46" s="177">
        <v>0.193</v>
      </c>
      <c r="F46" s="177">
        <v>0.041</v>
      </c>
      <c r="G46" s="177">
        <v>0.095</v>
      </c>
      <c r="H46" s="177">
        <v>0.142</v>
      </c>
      <c r="I46" s="177">
        <v>0.078</v>
      </c>
      <c r="J46" s="177">
        <v>0.063</v>
      </c>
      <c r="K46" s="177">
        <v>0.091</v>
      </c>
      <c r="L46" s="177">
        <v>0.085</v>
      </c>
      <c r="M46" s="177">
        <v>0.088</v>
      </c>
      <c r="N46" s="177">
        <v>0.085</v>
      </c>
      <c r="O46" s="177">
        <v>0.068</v>
      </c>
      <c r="P46" s="177">
        <v>0.037</v>
      </c>
      <c r="Q46" s="177">
        <v>0.134</v>
      </c>
      <c r="R46" s="177">
        <v>0.091</v>
      </c>
      <c r="S46" s="176" t="s">
        <v>134</v>
      </c>
      <c r="T46" s="177">
        <v>0.027</v>
      </c>
      <c r="U46" s="177">
        <v>0.069</v>
      </c>
      <c r="V46" s="176" t="s">
        <v>134</v>
      </c>
      <c r="W46" s="177">
        <v>0.033</v>
      </c>
      <c r="X46" s="177">
        <v>0.057</v>
      </c>
      <c r="Y46" s="177">
        <v>0.129</v>
      </c>
      <c r="Z46" s="177">
        <v>0.047</v>
      </c>
      <c r="AA46" s="177">
        <v>0.124</v>
      </c>
      <c r="AB46" s="177">
        <v>0.034</v>
      </c>
      <c r="AC46" s="177">
        <v>0.078</v>
      </c>
      <c r="AD46" s="177">
        <v>0.049</v>
      </c>
      <c r="AE46" s="177">
        <v>0.066</v>
      </c>
      <c r="AF46" s="177">
        <v>0.043</v>
      </c>
      <c r="AG46" s="177">
        <v>0.023</v>
      </c>
      <c r="AH46" s="177">
        <v>0.063</v>
      </c>
      <c r="AI46" s="177">
        <v>0.067</v>
      </c>
      <c r="AJ46" s="177">
        <v>0.113</v>
      </c>
      <c r="AK46" s="177">
        <v>0.056</v>
      </c>
      <c r="AL46" s="177">
        <v>0.127</v>
      </c>
      <c r="AM46" s="177">
        <v>0.043</v>
      </c>
      <c r="AN46" s="177">
        <v>0.078</v>
      </c>
      <c r="AO46" s="177">
        <v>0.073</v>
      </c>
    </row>
    <row r="47">
      <c r="A47" s="180" t="s">
        <v>130</v>
      </c>
      <c r="B47" s="177">
        <v>0.043</v>
      </c>
      <c r="C47" s="177">
        <v>0.022</v>
      </c>
      <c r="D47" s="177">
        <v>0.119</v>
      </c>
      <c r="E47" s="177">
        <v>0.191</v>
      </c>
      <c r="F47" s="177">
        <v>0.062</v>
      </c>
      <c r="G47" s="177">
        <v>0.127</v>
      </c>
      <c r="H47" s="177">
        <v>0.141</v>
      </c>
      <c r="I47" s="177">
        <v>0.084</v>
      </c>
      <c r="J47" s="177">
        <v>0.064</v>
      </c>
      <c r="K47" s="177">
        <v>0.086</v>
      </c>
      <c r="L47" s="177">
        <v>0.102</v>
      </c>
      <c r="M47" s="177">
        <v>0.105</v>
      </c>
      <c r="N47" s="177">
        <v>0.088</v>
      </c>
      <c r="O47" s="177">
        <v>0.068</v>
      </c>
      <c r="P47" s="177">
        <v>0.033</v>
      </c>
      <c r="Q47" s="177">
        <v>0.127</v>
      </c>
      <c r="R47" s="177">
        <v>0.119</v>
      </c>
      <c r="S47" s="179">
        <v>0.038</v>
      </c>
      <c r="T47" s="177">
        <v>0.047</v>
      </c>
      <c r="U47" s="177">
        <v>0.051</v>
      </c>
      <c r="V47" s="176" t="s">
        <v>134</v>
      </c>
      <c r="W47" s="177">
        <v>0.03</v>
      </c>
      <c r="X47" s="177">
        <v>0.066</v>
      </c>
      <c r="Y47" s="177">
        <v>0.123</v>
      </c>
      <c r="Z47" s="177">
        <v>0.1</v>
      </c>
      <c r="AA47" s="177">
        <v>0.128</v>
      </c>
      <c r="AB47" s="177">
        <v>0.047</v>
      </c>
      <c r="AC47" s="177">
        <v>0.073</v>
      </c>
      <c r="AD47" s="177">
        <v>0.056</v>
      </c>
      <c r="AE47" s="177">
        <v>0.08</v>
      </c>
      <c r="AF47" s="177">
        <v>0.066</v>
      </c>
      <c r="AG47" s="177">
        <v>0.015</v>
      </c>
      <c r="AH47" s="177">
        <v>0.081</v>
      </c>
      <c r="AI47" s="177">
        <v>0.049</v>
      </c>
      <c r="AJ47" s="177">
        <v>0.117</v>
      </c>
      <c r="AK47" s="177">
        <v>0.116</v>
      </c>
      <c r="AL47" s="177">
        <v>0.113</v>
      </c>
      <c r="AM47" s="177">
        <v>0.04</v>
      </c>
      <c r="AN47" s="177">
        <v>0.123</v>
      </c>
      <c r="AO47" s="177">
        <v>0.081</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250</v>
      </c>
      <c r="B1" s="182" t="s">
        <v>251</v>
      </c>
      <c r="C1" s="183" t="s">
        <v>149</v>
      </c>
      <c r="D1" s="183" t="s">
        <v>150</v>
      </c>
      <c r="E1" s="183" t="s">
        <v>151</v>
      </c>
      <c r="F1" s="183" t="s">
        <v>152</v>
      </c>
      <c r="G1" s="183" t="s">
        <v>25</v>
      </c>
      <c r="H1" s="183" t="s">
        <v>153</v>
      </c>
    </row>
    <row r="2" ht="14.25" customHeight="1">
      <c r="A2" s="184" t="s">
        <v>154</v>
      </c>
      <c r="B2" s="182" t="s">
        <v>199</v>
      </c>
      <c r="C2" s="185">
        <f>Municipality!B2</f>
        <v>318</v>
      </c>
      <c r="D2" s="185">
        <f>Municipality!C2</f>
        <v>1966</v>
      </c>
      <c r="E2" s="185">
        <f>Municipality!D2</f>
        <v>20</v>
      </c>
      <c r="F2" s="185">
        <f>Municipality!E2</f>
        <v>124</v>
      </c>
      <c r="G2" s="185" t="str">
        <f>Municipality!F2</f>
        <v>&lt;5</v>
      </c>
      <c r="H2" s="185" t="str">
        <f>Municipality!G2</f>
        <v>--</v>
      </c>
    </row>
    <row r="3" ht="14.25" customHeight="1">
      <c r="A3" s="184" t="s">
        <v>155</v>
      </c>
      <c r="B3" s="182" t="s">
        <v>200</v>
      </c>
      <c r="C3" s="185">
        <f>Municipality!B3</f>
        <v>721</v>
      </c>
      <c r="D3" s="185">
        <f>Municipality!C3</f>
        <v>3243</v>
      </c>
      <c r="E3" s="185">
        <f>Municipality!D3</f>
        <v>39</v>
      </c>
      <c r="F3" s="185">
        <f>Municipality!E3</f>
        <v>175</v>
      </c>
      <c r="G3" s="185">
        <f>Municipality!F3</f>
        <v>27</v>
      </c>
      <c r="H3" s="185">
        <f>Municipality!G3</f>
        <v>121</v>
      </c>
    </row>
    <row r="4" ht="14.25" customHeight="1">
      <c r="A4" s="184" t="s">
        <v>156</v>
      </c>
      <c r="B4" s="182" t="s">
        <v>201</v>
      </c>
      <c r="C4" s="185">
        <f>Municipality!B4</f>
        <v>449</v>
      </c>
      <c r="D4" s="185">
        <f>Municipality!C4</f>
        <v>2729</v>
      </c>
      <c r="E4" s="185">
        <f>Municipality!D4</f>
        <v>35</v>
      </c>
      <c r="F4" s="185">
        <f>Municipality!E4</f>
        <v>213</v>
      </c>
      <c r="G4" s="185">
        <f>Municipality!F4</f>
        <v>24</v>
      </c>
      <c r="H4" s="185">
        <f>Municipality!G4</f>
        <v>146</v>
      </c>
    </row>
    <row r="5" ht="14.25" customHeight="1">
      <c r="A5" s="184" t="s">
        <v>157</v>
      </c>
      <c r="B5" s="182" t="s">
        <v>202</v>
      </c>
      <c r="C5" s="185">
        <f>Municipality!B5</f>
        <v>2666</v>
      </c>
      <c r="D5" s="185">
        <f>Municipality!C5</f>
        <v>13755</v>
      </c>
      <c r="E5" s="185">
        <f>Municipality!D5</f>
        <v>138</v>
      </c>
      <c r="F5" s="185">
        <f>Municipality!E5</f>
        <v>712</v>
      </c>
      <c r="G5" s="185">
        <f>Municipality!F5</f>
        <v>17</v>
      </c>
      <c r="H5" s="185">
        <f>Municipality!G5</f>
        <v>88</v>
      </c>
    </row>
    <row r="6" ht="14.25" customHeight="1">
      <c r="A6" s="184" t="s">
        <v>158</v>
      </c>
      <c r="B6" s="182" t="s">
        <v>203</v>
      </c>
      <c r="C6" s="185">
        <f>Municipality!B6</f>
        <v>125</v>
      </c>
      <c r="D6" s="185">
        <f>Municipality!C6</f>
        <v>1607</v>
      </c>
      <c r="E6" s="185">
        <f>Municipality!D6</f>
        <v>7</v>
      </c>
      <c r="F6" s="185">
        <f>Municipality!E6</f>
        <v>90</v>
      </c>
      <c r="G6" s="185" t="str">
        <f>Municipality!F6</f>
        <v>&lt;5</v>
      </c>
      <c r="H6" s="185" t="str">
        <f>Municipality!G6</f>
        <v>--</v>
      </c>
    </row>
    <row r="7" ht="14.25" customHeight="1">
      <c r="A7" s="184" t="s">
        <v>159</v>
      </c>
      <c r="B7" s="182" t="s">
        <v>204</v>
      </c>
      <c r="C7" s="185">
        <f>Municipality!B7</f>
        <v>1186</v>
      </c>
      <c r="D7" s="185">
        <f>Municipality!C7</f>
        <v>3430</v>
      </c>
      <c r="E7" s="185">
        <f>Municipality!D7</f>
        <v>72</v>
      </c>
      <c r="F7" s="185">
        <f>Municipality!E7</f>
        <v>208</v>
      </c>
      <c r="G7" s="185">
        <f>Municipality!F7</f>
        <v>28</v>
      </c>
      <c r="H7" s="185">
        <f>Municipality!G7</f>
        <v>81</v>
      </c>
    </row>
    <row r="8" ht="14.25" customHeight="1">
      <c r="A8" s="184" t="s">
        <v>160</v>
      </c>
      <c r="B8" s="182" t="s">
        <v>205</v>
      </c>
      <c r="C8" s="185">
        <f>Municipality!B8</f>
        <v>4991</v>
      </c>
      <c r="D8" s="185">
        <f>Municipality!C8</f>
        <v>6147</v>
      </c>
      <c r="E8" s="185">
        <f>Municipality!D8</f>
        <v>315</v>
      </c>
      <c r="F8" s="185">
        <f>Municipality!E8</f>
        <v>388</v>
      </c>
      <c r="G8" s="185">
        <f>Municipality!F8</f>
        <v>39</v>
      </c>
      <c r="H8" s="185">
        <f>Municipality!G8</f>
        <v>48</v>
      </c>
    </row>
    <row r="9" ht="14.25" customHeight="1">
      <c r="A9" s="184" t="s">
        <v>161</v>
      </c>
      <c r="B9" s="182" t="s">
        <v>206</v>
      </c>
      <c r="C9" s="185">
        <f>Municipality!B9</f>
        <v>1239</v>
      </c>
      <c r="D9" s="185">
        <f>Municipality!C9</f>
        <v>3576</v>
      </c>
      <c r="E9" s="185">
        <f>Municipality!D9</f>
        <v>101</v>
      </c>
      <c r="F9" s="185">
        <f>Municipality!E9</f>
        <v>291</v>
      </c>
      <c r="G9" s="185">
        <f>Municipality!F9</f>
        <v>43</v>
      </c>
      <c r="H9" s="185">
        <f>Municipality!G9</f>
        <v>124</v>
      </c>
    </row>
    <row r="10" ht="14.25" customHeight="1">
      <c r="A10" s="184" t="s">
        <v>162</v>
      </c>
      <c r="B10" s="182" t="s">
        <v>207</v>
      </c>
      <c r="C10" s="185">
        <f>Municipality!B10</f>
        <v>511</v>
      </c>
      <c r="D10" s="185">
        <f>Municipality!C10</f>
        <v>3909</v>
      </c>
      <c r="E10" s="185">
        <f>Municipality!D10</f>
        <v>22</v>
      </c>
      <c r="F10" s="185">
        <f>Municipality!E10</f>
        <v>168</v>
      </c>
      <c r="G10" s="185" t="str">
        <f>Municipality!F10</f>
        <v>&lt;5</v>
      </c>
      <c r="H10" s="185" t="str">
        <f>Municipality!G10</f>
        <v>--</v>
      </c>
    </row>
    <row r="11" ht="14.25" customHeight="1">
      <c r="A11" s="184" t="s">
        <v>163</v>
      </c>
      <c r="B11" s="182" t="s">
        <v>208</v>
      </c>
      <c r="C11" s="185">
        <f>Municipality!B11</f>
        <v>1996</v>
      </c>
      <c r="D11" s="185">
        <f>Municipality!C11</f>
        <v>4207</v>
      </c>
      <c r="E11" s="185">
        <f>Municipality!D11</f>
        <v>165</v>
      </c>
      <c r="F11" s="185">
        <f>Municipality!E11</f>
        <v>348</v>
      </c>
      <c r="G11" s="185">
        <f>Municipality!F11</f>
        <v>121</v>
      </c>
      <c r="H11" s="185">
        <f>Municipality!G11</f>
        <v>255</v>
      </c>
    </row>
    <row r="12" ht="14.25" customHeight="1">
      <c r="A12" s="184" t="s">
        <v>164</v>
      </c>
      <c r="B12" s="182" t="s">
        <v>209</v>
      </c>
      <c r="C12" s="185">
        <f>Municipality!B12</f>
        <v>153</v>
      </c>
      <c r="D12" s="185">
        <f>Municipality!C12</f>
        <v>2256</v>
      </c>
      <c r="E12" s="185">
        <f>Municipality!D12</f>
        <v>10</v>
      </c>
      <c r="F12" s="185">
        <f>Municipality!E12</f>
        <v>147</v>
      </c>
      <c r="G12" s="185">
        <f>Municipality!F12</f>
        <v>5</v>
      </c>
      <c r="H12" s="185">
        <f>Municipality!G12</f>
        <v>74</v>
      </c>
    </row>
    <row r="13" ht="14.25" customHeight="1">
      <c r="A13" s="184" t="s">
        <v>165</v>
      </c>
      <c r="B13" s="182" t="s">
        <v>210</v>
      </c>
      <c r="C13" s="185">
        <f>Municipality!B13</f>
        <v>126</v>
      </c>
      <c r="D13" s="185">
        <f>Municipality!C13</f>
        <v>2687</v>
      </c>
      <c r="E13" s="185" t="str">
        <f>Municipality!D13</f>
        <v>&lt;5</v>
      </c>
      <c r="F13" s="185" t="str">
        <f>Municipality!E13</f>
        <v>--</v>
      </c>
      <c r="G13" s="185" t="str">
        <f>Municipality!F13</f>
        <v>&lt;5</v>
      </c>
      <c r="H13" s="185" t="str">
        <f>Municipality!G13</f>
        <v>--</v>
      </c>
    </row>
    <row r="14" ht="14.25" customHeight="1">
      <c r="A14" s="184" t="s">
        <v>166</v>
      </c>
      <c r="B14" s="182" t="s">
        <v>211</v>
      </c>
      <c r="C14" s="185">
        <f>Municipality!B14</f>
        <v>230</v>
      </c>
      <c r="D14" s="185">
        <f>Municipality!C14</f>
        <v>2286</v>
      </c>
      <c r="E14" s="185">
        <f>Municipality!D14</f>
        <v>16</v>
      </c>
      <c r="F14" s="185">
        <f>Municipality!E14</f>
        <v>159</v>
      </c>
      <c r="G14" s="185" t="str">
        <f>Municipality!F14</f>
        <v>&lt;5</v>
      </c>
      <c r="H14" s="185" t="str">
        <f>Municipality!G14</f>
        <v>--</v>
      </c>
    </row>
    <row r="15" ht="14.25" customHeight="1">
      <c r="A15" s="184" t="s">
        <v>167</v>
      </c>
      <c r="B15" s="182" t="s">
        <v>212</v>
      </c>
      <c r="C15" s="185">
        <f>Municipality!B15</f>
        <v>133</v>
      </c>
      <c r="D15" s="185">
        <f>Municipality!C15</f>
        <v>1640</v>
      </c>
      <c r="E15" s="185">
        <f>Municipality!D15</f>
        <v>8</v>
      </c>
      <c r="F15" s="185">
        <f>Municipality!E15</f>
        <v>99</v>
      </c>
      <c r="G15" s="185" t="str">
        <f>Municipality!F15</f>
        <v>&lt;5</v>
      </c>
      <c r="H15" s="185" t="str">
        <f>Municipality!G15</f>
        <v>--</v>
      </c>
    </row>
    <row r="16" ht="14.25" customHeight="1">
      <c r="A16" s="184" t="s">
        <v>168</v>
      </c>
      <c r="B16" s="182" t="s">
        <v>213</v>
      </c>
      <c r="C16" s="185">
        <f>Municipality!B16</f>
        <v>91</v>
      </c>
      <c r="D16" s="185">
        <f>Municipality!C16</f>
        <v>1656</v>
      </c>
      <c r="E16" s="185">
        <f>Municipality!D16</f>
        <v>6</v>
      </c>
      <c r="F16" s="185">
        <f>Municipality!E16</f>
        <v>109</v>
      </c>
      <c r="G16" s="185">
        <f>Municipality!F16</f>
        <v>0</v>
      </c>
      <c r="H16" s="185">
        <f>Municipality!G16</f>
        <v>0</v>
      </c>
    </row>
    <row r="17" ht="14.25" customHeight="1">
      <c r="A17" s="184" t="s">
        <v>169</v>
      </c>
      <c r="B17" s="182" t="s">
        <v>214</v>
      </c>
      <c r="C17" s="185">
        <f>Municipality!B17</f>
        <v>1814</v>
      </c>
      <c r="D17" s="185">
        <f>Municipality!C17</f>
        <v>6205</v>
      </c>
      <c r="E17" s="185">
        <f>Municipality!D17</f>
        <v>128</v>
      </c>
      <c r="F17" s="185">
        <f>Municipality!E17</f>
        <v>438</v>
      </c>
      <c r="G17" s="185">
        <f>Municipality!F17</f>
        <v>101</v>
      </c>
      <c r="H17" s="185">
        <f>Municipality!G17</f>
        <v>345</v>
      </c>
    </row>
    <row r="18" ht="14.25" customHeight="1">
      <c r="A18" s="184" t="s">
        <v>170</v>
      </c>
      <c r="B18" s="182" t="s">
        <v>215</v>
      </c>
      <c r="C18" s="185">
        <f>Municipality!B18</f>
        <v>910</v>
      </c>
      <c r="D18" s="185">
        <f>Municipality!C18</f>
        <v>4204</v>
      </c>
      <c r="E18" s="185">
        <f>Municipality!D18</f>
        <v>67</v>
      </c>
      <c r="F18" s="185">
        <f>Municipality!E18</f>
        <v>310</v>
      </c>
      <c r="G18" s="185">
        <f>Municipality!F18</f>
        <v>40</v>
      </c>
      <c r="H18" s="185">
        <f>Municipality!G18</f>
        <v>185</v>
      </c>
    </row>
    <row r="19" ht="14.25" customHeight="1">
      <c r="A19" s="184" t="s">
        <v>171</v>
      </c>
      <c r="B19" s="182" t="s">
        <v>216</v>
      </c>
      <c r="C19" s="185">
        <f>Municipality!B19</f>
        <v>41</v>
      </c>
      <c r="D19" s="185">
        <f>Municipality!C19</f>
        <v>1170</v>
      </c>
      <c r="E19" s="185" t="str">
        <f>Municipality!D19</f>
        <v>&lt;5</v>
      </c>
      <c r="F19" s="185" t="str">
        <f>Municipality!E19</f>
        <v>--</v>
      </c>
      <c r="G19" s="185" t="str">
        <f>Municipality!F19</f>
        <v>&lt;5</v>
      </c>
      <c r="H19" s="185" t="str">
        <f>Municipality!G19</f>
        <v>--</v>
      </c>
    </row>
    <row r="20" ht="14.25" customHeight="1">
      <c r="A20" s="184" t="s">
        <v>172</v>
      </c>
      <c r="B20" s="182" t="s">
        <v>217</v>
      </c>
      <c r="C20" s="185">
        <f>Municipality!B20</f>
        <v>228</v>
      </c>
      <c r="D20" s="185">
        <f>Municipality!C20</f>
        <v>1418</v>
      </c>
      <c r="E20" s="185">
        <f>Municipality!D20</f>
        <v>13</v>
      </c>
      <c r="F20" s="185">
        <f>Municipality!E20</f>
        <v>81</v>
      </c>
      <c r="G20" s="185" t="str">
        <f>Municipality!F20</f>
        <v>&lt;5</v>
      </c>
      <c r="H20" s="185" t="str">
        <f>Municipality!G20</f>
        <v>--</v>
      </c>
    </row>
    <row r="21" ht="14.25" customHeight="1">
      <c r="A21" s="184" t="s">
        <v>173</v>
      </c>
      <c r="B21" s="182" t="s">
        <v>218</v>
      </c>
      <c r="C21" s="185">
        <f>Municipality!B21</f>
        <v>531</v>
      </c>
      <c r="D21" s="185">
        <f>Municipality!C21</f>
        <v>3415</v>
      </c>
      <c r="E21" s="185">
        <f>Municipality!D21</f>
        <v>15</v>
      </c>
      <c r="F21" s="185">
        <f>Municipality!E21</f>
        <v>96</v>
      </c>
      <c r="G21" s="185" t="str">
        <f>Municipality!F21</f>
        <v>&lt;5</v>
      </c>
      <c r="H21" s="185" t="str">
        <f>Municipality!G21</f>
        <v>--</v>
      </c>
    </row>
    <row r="22" ht="14.25" customHeight="1">
      <c r="A22" s="184" t="s">
        <v>174</v>
      </c>
      <c r="B22" s="182" t="s">
        <v>219</v>
      </c>
      <c r="C22" s="185">
        <f>Municipality!B22</f>
        <v>18</v>
      </c>
      <c r="D22" s="185">
        <f>Municipality!C22</f>
        <v>2177</v>
      </c>
      <c r="E22" s="185">
        <f>Municipality!D22</f>
        <v>0</v>
      </c>
      <c r="F22" s="185">
        <f>Municipality!E22</f>
        <v>0</v>
      </c>
      <c r="G22" s="185">
        <f>Municipality!F22</f>
        <v>0</v>
      </c>
      <c r="H22" s="185">
        <f>Municipality!G22</f>
        <v>0</v>
      </c>
    </row>
    <row r="23" ht="14.25" customHeight="1">
      <c r="A23" s="184" t="s">
        <v>175</v>
      </c>
      <c r="B23" s="182" t="s">
        <v>220</v>
      </c>
      <c r="C23" s="185">
        <f>Municipality!B23</f>
        <v>429</v>
      </c>
      <c r="D23" s="185">
        <f>Municipality!C23</f>
        <v>1732</v>
      </c>
      <c r="E23" s="185">
        <f>Municipality!D23</f>
        <v>29</v>
      </c>
      <c r="F23" s="185">
        <f>Municipality!E23</f>
        <v>117</v>
      </c>
      <c r="G23" s="185" t="str">
        <f>Municipality!F23</f>
        <v>&lt;5</v>
      </c>
      <c r="H23" s="185" t="str">
        <f>Municipality!G23</f>
        <v>--</v>
      </c>
    </row>
    <row r="24" ht="14.25" customHeight="1">
      <c r="A24" s="184" t="s">
        <v>176</v>
      </c>
      <c r="B24" s="182" t="s">
        <v>221</v>
      </c>
      <c r="C24" s="185">
        <f>Municipality!B24</f>
        <v>835</v>
      </c>
      <c r="D24" s="185">
        <f>Municipality!C24</f>
        <v>3186</v>
      </c>
      <c r="E24" s="185">
        <f>Municipality!D24</f>
        <v>59</v>
      </c>
      <c r="F24" s="185">
        <f>Municipality!E24</f>
        <v>225</v>
      </c>
      <c r="G24" s="185">
        <f>Municipality!F24</f>
        <v>60</v>
      </c>
      <c r="H24" s="185">
        <f>Municipality!G24</f>
        <v>229</v>
      </c>
    </row>
    <row r="25" ht="15.75" customHeight="1">
      <c r="A25" s="184" t="s">
        <v>177</v>
      </c>
      <c r="B25" s="182" t="s">
        <v>222</v>
      </c>
      <c r="C25" s="185">
        <f>Municipality!B25</f>
        <v>2100</v>
      </c>
      <c r="D25" s="185">
        <f>Municipality!C25</f>
        <v>6470</v>
      </c>
      <c r="E25" s="185">
        <f>Municipality!D25</f>
        <v>185</v>
      </c>
      <c r="F25" s="185">
        <f>Municipality!E25</f>
        <v>570</v>
      </c>
      <c r="G25" s="185">
        <f>Municipality!F25</f>
        <v>87</v>
      </c>
      <c r="H25" s="185">
        <f>Municipality!G25</f>
        <v>268</v>
      </c>
    </row>
    <row r="26" ht="14.25" customHeight="1">
      <c r="A26" s="184" t="s">
        <v>178</v>
      </c>
      <c r="B26" s="182" t="s">
        <v>223</v>
      </c>
      <c r="C26" s="185">
        <f>Municipality!B26</f>
        <v>401</v>
      </c>
      <c r="D26" s="185">
        <f>Municipality!C26</f>
        <v>3247</v>
      </c>
      <c r="E26" s="185">
        <f>Municipality!D26</f>
        <v>34</v>
      </c>
      <c r="F26" s="185">
        <f>Municipality!E26</f>
        <v>275</v>
      </c>
      <c r="G26" s="185">
        <f>Municipality!F26</f>
        <v>33</v>
      </c>
      <c r="H26" s="185">
        <f>Municipality!G26</f>
        <v>267</v>
      </c>
    </row>
    <row r="27" ht="14.25" customHeight="1">
      <c r="A27" s="184" t="s">
        <v>179</v>
      </c>
      <c r="B27" s="182" t="s">
        <v>224</v>
      </c>
      <c r="C27" s="185">
        <f>Municipality!B27</f>
        <v>5049</v>
      </c>
      <c r="D27" s="185">
        <f>Municipality!C27</f>
        <v>7036</v>
      </c>
      <c r="E27" s="185">
        <f>Municipality!D27</f>
        <v>340</v>
      </c>
      <c r="F27" s="185">
        <f>Municipality!E27</f>
        <v>474</v>
      </c>
      <c r="G27" s="185">
        <f>Municipality!F27</f>
        <v>62</v>
      </c>
      <c r="H27" s="185">
        <f>Municipality!G27</f>
        <v>86</v>
      </c>
    </row>
    <row r="28" ht="14.25" customHeight="1">
      <c r="A28" s="184" t="s">
        <v>180</v>
      </c>
      <c r="B28" s="182" t="s">
        <v>225</v>
      </c>
      <c r="C28" s="185">
        <f>Municipality!B28</f>
        <v>244</v>
      </c>
      <c r="D28" s="185">
        <f>Municipality!C28</f>
        <v>1401</v>
      </c>
      <c r="E28" s="185" t="str">
        <f>Municipality!D28</f>
        <v>&lt;5</v>
      </c>
      <c r="F28" s="185" t="str">
        <f>Municipality!E28</f>
        <v>--</v>
      </c>
      <c r="G28" s="185">
        <f>Municipality!F28</f>
        <v>0</v>
      </c>
      <c r="H28" s="185">
        <f>Municipality!G28</f>
        <v>0</v>
      </c>
    </row>
    <row r="29" ht="14.25" customHeight="1">
      <c r="A29" s="184" t="s">
        <v>181</v>
      </c>
      <c r="B29" s="182" t="s">
        <v>226</v>
      </c>
      <c r="C29" s="185">
        <f>Municipality!B29</f>
        <v>15384</v>
      </c>
      <c r="D29" s="185">
        <f>Municipality!C29</f>
        <v>8574</v>
      </c>
      <c r="E29" s="185">
        <f>Municipality!D29</f>
        <v>1250</v>
      </c>
      <c r="F29" s="185">
        <f>Municipality!E29</f>
        <v>697</v>
      </c>
      <c r="G29" s="185">
        <f>Municipality!F29</f>
        <v>337</v>
      </c>
      <c r="H29" s="185">
        <f>Municipality!G29</f>
        <v>188</v>
      </c>
    </row>
    <row r="30" ht="14.25" customHeight="1">
      <c r="A30" s="184" t="s">
        <v>182</v>
      </c>
      <c r="B30" s="182" t="s">
        <v>227</v>
      </c>
      <c r="C30" s="185">
        <f>Municipality!B30</f>
        <v>99</v>
      </c>
      <c r="D30" s="185">
        <f>Municipality!C30</f>
        <v>1298</v>
      </c>
      <c r="E30" s="185">
        <f>Municipality!D30</f>
        <v>9</v>
      </c>
      <c r="F30" s="185">
        <f>Municipality!E30</f>
        <v>118</v>
      </c>
      <c r="G30" s="185">
        <f>Municipality!F30</f>
        <v>0</v>
      </c>
      <c r="H30" s="185">
        <f>Municipality!G30</f>
        <v>0</v>
      </c>
    </row>
    <row r="31" ht="14.25" customHeight="1">
      <c r="A31" s="184" t="s">
        <v>183</v>
      </c>
      <c r="B31" s="182" t="s">
        <v>228</v>
      </c>
      <c r="C31" s="185">
        <f>Municipality!B31</f>
        <v>250</v>
      </c>
      <c r="D31" s="185">
        <f>Municipality!C31</f>
        <v>2358</v>
      </c>
      <c r="E31" s="185">
        <f>Municipality!D31</f>
        <v>9</v>
      </c>
      <c r="F31" s="185">
        <f>Municipality!E31</f>
        <v>85</v>
      </c>
      <c r="G31" s="185" t="str">
        <f>Municipality!F31</f>
        <v>&lt;5</v>
      </c>
      <c r="H31" s="185" t="str">
        <f>Municipality!G31</f>
        <v>--</v>
      </c>
    </row>
    <row r="32" ht="14.25" customHeight="1">
      <c r="A32" s="184" t="s">
        <v>184</v>
      </c>
      <c r="B32" s="182" t="s">
        <v>229</v>
      </c>
      <c r="C32" s="185">
        <f>Municipality!B32</f>
        <v>930</v>
      </c>
      <c r="D32" s="185">
        <f>Municipality!C32</f>
        <v>4300</v>
      </c>
      <c r="E32" s="185">
        <f>Municipality!D32</f>
        <v>92</v>
      </c>
      <c r="F32" s="185">
        <f>Municipality!E32</f>
        <v>425</v>
      </c>
      <c r="G32" s="185">
        <f>Municipality!F32</f>
        <v>59</v>
      </c>
      <c r="H32" s="185">
        <f>Municipality!G32</f>
        <v>273</v>
      </c>
    </row>
    <row r="33" ht="14.25" customHeight="1">
      <c r="A33" s="184" t="s">
        <v>185</v>
      </c>
      <c r="B33" s="182" t="s">
        <v>230</v>
      </c>
      <c r="C33" s="185">
        <f>Municipality!B33</f>
        <v>357</v>
      </c>
      <c r="D33" s="185">
        <f>Municipality!C33</f>
        <v>1162</v>
      </c>
      <c r="E33" s="185">
        <f>Municipality!D33</f>
        <v>22</v>
      </c>
      <c r="F33" s="185">
        <f>Municipality!E33</f>
        <v>72</v>
      </c>
      <c r="G33" s="185">
        <f>Municipality!F33</f>
        <v>21</v>
      </c>
      <c r="H33" s="185">
        <f>Municipality!G33</f>
        <v>68</v>
      </c>
    </row>
    <row r="34" ht="14.25" customHeight="1">
      <c r="A34" s="184" t="s">
        <v>186</v>
      </c>
      <c r="B34" s="182" t="s">
        <v>231</v>
      </c>
      <c r="C34" s="185">
        <f>Municipality!B34</f>
        <v>347</v>
      </c>
      <c r="D34" s="185">
        <f>Municipality!C34</f>
        <v>2194</v>
      </c>
      <c r="E34" s="185" t="str">
        <f>Municipality!D34</f>
        <v>&lt;5</v>
      </c>
      <c r="F34" s="185" t="str">
        <f>Municipality!E34</f>
        <v>--</v>
      </c>
      <c r="G34" s="185">
        <f>Municipality!F34</f>
        <v>5</v>
      </c>
      <c r="H34" s="185">
        <f>Municipality!G34</f>
        <v>32</v>
      </c>
    </row>
    <row r="35" ht="14.25" customHeight="1">
      <c r="A35" s="184" t="s">
        <v>187</v>
      </c>
      <c r="B35" s="182" t="s">
        <v>232</v>
      </c>
      <c r="C35" s="185">
        <f>Municipality!B35</f>
        <v>330</v>
      </c>
      <c r="D35" s="185">
        <f>Municipality!C35</f>
        <v>3146</v>
      </c>
      <c r="E35" s="185">
        <f>Municipality!D35</f>
        <v>32</v>
      </c>
      <c r="F35" s="185">
        <f>Municipality!E35</f>
        <v>305</v>
      </c>
      <c r="G35" s="185">
        <f>Municipality!F35</f>
        <v>16</v>
      </c>
      <c r="H35" s="185">
        <f>Municipality!G35</f>
        <v>153</v>
      </c>
    </row>
    <row r="36" ht="14.25" customHeight="1">
      <c r="A36" s="184" t="s">
        <v>188</v>
      </c>
      <c r="B36" s="182" t="s">
        <v>233</v>
      </c>
      <c r="C36" s="185">
        <f>Municipality!B36</f>
        <v>3046</v>
      </c>
      <c r="D36" s="185">
        <f>Municipality!C36</f>
        <v>3757</v>
      </c>
      <c r="E36" s="185">
        <f>Municipality!D36</f>
        <v>183</v>
      </c>
      <c r="F36" s="185">
        <f>Municipality!E36</f>
        <v>226</v>
      </c>
      <c r="G36" s="185">
        <f>Municipality!F36</f>
        <v>93</v>
      </c>
      <c r="H36" s="185">
        <f>Municipality!G36</f>
        <v>115</v>
      </c>
    </row>
    <row r="37" ht="14.25" customHeight="1">
      <c r="A37" s="184" t="s">
        <v>189</v>
      </c>
      <c r="B37" s="182" t="s">
        <v>234</v>
      </c>
      <c r="C37" s="185">
        <f>Municipality!B37</f>
        <v>156</v>
      </c>
      <c r="D37" s="185">
        <f>Municipality!C37</f>
        <v>2525</v>
      </c>
      <c r="E37" s="185">
        <f>Municipality!D37</f>
        <v>6</v>
      </c>
      <c r="F37" s="185">
        <f>Municipality!E37</f>
        <v>97</v>
      </c>
      <c r="G37" s="185">
        <f>Municipality!F37</f>
        <v>0</v>
      </c>
      <c r="H37" s="185">
        <f>Municipality!G37</f>
        <v>0</v>
      </c>
    </row>
    <row r="38" ht="14.25" customHeight="1">
      <c r="A38" s="184" t="s">
        <v>190</v>
      </c>
      <c r="B38" s="182" t="s">
        <v>235</v>
      </c>
      <c r="C38" s="185">
        <f>Municipality!B38</f>
        <v>1210</v>
      </c>
      <c r="D38" s="185">
        <f>Municipality!C38</f>
        <v>4179</v>
      </c>
      <c r="E38" s="185">
        <f>Municipality!D38</f>
        <v>75</v>
      </c>
      <c r="F38" s="185">
        <f>Municipality!E38</f>
        <v>259</v>
      </c>
      <c r="G38" s="185">
        <f>Municipality!F38</f>
        <v>23</v>
      </c>
      <c r="H38" s="185">
        <f>Municipality!G38</f>
        <v>79</v>
      </c>
    </row>
    <row r="39" ht="14.25" customHeight="1">
      <c r="A39" s="184" t="s">
        <v>191</v>
      </c>
      <c r="B39" s="182" t="s">
        <v>236</v>
      </c>
      <c r="C39" s="185">
        <f>Municipality!B39</f>
        <v>390</v>
      </c>
      <c r="D39" s="185">
        <f>Municipality!C39</f>
        <v>1724</v>
      </c>
      <c r="E39" s="185">
        <f>Municipality!D39</f>
        <v>22</v>
      </c>
      <c r="F39" s="185">
        <f>Municipality!E39</f>
        <v>97</v>
      </c>
      <c r="G39" s="185" t="str">
        <f>Municipality!F39</f>
        <v>&lt;5</v>
      </c>
      <c r="H39" s="185" t="str">
        <f>Municipality!G39</f>
        <v>--</v>
      </c>
    </row>
    <row r="40" ht="14.25" customHeight="1">
      <c r="A40" s="184" t="s">
        <v>192</v>
      </c>
      <c r="B40" s="182" t="s">
        <v>237</v>
      </c>
      <c r="C40" s="185">
        <f>Municipality!B40</f>
        <v>1671</v>
      </c>
      <c r="D40" s="185">
        <f>Municipality!C40</f>
        <v>4023</v>
      </c>
      <c r="E40" s="185">
        <f>Municipality!D40</f>
        <v>166</v>
      </c>
      <c r="F40" s="185">
        <f>Municipality!E40</f>
        <v>400</v>
      </c>
      <c r="G40" s="185">
        <f>Municipality!F40</f>
        <v>93</v>
      </c>
      <c r="H40" s="185">
        <f>Municipality!G40</f>
        <v>224</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252</v>
      </c>
      <c r="B1" s="187" t="s">
        <v>253</v>
      </c>
      <c r="C1" s="126" t="s">
        <v>150</v>
      </c>
    </row>
    <row r="2" ht="14.25" customHeight="1">
      <c r="A2" s="188" t="s">
        <v>254</v>
      </c>
      <c r="B2" s="189">
        <v>20.0</v>
      </c>
      <c r="C2" s="190">
        <v>2981.0</v>
      </c>
    </row>
    <row r="3" ht="14.25" customHeight="1">
      <c r="A3" s="191" t="s">
        <v>255</v>
      </c>
      <c r="B3" s="192">
        <v>45.0</v>
      </c>
      <c r="C3" s="193">
        <v>2246.0</v>
      </c>
    </row>
    <row r="4" ht="14.25" customHeight="1">
      <c r="A4" s="191" t="s">
        <v>256</v>
      </c>
      <c r="B4" s="192">
        <v>313.0</v>
      </c>
      <c r="C4" s="193">
        <v>1933.0</v>
      </c>
    </row>
    <row r="5" ht="14.25" customHeight="1">
      <c r="A5" s="191" t="s">
        <v>257</v>
      </c>
      <c r="B5" s="192">
        <v>19.0</v>
      </c>
      <c r="C5" s="193">
        <v>2297.0</v>
      </c>
    </row>
    <row r="6" ht="14.25" customHeight="1">
      <c r="A6" s="191" t="s">
        <v>258</v>
      </c>
      <c r="B6" s="192">
        <v>34.0</v>
      </c>
      <c r="C6" s="193">
        <v>1326.0</v>
      </c>
    </row>
    <row r="7" ht="14.25" customHeight="1">
      <c r="A7" s="191" t="s">
        <v>259</v>
      </c>
      <c r="B7" s="192">
        <v>711.0</v>
      </c>
      <c r="C7" s="193">
        <v>3194.0</v>
      </c>
    </row>
    <row r="8" ht="14.25" customHeight="1">
      <c r="A8" s="191" t="s">
        <v>260</v>
      </c>
      <c r="B8" s="192">
        <v>27.0</v>
      </c>
      <c r="C8" s="193">
        <v>2235.0</v>
      </c>
    </row>
    <row r="9" ht="14.25" customHeight="1">
      <c r="A9" s="191" t="s">
        <v>261</v>
      </c>
      <c r="B9" s="192">
        <v>126.0</v>
      </c>
      <c r="C9" s="193">
        <v>1620.0</v>
      </c>
    </row>
    <row r="10" ht="14.25" customHeight="1">
      <c r="A10" s="191" t="s">
        <v>262</v>
      </c>
      <c r="B10" s="192">
        <v>205.0</v>
      </c>
      <c r="C10" s="193">
        <v>2672.0</v>
      </c>
    </row>
    <row r="11" ht="14.25" customHeight="1">
      <c r="A11" s="191" t="s">
        <v>263</v>
      </c>
      <c r="B11" s="192">
        <v>0.0</v>
      </c>
      <c r="C11" s="193">
        <v>0.0</v>
      </c>
    </row>
    <row r="12" ht="14.25" customHeight="1">
      <c r="A12" s="191" t="s">
        <v>264</v>
      </c>
      <c r="B12" s="192">
        <v>1089.0</v>
      </c>
      <c r="C12" s="193">
        <v>3318.0</v>
      </c>
    </row>
    <row r="13" ht="14.25" customHeight="1">
      <c r="A13" s="191" t="s">
        <v>265</v>
      </c>
      <c r="B13" s="192">
        <v>156.0</v>
      </c>
      <c r="C13" s="193">
        <v>2586.0</v>
      </c>
    </row>
    <row r="14" ht="14.25" customHeight="1">
      <c r="A14" s="191" t="s">
        <v>266</v>
      </c>
      <c r="B14" s="192">
        <v>513.0</v>
      </c>
      <c r="C14" s="193">
        <v>2820.0</v>
      </c>
    </row>
    <row r="15" ht="14.25" customHeight="1">
      <c r="A15" s="191" t="s">
        <v>267</v>
      </c>
      <c r="B15" s="192">
        <v>145.0</v>
      </c>
      <c r="C15" s="193">
        <v>2203.0</v>
      </c>
    </row>
    <row r="16" ht="14.25" customHeight="1">
      <c r="A16" s="191" t="s">
        <v>268</v>
      </c>
      <c r="B16" s="192">
        <v>128.0</v>
      </c>
      <c r="C16" s="193">
        <v>2327.0</v>
      </c>
    </row>
    <row r="17" ht="14.25" customHeight="1">
      <c r="A17" s="191" t="s">
        <v>269</v>
      </c>
      <c r="B17" s="192">
        <v>19.0</v>
      </c>
      <c r="C17" s="193">
        <v>3792.0</v>
      </c>
    </row>
    <row r="18" ht="14.25" customHeight="1">
      <c r="A18" s="191" t="s">
        <v>270</v>
      </c>
      <c r="B18" s="192">
        <v>70.0</v>
      </c>
      <c r="C18" s="193">
        <v>3398.0</v>
      </c>
    </row>
    <row r="19" ht="14.25" customHeight="1">
      <c r="A19" s="191" t="s">
        <v>271</v>
      </c>
      <c r="B19" s="192">
        <v>427.0</v>
      </c>
      <c r="C19" s="193">
        <v>5430.0</v>
      </c>
    </row>
    <row r="20" ht="14.25" customHeight="1">
      <c r="A20" s="191" t="s">
        <v>272</v>
      </c>
      <c r="B20" s="192">
        <v>127.0</v>
      </c>
      <c r="C20" s="193">
        <v>2140.0</v>
      </c>
    </row>
    <row r="21" ht="14.25" customHeight="1">
      <c r="A21" s="191" t="s">
        <v>273</v>
      </c>
      <c r="B21" s="192">
        <v>163.0</v>
      </c>
      <c r="C21" s="193">
        <v>4656.0</v>
      </c>
    </row>
    <row r="22" ht="14.25" customHeight="1">
      <c r="A22" s="191" t="s">
        <v>274</v>
      </c>
      <c r="B22" s="192">
        <v>68.0</v>
      </c>
      <c r="C22" s="193">
        <v>1574.0</v>
      </c>
    </row>
    <row r="23" ht="14.25" customHeight="1">
      <c r="A23" s="191" t="s">
        <v>275</v>
      </c>
      <c r="B23" s="192">
        <v>15.0</v>
      </c>
      <c r="C23" s="193">
        <v>1311.0</v>
      </c>
    </row>
    <row r="24" ht="14.25" customHeight="1">
      <c r="A24" s="191" t="s">
        <v>276</v>
      </c>
      <c r="B24" s="192">
        <v>89.0</v>
      </c>
      <c r="C24" s="193">
        <v>1619.0</v>
      </c>
    </row>
    <row r="25" ht="14.25" customHeight="1">
      <c r="A25" s="191" t="s">
        <v>277</v>
      </c>
      <c r="B25" s="194">
        <v>0.0</v>
      </c>
      <c r="C25" s="193">
        <v>0.0</v>
      </c>
    </row>
    <row r="26" ht="14.25" customHeight="1">
      <c r="A26" s="191" t="s">
        <v>278</v>
      </c>
      <c r="B26" s="192">
        <v>40.0</v>
      </c>
      <c r="C26" s="193">
        <v>1141.0</v>
      </c>
    </row>
    <row r="27" ht="14.25" customHeight="1">
      <c r="A27" s="191" t="s">
        <v>279</v>
      </c>
      <c r="B27" s="192">
        <v>201.0</v>
      </c>
      <c r="C27" s="193">
        <v>5712.0</v>
      </c>
    </row>
    <row r="28" ht="14.25" customHeight="1">
      <c r="A28" s="191" t="s">
        <v>280</v>
      </c>
      <c r="B28" s="192">
        <v>48.0</v>
      </c>
      <c r="C28" s="193">
        <v>2328.0</v>
      </c>
    </row>
    <row r="29" ht="14.25" customHeight="1">
      <c r="A29" s="191" t="s">
        <v>281</v>
      </c>
      <c r="B29" s="192">
        <v>399.0</v>
      </c>
      <c r="C29" s="193">
        <v>1719.0</v>
      </c>
    </row>
    <row r="30" ht="14.25" customHeight="1">
      <c r="A30" s="191" t="s">
        <v>282</v>
      </c>
      <c r="B30" s="192">
        <v>18.0</v>
      </c>
      <c r="C30" s="193">
        <v>1103.0</v>
      </c>
    </row>
    <row r="31" ht="14.25" customHeight="1">
      <c r="A31" s="191" t="s">
        <v>283</v>
      </c>
      <c r="B31" s="192">
        <v>224.0</v>
      </c>
      <c r="C31" s="193">
        <v>1400.0</v>
      </c>
    </row>
    <row r="32" ht="14.25" customHeight="1">
      <c r="A32" s="191" t="s">
        <v>284</v>
      </c>
      <c r="B32" s="192">
        <v>825.0</v>
      </c>
      <c r="C32" s="193">
        <v>3745.0</v>
      </c>
    </row>
    <row r="33" ht="14.25" customHeight="1">
      <c r="A33" s="191" t="s">
        <v>285</v>
      </c>
      <c r="B33" s="192">
        <v>212.0</v>
      </c>
      <c r="C33" s="193">
        <v>2428.0</v>
      </c>
    </row>
    <row r="34" ht="14.25" customHeight="1">
      <c r="A34" s="191" t="s">
        <v>286</v>
      </c>
      <c r="B34" s="194">
        <v>15.0</v>
      </c>
      <c r="C34" s="193">
        <v>2060.0</v>
      </c>
    </row>
    <row r="35" ht="14.25" customHeight="1">
      <c r="A35" s="191" t="s">
        <v>287</v>
      </c>
      <c r="B35" s="192">
        <v>243.0</v>
      </c>
      <c r="C35" s="193">
        <v>3362.0</v>
      </c>
    </row>
    <row r="36" ht="14.25" customHeight="1">
      <c r="A36" s="191" t="s">
        <v>288</v>
      </c>
      <c r="B36" s="192">
        <v>3619.0</v>
      </c>
      <c r="C36" s="193">
        <v>7679.0</v>
      </c>
    </row>
    <row r="37" ht="14.25" customHeight="1">
      <c r="A37" s="191" t="s">
        <v>289</v>
      </c>
      <c r="B37" s="192">
        <v>1381.0</v>
      </c>
      <c r="C37" s="193">
        <v>5514.0</v>
      </c>
    </row>
    <row r="38" ht="14.25" customHeight="1">
      <c r="A38" s="191" t="s">
        <v>290</v>
      </c>
      <c r="B38" s="192">
        <v>2643.0</v>
      </c>
      <c r="C38" s="193">
        <v>13662.0</v>
      </c>
    </row>
    <row r="39" ht="14.25" customHeight="1">
      <c r="A39" s="191" t="s">
        <v>291</v>
      </c>
      <c r="B39" s="192">
        <v>1219.0</v>
      </c>
      <c r="C39" s="193">
        <v>3521.0</v>
      </c>
    </row>
    <row r="40" ht="14.25" customHeight="1">
      <c r="A40" s="191" t="s">
        <v>292</v>
      </c>
      <c r="B40" s="192">
        <v>688.0</v>
      </c>
      <c r="C40" s="193">
        <v>3943.0</v>
      </c>
    </row>
    <row r="41" ht="14.25" customHeight="1">
      <c r="A41" s="191" t="s">
        <v>293</v>
      </c>
      <c r="B41" s="192">
        <v>241.0</v>
      </c>
      <c r="C41" s="193">
        <v>1406.0</v>
      </c>
    </row>
    <row r="42" ht="14.25" customHeight="1">
      <c r="A42" s="191" t="s">
        <v>294</v>
      </c>
      <c r="B42" s="192">
        <v>0.0</v>
      </c>
      <c r="C42" s="193">
        <v>0.0</v>
      </c>
    </row>
    <row r="43" ht="14.25" customHeight="1">
      <c r="A43" s="191" t="s">
        <v>295</v>
      </c>
      <c r="B43" s="192">
        <v>5.0</v>
      </c>
      <c r="C43" s="193">
        <v>2632.0</v>
      </c>
    </row>
    <row r="44" ht="14.25" customHeight="1">
      <c r="A44" s="191" t="s">
        <v>296</v>
      </c>
      <c r="B44" s="192">
        <v>130.0</v>
      </c>
      <c r="C44" s="193">
        <v>2181.0</v>
      </c>
    </row>
    <row r="45" ht="14.25" customHeight="1">
      <c r="A45" s="191" t="s">
        <v>297</v>
      </c>
      <c r="B45" s="192">
        <v>7.0</v>
      </c>
      <c r="C45" s="193">
        <v>1282.0</v>
      </c>
    </row>
    <row r="46" ht="14.25" customHeight="1">
      <c r="A46" s="191" t="s">
        <v>298</v>
      </c>
      <c r="B46" s="192">
        <v>14.0</v>
      </c>
      <c r="C46" s="193">
        <v>4811.0</v>
      </c>
    </row>
    <row r="47" ht="14.25" customHeight="1">
      <c r="A47" s="191" t="s">
        <v>299</v>
      </c>
      <c r="B47" s="192">
        <v>343.0</v>
      </c>
      <c r="C47" s="193">
        <v>2169.0</v>
      </c>
    </row>
    <row r="48" ht="14.25" customHeight="1">
      <c r="A48" s="191" t="s">
        <v>300</v>
      </c>
      <c r="B48" s="192">
        <v>394.0</v>
      </c>
      <c r="C48" s="193">
        <v>1920.0</v>
      </c>
    </row>
    <row r="49" ht="14.25" customHeight="1">
      <c r="A49" s="191" t="s">
        <v>301</v>
      </c>
      <c r="B49" s="192">
        <v>157.0</v>
      </c>
      <c r="C49" s="193">
        <v>2004.0</v>
      </c>
    </row>
    <row r="50" ht="14.25" customHeight="1">
      <c r="A50" s="191" t="s">
        <v>302</v>
      </c>
      <c r="B50" s="192">
        <v>504.0</v>
      </c>
      <c r="C50" s="193">
        <v>3613.0</v>
      </c>
    </row>
    <row r="51" ht="14.25" customHeight="1">
      <c r="A51" s="191" t="s">
        <v>303</v>
      </c>
      <c r="B51" s="192">
        <v>328.0</v>
      </c>
      <c r="C51" s="193">
        <v>3135.0</v>
      </c>
    </row>
    <row r="52" ht="14.25" customHeight="1">
      <c r="A52" s="191" t="s">
        <v>304</v>
      </c>
      <c r="B52" s="192">
        <v>1098.0</v>
      </c>
      <c r="C52" s="193">
        <v>3785.0</v>
      </c>
    </row>
    <row r="53" ht="14.25" customHeight="1">
      <c r="A53" s="191" t="s">
        <v>305</v>
      </c>
      <c r="B53" s="192">
        <v>711.0</v>
      </c>
      <c r="C53" s="193">
        <v>3710.0</v>
      </c>
    </row>
    <row r="54" ht="14.25" customHeight="1">
      <c r="A54" s="191" t="s">
        <v>306</v>
      </c>
      <c r="B54" s="192">
        <v>1175.0</v>
      </c>
      <c r="C54" s="193">
        <v>4299.0</v>
      </c>
    </row>
    <row r="55" ht="14.25" customHeight="1">
      <c r="A55" s="191" t="s">
        <v>307</v>
      </c>
      <c r="B55" s="192">
        <v>369.0</v>
      </c>
      <c r="C55" s="193">
        <v>1750.0</v>
      </c>
    </row>
    <row r="56" ht="14.25" customHeight="1">
      <c r="A56" s="191" t="s">
        <v>308</v>
      </c>
      <c r="B56" s="192">
        <v>125.0</v>
      </c>
      <c r="C56" s="193">
        <v>2410.0</v>
      </c>
    </row>
    <row r="57" ht="14.25" customHeight="1">
      <c r="A57" s="191" t="s">
        <v>309</v>
      </c>
      <c r="B57" s="192">
        <v>1196.0</v>
      </c>
      <c r="C57" s="193">
        <v>4102.0</v>
      </c>
    </row>
    <row r="58" ht="14.25" customHeight="1">
      <c r="A58" s="191" t="s">
        <v>310</v>
      </c>
      <c r="B58" s="192">
        <v>17.0</v>
      </c>
      <c r="C58" s="193">
        <v>2522.0</v>
      </c>
    </row>
    <row r="59" ht="14.25" customHeight="1">
      <c r="A59" s="191" t="s">
        <v>311</v>
      </c>
      <c r="B59" s="192">
        <v>1657.0</v>
      </c>
      <c r="C59" s="193">
        <v>3989.0</v>
      </c>
    </row>
    <row r="60" ht="14.25" customHeight="1">
      <c r="A60" s="191" t="s">
        <v>312</v>
      </c>
      <c r="B60" s="192">
        <v>379.0</v>
      </c>
      <c r="C60" s="193">
        <v>3143.0</v>
      </c>
    </row>
    <row r="61" ht="14.25" customHeight="1">
      <c r="A61" s="191" t="s">
        <v>313</v>
      </c>
      <c r="B61" s="192">
        <v>50.0</v>
      </c>
      <c r="C61" s="193">
        <v>3043.0</v>
      </c>
    </row>
    <row r="62" ht="14.25" customHeight="1">
      <c r="A62" s="191" t="s">
        <v>314</v>
      </c>
      <c r="B62" s="192">
        <v>491.0</v>
      </c>
      <c r="C62" s="193">
        <v>4658.0</v>
      </c>
    </row>
    <row r="63" ht="14.25" customHeight="1">
      <c r="A63" s="191" t="s">
        <v>315</v>
      </c>
      <c r="B63" s="192">
        <v>2273.0</v>
      </c>
      <c r="C63" s="193">
        <v>7447.0</v>
      </c>
    </row>
    <row r="64" ht="14.25" customHeight="1">
      <c r="A64" s="191" t="s">
        <v>316</v>
      </c>
      <c r="B64" s="192">
        <v>1744.0</v>
      </c>
      <c r="C64" s="193">
        <v>6842.0</v>
      </c>
    </row>
    <row r="65" ht="14.25" customHeight="1">
      <c r="A65" s="191" t="s">
        <v>317</v>
      </c>
      <c r="B65" s="192">
        <v>1118.0</v>
      </c>
      <c r="C65" s="193">
        <v>3965.0</v>
      </c>
    </row>
    <row r="66" ht="14.25" customHeight="1">
      <c r="A66" s="191" t="s">
        <v>318</v>
      </c>
      <c r="B66" s="192">
        <v>3278.0</v>
      </c>
      <c r="C66" s="193">
        <v>10649.0</v>
      </c>
    </row>
    <row r="67" ht="14.25" customHeight="1">
      <c r="A67" s="191" t="s">
        <v>319</v>
      </c>
      <c r="B67" s="192">
        <v>3567.0</v>
      </c>
      <c r="C67" s="193">
        <v>9500.0</v>
      </c>
    </row>
    <row r="68" ht="14.25" customHeight="1">
      <c r="A68" s="191" t="s">
        <v>320</v>
      </c>
      <c r="B68" s="192">
        <v>4393.0</v>
      </c>
      <c r="C68" s="193">
        <v>10828.0</v>
      </c>
    </row>
    <row r="69" ht="14.25" customHeight="1">
      <c r="A69" s="191" t="s">
        <v>321</v>
      </c>
      <c r="B69" s="192">
        <v>1150.0</v>
      </c>
      <c r="C69" s="193">
        <v>5194.0</v>
      </c>
    </row>
    <row r="70" ht="14.25" customHeight="1">
      <c r="A70" s="191" t="s">
        <v>322</v>
      </c>
      <c r="B70" s="192">
        <v>778.0</v>
      </c>
      <c r="C70" s="193">
        <v>4904.0</v>
      </c>
    </row>
    <row r="71" ht="14.25" customHeight="1">
      <c r="A71" s="191" t="s">
        <v>323</v>
      </c>
      <c r="B71" s="192">
        <v>20.0</v>
      </c>
      <c r="C71" s="193">
        <v>1471.0</v>
      </c>
    </row>
    <row r="72" ht="14.25" customHeight="1">
      <c r="A72" s="191" t="s">
        <v>324</v>
      </c>
      <c r="B72" s="192">
        <v>1131.0</v>
      </c>
      <c r="C72" s="193">
        <v>5235.0</v>
      </c>
    </row>
    <row r="73" ht="14.25" customHeight="1">
      <c r="A73" s="191" t="s">
        <v>325</v>
      </c>
      <c r="B73" s="192">
        <v>561.0</v>
      </c>
      <c r="C73" s="193">
        <v>3370.0</v>
      </c>
    </row>
    <row r="74" ht="14.25" customHeight="1">
      <c r="A74" s="191" t="s">
        <v>326</v>
      </c>
      <c r="B74" s="192">
        <v>283.0</v>
      </c>
      <c r="C74" s="193">
        <v>3118.0</v>
      </c>
    </row>
    <row r="75" ht="14.25" customHeight="1">
      <c r="A75" s="191" t="s">
        <v>327</v>
      </c>
      <c r="B75" s="192">
        <v>494.0</v>
      </c>
      <c r="C75" s="193">
        <v>3579.0</v>
      </c>
    </row>
    <row r="76" ht="14.25" customHeight="1">
      <c r="A76" s="191" t="s">
        <v>328</v>
      </c>
      <c r="B76" s="192">
        <v>1810.0</v>
      </c>
      <c r="C76" s="193">
        <v>6187.0</v>
      </c>
    </row>
    <row r="77" ht="14.25" customHeight="1">
      <c r="A77" s="191" t="s">
        <v>329</v>
      </c>
      <c r="B77" s="192">
        <v>2751.0</v>
      </c>
      <c r="C77" s="193">
        <v>7395.0</v>
      </c>
    </row>
    <row r="78" ht="14.25" customHeight="1">
      <c r="A78" s="191" t="s">
        <v>330</v>
      </c>
      <c r="B78" s="192">
        <v>640.0</v>
      </c>
      <c r="C78" s="193">
        <v>5155.0</v>
      </c>
    </row>
    <row r="79" ht="14.25" customHeight="1">
      <c r="A79" s="195" t="s">
        <v>331</v>
      </c>
      <c r="B79" s="192">
        <v>777.0</v>
      </c>
      <c r="C79" s="193" t="s">
        <v>30</v>
      </c>
    </row>
    <row r="80" ht="14.25" customHeight="1">
      <c r="A80" s="195" t="s">
        <v>193</v>
      </c>
      <c r="B80" s="192">
        <v>54126.0</v>
      </c>
      <c r="C80" s="193">
        <v>5123.0</v>
      </c>
    </row>
    <row r="81" ht="14.25" customHeight="1">
      <c r="A81" s="196" t="s">
        <v>332</v>
      </c>
    </row>
    <row r="82" ht="14.25" customHeight="1">
      <c r="A82" s="134" t="s">
        <v>333</v>
      </c>
    </row>
    <row r="83" ht="14.25" customHeight="1"/>
    <row r="84" ht="14.25" customHeight="1"/>
    <row r="85" ht="14.25" customHeight="1"/>
    <row r="86" ht="14.25" customHeight="1">
      <c r="A86" s="135" t="s">
        <v>0</v>
      </c>
      <c r="B86" s="136">
        <v>44167.0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334</v>
      </c>
    </row>
    <row r="2">
      <c r="A2" s="199" t="s">
        <v>335</v>
      </c>
      <c r="B2" s="200"/>
      <c r="C2" s="200"/>
      <c r="D2" s="200"/>
    </row>
    <row r="3">
      <c r="A3" s="201" t="s">
        <v>336</v>
      </c>
      <c r="B3" s="202" t="s">
        <v>337</v>
      </c>
      <c r="C3" s="202" t="s">
        <v>338</v>
      </c>
      <c r="D3" s="203" t="s">
        <v>339</v>
      </c>
    </row>
    <row r="4">
      <c r="A4" s="204" t="s">
        <v>340</v>
      </c>
      <c r="B4" s="94"/>
      <c r="C4" s="94"/>
      <c r="D4" s="37"/>
    </row>
    <row r="5">
      <c r="A5" s="205" t="s">
        <v>341</v>
      </c>
      <c r="B5" s="206" t="s">
        <v>342</v>
      </c>
      <c r="C5" s="207" t="s">
        <v>343</v>
      </c>
      <c r="D5" s="208">
        <v>0.0</v>
      </c>
    </row>
    <row r="6">
      <c r="A6" s="209" t="s">
        <v>344</v>
      </c>
      <c r="B6" s="206" t="s">
        <v>345</v>
      </c>
      <c r="C6" s="207" t="s">
        <v>345</v>
      </c>
      <c r="D6" s="208" t="s">
        <v>343</v>
      </c>
    </row>
    <row r="7">
      <c r="A7" s="209" t="s">
        <v>346</v>
      </c>
      <c r="B7" s="206" t="s">
        <v>347</v>
      </c>
      <c r="C7" s="207" t="s">
        <v>347</v>
      </c>
      <c r="D7" s="208">
        <v>0.0</v>
      </c>
    </row>
    <row r="8">
      <c r="A8" s="210" t="s">
        <v>348</v>
      </c>
      <c r="B8" s="211" t="s">
        <v>347</v>
      </c>
      <c r="C8" s="212">
        <v>0.0</v>
      </c>
      <c r="D8" s="213">
        <v>0.0</v>
      </c>
    </row>
    <row r="9">
      <c r="A9" s="210" t="s">
        <v>349</v>
      </c>
      <c r="B9" s="211" t="s">
        <v>350</v>
      </c>
      <c r="C9" s="212">
        <v>0.0</v>
      </c>
      <c r="D9" s="213" t="s">
        <v>351</v>
      </c>
    </row>
    <row r="10">
      <c r="A10" s="214" t="s">
        <v>352</v>
      </c>
      <c r="B10" s="215" t="s">
        <v>342</v>
      </c>
      <c r="C10" s="216" t="s">
        <v>343</v>
      </c>
      <c r="D10" s="213" t="s">
        <v>343</v>
      </c>
    </row>
    <row r="11">
      <c r="A11" s="210" t="s">
        <v>353</v>
      </c>
      <c r="B11" s="211" t="s">
        <v>354</v>
      </c>
      <c r="C11" s="212">
        <v>0.0</v>
      </c>
      <c r="D11" s="213" t="s">
        <v>355</v>
      </c>
    </row>
    <row r="12">
      <c r="A12" s="210" t="s">
        <v>356</v>
      </c>
      <c r="B12" s="211" t="s">
        <v>351</v>
      </c>
      <c r="C12" s="212">
        <v>0.0</v>
      </c>
      <c r="D12" s="213" t="s">
        <v>347</v>
      </c>
    </row>
    <row r="13">
      <c r="A13" s="214" t="s">
        <v>357</v>
      </c>
      <c r="B13" s="215" t="s">
        <v>358</v>
      </c>
      <c r="C13" s="216" t="s">
        <v>343</v>
      </c>
      <c r="D13" s="213" t="s">
        <v>351</v>
      </c>
    </row>
    <row r="14">
      <c r="A14" s="210" t="s">
        <v>359</v>
      </c>
      <c r="B14" s="211" t="s">
        <v>360</v>
      </c>
      <c r="C14" s="212" t="s">
        <v>361</v>
      </c>
      <c r="D14" s="213" t="s">
        <v>361</v>
      </c>
    </row>
    <row r="15">
      <c r="A15" s="210" t="s">
        <v>362</v>
      </c>
      <c r="B15" s="211" t="s">
        <v>351</v>
      </c>
      <c r="C15" s="212" t="s">
        <v>343</v>
      </c>
      <c r="D15" s="213" t="s">
        <v>343</v>
      </c>
    </row>
    <row r="16">
      <c r="A16" s="210" t="s">
        <v>363</v>
      </c>
      <c r="B16" s="211" t="s">
        <v>351</v>
      </c>
      <c r="C16" s="212">
        <v>0.0</v>
      </c>
      <c r="D16" s="213" t="s">
        <v>347</v>
      </c>
    </row>
    <row r="17">
      <c r="A17" s="210" t="s">
        <v>364</v>
      </c>
      <c r="B17" s="211" t="s">
        <v>365</v>
      </c>
      <c r="C17" s="212" t="s">
        <v>366</v>
      </c>
      <c r="D17" s="213" t="s">
        <v>343</v>
      </c>
    </row>
    <row r="18">
      <c r="A18" s="210" t="s">
        <v>367</v>
      </c>
      <c r="B18" s="211" t="s">
        <v>368</v>
      </c>
      <c r="C18" s="212">
        <v>0.0</v>
      </c>
      <c r="D18" s="213" t="s">
        <v>351</v>
      </c>
    </row>
    <row r="19">
      <c r="A19" s="210" t="s">
        <v>369</v>
      </c>
      <c r="B19" s="211" t="s">
        <v>370</v>
      </c>
      <c r="C19" s="212">
        <v>0.0</v>
      </c>
      <c r="D19" s="213" t="s">
        <v>371</v>
      </c>
    </row>
    <row r="20">
      <c r="A20" s="210" t="s">
        <v>372</v>
      </c>
      <c r="B20" s="211" t="s">
        <v>373</v>
      </c>
      <c r="C20" s="212">
        <v>0.0</v>
      </c>
      <c r="D20" s="213" t="s">
        <v>345</v>
      </c>
    </row>
    <row r="21">
      <c r="A21" s="210" t="s">
        <v>374</v>
      </c>
      <c r="B21" s="211" t="s">
        <v>361</v>
      </c>
      <c r="C21" s="212" t="s">
        <v>361</v>
      </c>
      <c r="D21" s="213">
        <v>0.0</v>
      </c>
    </row>
    <row r="22">
      <c r="A22" s="210" t="s">
        <v>375</v>
      </c>
      <c r="B22" s="211" t="s">
        <v>373</v>
      </c>
      <c r="C22" s="212">
        <v>0.0</v>
      </c>
      <c r="D22" s="213" t="s">
        <v>351</v>
      </c>
    </row>
    <row r="23">
      <c r="A23" s="210" t="s">
        <v>376</v>
      </c>
      <c r="B23" s="211" t="s">
        <v>373</v>
      </c>
      <c r="C23" s="212">
        <v>0.0</v>
      </c>
      <c r="D23" s="213" t="s">
        <v>345</v>
      </c>
    </row>
    <row r="24">
      <c r="A24" s="210" t="s">
        <v>377</v>
      </c>
      <c r="B24" s="211" t="s">
        <v>378</v>
      </c>
      <c r="C24" s="212" t="s">
        <v>379</v>
      </c>
      <c r="D24" s="213" t="s">
        <v>373</v>
      </c>
    </row>
    <row r="25">
      <c r="A25" s="210" t="s">
        <v>380</v>
      </c>
      <c r="B25" s="211" t="s">
        <v>371</v>
      </c>
      <c r="C25" s="212">
        <v>0.0</v>
      </c>
      <c r="D25" s="213" t="s">
        <v>347</v>
      </c>
    </row>
    <row r="26">
      <c r="A26" s="210" t="s">
        <v>381</v>
      </c>
      <c r="B26" s="211" t="s">
        <v>382</v>
      </c>
      <c r="C26" s="212" t="s">
        <v>347</v>
      </c>
      <c r="D26" s="213" t="s">
        <v>379</v>
      </c>
    </row>
    <row r="27">
      <c r="A27" s="210" t="s">
        <v>383</v>
      </c>
      <c r="B27" s="211" t="s">
        <v>384</v>
      </c>
      <c r="C27" s="212" t="s">
        <v>379</v>
      </c>
      <c r="D27" s="213" t="s">
        <v>379</v>
      </c>
    </row>
    <row r="28">
      <c r="A28" s="210" t="s">
        <v>385</v>
      </c>
      <c r="B28" s="211" t="s">
        <v>386</v>
      </c>
      <c r="C28" s="212">
        <v>0.0</v>
      </c>
      <c r="D28" s="213" t="s">
        <v>355</v>
      </c>
    </row>
    <row r="29">
      <c r="A29" s="210" t="s">
        <v>387</v>
      </c>
      <c r="B29" s="211" t="s">
        <v>342</v>
      </c>
      <c r="C29" s="212">
        <v>0.0</v>
      </c>
      <c r="D29" s="213">
        <v>0.0</v>
      </c>
    </row>
    <row r="30">
      <c r="A30" s="210" t="s">
        <v>388</v>
      </c>
      <c r="B30" s="211" t="s">
        <v>342</v>
      </c>
      <c r="C30" s="212">
        <v>0.0</v>
      </c>
      <c r="D30" s="213" t="s">
        <v>343</v>
      </c>
    </row>
    <row r="31">
      <c r="A31" s="210" t="s">
        <v>389</v>
      </c>
      <c r="B31" s="211" t="s">
        <v>358</v>
      </c>
      <c r="C31" s="212" t="s">
        <v>347</v>
      </c>
      <c r="D31" s="217" t="s">
        <v>345</v>
      </c>
    </row>
    <row r="32">
      <c r="A32" s="214" t="s">
        <v>390</v>
      </c>
      <c r="B32" s="211" t="s">
        <v>368</v>
      </c>
      <c r="C32" s="212">
        <v>0.0</v>
      </c>
      <c r="D32" s="213" t="s">
        <v>379</v>
      </c>
    </row>
    <row r="33">
      <c r="A33" s="210" t="s">
        <v>391</v>
      </c>
      <c r="B33" s="211" t="s">
        <v>358</v>
      </c>
      <c r="C33" s="212" t="s">
        <v>355</v>
      </c>
      <c r="D33" s="213" t="s">
        <v>343</v>
      </c>
    </row>
    <row r="34">
      <c r="A34" s="210" t="s">
        <v>392</v>
      </c>
      <c r="B34" s="211" t="s">
        <v>361</v>
      </c>
      <c r="C34" s="212">
        <v>0.0</v>
      </c>
      <c r="D34" s="213" t="s">
        <v>345</v>
      </c>
    </row>
    <row r="35">
      <c r="A35" s="210" t="s">
        <v>393</v>
      </c>
      <c r="B35" s="211" t="s">
        <v>379</v>
      </c>
      <c r="C35" s="212">
        <v>0.0</v>
      </c>
      <c r="D35" s="213" t="s">
        <v>343</v>
      </c>
    </row>
    <row r="36">
      <c r="A36" s="210" t="s">
        <v>394</v>
      </c>
      <c r="B36" s="211" t="s">
        <v>379</v>
      </c>
      <c r="C36" s="212" t="s">
        <v>343</v>
      </c>
      <c r="D36" s="213" t="s">
        <v>343</v>
      </c>
    </row>
    <row r="37">
      <c r="A37" s="210" t="s">
        <v>395</v>
      </c>
      <c r="B37" s="211" t="s">
        <v>351</v>
      </c>
      <c r="C37" s="212" t="s">
        <v>345</v>
      </c>
      <c r="D37" s="213">
        <v>0.0</v>
      </c>
    </row>
    <row r="38">
      <c r="A38" s="210" t="s">
        <v>396</v>
      </c>
      <c r="B38" s="211" t="s">
        <v>347</v>
      </c>
      <c r="C38" s="212">
        <v>0.0</v>
      </c>
      <c r="D38" s="213">
        <v>0.0</v>
      </c>
    </row>
    <row r="39">
      <c r="A39" s="210" t="s">
        <v>397</v>
      </c>
      <c r="B39" s="211" t="s">
        <v>347</v>
      </c>
      <c r="C39" s="212" t="s">
        <v>343</v>
      </c>
      <c r="D39" s="213">
        <v>0.0</v>
      </c>
    </row>
    <row r="40">
      <c r="A40" s="210" t="s">
        <v>398</v>
      </c>
      <c r="B40" s="211" t="s">
        <v>351</v>
      </c>
      <c r="C40" s="212" t="s">
        <v>347</v>
      </c>
      <c r="D40" s="213">
        <v>0.0</v>
      </c>
    </row>
    <row r="41">
      <c r="A41" s="210" t="s">
        <v>399</v>
      </c>
      <c r="B41" s="211" t="s">
        <v>350</v>
      </c>
      <c r="C41" s="212">
        <v>0.0</v>
      </c>
      <c r="D41" s="213" t="s">
        <v>361</v>
      </c>
    </row>
    <row r="42">
      <c r="A42" s="210" t="s">
        <v>400</v>
      </c>
      <c r="B42" s="211" t="s">
        <v>386</v>
      </c>
      <c r="C42" s="212">
        <v>0.0</v>
      </c>
      <c r="D42" s="213" t="s">
        <v>379</v>
      </c>
    </row>
    <row r="43">
      <c r="A43" s="210" t="s">
        <v>401</v>
      </c>
      <c r="B43" s="211" t="s">
        <v>347</v>
      </c>
      <c r="C43" s="212" t="s">
        <v>347</v>
      </c>
      <c r="D43" s="213">
        <v>0.0</v>
      </c>
    </row>
    <row r="44">
      <c r="A44" s="210" t="s">
        <v>402</v>
      </c>
      <c r="B44" s="211" t="s">
        <v>403</v>
      </c>
      <c r="C44" s="212">
        <v>0.0</v>
      </c>
      <c r="D44" s="213" t="s">
        <v>343</v>
      </c>
    </row>
    <row r="45">
      <c r="A45" s="214" t="s">
        <v>404</v>
      </c>
      <c r="B45" s="211" t="s">
        <v>373</v>
      </c>
      <c r="C45" s="212" t="s">
        <v>343</v>
      </c>
      <c r="D45" s="213" t="s">
        <v>343</v>
      </c>
    </row>
    <row r="46">
      <c r="A46" s="210" t="s">
        <v>405</v>
      </c>
      <c r="B46" s="211" t="s">
        <v>373</v>
      </c>
      <c r="C46" s="212">
        <v>0.0</v>
      </c>
      <c r="D46" s="213" t="s">
        <v>351</v>
      </c>
    </row>
    <row r="47">
      <c r="A47" s="210" t="s">
        <v>406</v>
      </c>
      <c r="B47" s="211" t="s">
        <v>407</v>
      </c>
      <c r="C47" s="212">
        <v>0.0</v>
      </c>
      <c r="D47" s="213">
        <v>0.0</v>
      </c>
    </row>
    <row r="48">
      <c r="A48" s="210" t="s">
        <v>408</v>
      </c>
      <c r="B48" s="211" t="s">
        <v>407</v>
      </c>
      <c r="C48" s="212" t="s">
        <v>361</v>
      </c>
      <c r="D48" s="213" t="s">
        <v>347</v>
      </c>
    </row>
    <row r="49">
      <c r="A49" s="210" t="s">
        <v>409</v>
      </c>
      <c r="B49" s="211" t="s">
        <v>384</v>
      </c>
      <c r="C49" s="212">
        <v>0.0</v>
      </c>
      <c r="D49" s="213" t="s">
        <v>379</v>
      </c>
    </row>
    <row r="50">
      <c r="A50" s="210" t="s">
        <v>410</v>
      </c>
      <c r="B50" s="211" t="s">
        <v>384</v>
      </c>
      <c r="C50" s="212">
        <v>0.0</v>
      </c>
      <c r="D50" s="213" t="s">
        <v>361</v>
      </c>
    </row>
    <row r="51">
      <c r="A51" s="210" t="s">
        <v>411</v>
      </c>
      <c r="B51" s="211" t="s">
        <v>412</v>
      </c>
      <c r="C51" s="212" t="s">
        <v>361</v>
      </c>
      <c r="D51" s="213" t="s">
        <v>361</v>
      </c>
    </row>
    <row r="52">
      <c r="A52" s="210" t="s">
        <v>413</v>
      </c>
      <c r="B52" s="211" t="s">
        <v>414</v>
      </c>
      <c r="C52" s="212" t="s">
        <v>343</v>
      </c>
      <c r="D52" s="213" t="s">
        <v>371</v>
      </c>
    </row>
    <row r="53">
      <c r="A53" s="214" t="s">
        <v>415</v>
      </c>
      <c r="B53" s="215" t="s">
        <v>371</v>
      </c>
      <c r="C53" s="216" t="s">
        <v>371</v>
      </c>
      <c r="D53" s="213" t="s">
        <v>343</v>
      </c>
    </row>
    <row r="54">
      <c r="A54" s="210" t="s">
        <v>416</v>
      </c>
      <c r="B54" s="211" t="s">
        <v>371</v>
      </c>
      <c r="C54" s="212">
        <v>0.0</v>
      </c>
      <c r="D54" s="213" t="s">
        <v>347</v>
      </c>
    </row>
    <row r="55">
      <c r="A55" s="210" t="s">
        <v>417</v>
      </c>
      <c r="B55" s="211" t="s">
        <v>379</v>
      </c>
      <c r="C55" s="212" t="s">
        <v>343</v>
      </c>
      <c r="D55" s="213" t="s">
        <v>347</v>
      </c>
    </row>
    <row r="56">
      <c r="A56" s="210" t="s">
        <v>418</v>
      </c>
      <c r="B56" s="211" t="s">
        <v>419</v>
      </c>
      <c r="C56" s="212">
        <v>0.0</v>
      </c>
      <c r="D56" s="213" t="s">
        <v>379</v>
      </c>
    </row>
    <row r="57">
      <c r="A57" s="210" t="s">
        <v>420</v>
      </c>
      <c r="B57" s="211" t="s">
        <v>407</v>
      </c>
      <c r="C57" s="212">
        <v>0.0</v>
      </c>
      <c r="D57" s="213" t="s">
        <v>347</v>
      </c>
    </row>
    <row r="58">
      <c r="A58" s="210" t="s">
        <v>421</v>
      </c>
      <c r="B58" s="211" t="s">
        <v>345</v>
      </c>
      <c r="C58" s="212">
        <v>0.0</v>
      </c>
      <c r="D58" s="213">
        <v>0.0</v>
      </c>
    </row>
    <row r="59">
      <c r="A59" s="210" t="s">
        <v>422</v>
      </c>
      <c r="B59" s="211" t="s">
        <v>423</v>
      </c>
      <c r="C59" s="212" t="s">
        <v>347</v>
      </c>
      <c r="D59" s="213" t="s">
        <v>361</v>
      </c>
    </row>
    <row r="60">
      <c r="A60" s="210" t="s">
        <v>424</v>
      </c>
      <c r="B60" s="211" t="s">
        <v>342</v>
      </c>
      <c r="C60" s="212">
        <v>0.0</v>
      </c>
      <c r="D60" s="213">
        <v>0.0</v>
      </c>
    </row>
    <row r="61">
      <c r="A61" s="210" t="s">
        <v>425</v>
      </c>
      <c r="B61" s="211" t="s">
        <v>351</v>
      </c>
      <c r="C61" s="212" t="s">
        <v>343</v>
      </c>
      <c r="D61" s="213" t="s">
        <v>343</v>
      </c>
    </row>
    <row r="62">
      <c r="A62" s="210" t="s">
        <v>426</v>
      </c>
      <c r="B62" s="211" t="s">
        <v>427</v>
      </c>
      <c r="C62" s="212">
        <v>0.0</v>
      </c>
      <c r="D62" s="213" t="s">
        <v>379</v>
      </c>
    </row>
    <row r="63">
      <c r="A63" s="218" t="s">
        <v>428</v>
      </c>
      <c r="B63" s="215" t="s">
        <v>379</v>
      </c>
      <c r="C63" s="215" t="s">
        <v>343</v>
      </c>
      <c r="D63" s="215" t="s">
        <v>343</v>
      </c>
    </row>
    <row r="64">
      <c r="A64" s="210" t="s">
        <v>429</v>
      </c>
      <c r="B64" s="211" t="s">
        <v>365</v>
      </c>
      <c r="C64" s="212">
        <v>0.0</v>
      </c>
      <c r="D64" s="213" t="s">
        <v>351</v>
      </c>
    </row>
    <row r="65">
      <c r="A65" s="210" t="s">
        <v>430</v>
      </c>
      <c r="B65" s="211" t="s">
        <v>384</v>
      </c>
      <c r="C65" s="212">
        <v>0.0</v>
      </c>
      <c r="D65" s="213" t="s">
        <v>361</v>
      </c>
    </row>
    <row r="66">
      <c r="A66" s="210" t="s">
        <v>431</v>
      </c>
      <c r="B66" s="211" t="s">
        <v>379</v>
      </c>
      <c r="C66" s="212">
        <v>0.0</v>
      </c>
      <c r="D66" s="213" t="s">
        <v>347</v>
      </c>
    </row>
    <row r="67">
      <c r="A67" s="210" t="s">
        <v>432</v>
      </c>
      <c r="B67" s="211" t="s">
        <v>365</v>
      </c>
      <c r="C67" s="212" t="s">
        <v>347</v>
      </c>
      <c r="D67" s="213" t="s">
        <v>361</v>
      </c>
    </row>
    <row r="68">
      <c r="A68" s="210" t="s">
        <v>433</v>
      </c>
      <c r="B68" s="211" t="s">
        <v>366</v>
      </c>
      <c r="C68" s="212">
        <v>0.0</v>
      </c>
      <c r="D68" s="213" t="s">
        <v>379</v>
      </c>
    </row>
    <row r="69">
      <c r="A69" s="210" t="s">
        <v>434</v>
      </c>
      <c r="B69" s="211" t="s">
        <v>386</v>
      </c>
      <c r="C69" s="212">
        <v>0.0</v>
      </c>
      <c r="D69" s="213" t="s">
        <v>403</v>
      </c>
    </row>
    <row r="70">
      <c r="A70" s="210" t="s">
        <v>435</v>
      </c>
      <c r="B70" s="211" t="s">
        <v>379</v>
      </c>
      <c r="C70" s="212" t="s">
        <v>347</v>
      </c>
      <c r="D70" s="213" t="s">
        <v>343</v>
      </c>
    </row>
    <row r="71">
      <c r="A71" s="210" t="s">
        <v>436</v>
      </c>
      <c r="B71" s="211" t="s">
        <v>379</v>
      </c>
      <c r="C71" s="212" t="s">
        <v>343</v>
      </c>
      <c r="D71" s="213" t="s">
        <v>343</v>
      </c>
    </row>
    <row r="72">
      <c r="A72" s="210" t="s">
        <v>437</v>
      </c>
      <c r="B72" s="211" t="s">
        <v>342</v>
      </c>
      <c r="C72" s="212">
        <v>0.0</v>
      </c>
      <c r="D72" s="213">
        <v>0.0</v>
      </c>
    </row>
    <row r="73">
      <c r="A73" s="210" t="s">
        <v>438</v>
      </c>
      <c r="B73" s="211" t="s">
        <v>345</v>
      </c>
      <c r="C73" s="212" t="s">
        <v>343</v>
      </c>
      <c r="D73" s="213" t="s">
        <v>343</v>
      </c>
    </row>
    <row r="74">
      <c r="A74" s="210" t="s">
        <v>439</v>
      </c>
      <c r="B74" s="211" t="s">
        <v>371</v>
      </c>
      <c r="C74" s="212" t="s">
        <v>343</v>
      </c>
      <c r="D74" s="213" t="s">
        <v>345</v>
      </c>
    </row>
    <row r="75">
      <c r="A75" s="214" t="s">
        <v>440</v>
      </c>
      <c r="B75" s="215" t="s">
        <v>342</v>
      </c>
      <c r="C75" s="216" t="s">
        <v>343</v>
      </c>
      <c r="D75" s="213">
        <v>0.0</v>
      </c>
    </row>
    <row r="76">
      <c r="A76" s="210" t="s">
        <v>441</v>
      </c>
      <c r="B76" s="211" t="s">
        <v>442</v>
      </c>
      <c r="C76" s="212">
        <v>0.0</v>
      </c>
      <c r="D76" s="213" t="s">
        <v>371</v>
      </c>
    </row>
    <row r="77">
      <c r="A77" s="210" t="s">
        <v>443</v>
      </c>
      <c r="B77" s="211" t="s">
        <v>366</v>
      </c>
      <c r="C77" s="212">
        <v>0.0</v>
      </c>
      <c r="D77" s="213" t="s">
        <v>351</v>
      </c>
    </row>
    <row r="78">
      <c r="A78" s="210" t="s">
        <v>444</v>
      </c>
      <c r="B78" s="211" t="s">
        <v>365</v>
      </c>
      <c r="C78" s="212">
        <v>0.0</v>
      </c>
      <c r="D78" s="213" t="s">
        <v>379</v>
      </c>
    </row>
    <row r="79">
      <c r="A79" s="219" t="s">
        <v>91</v>
      </c>
      <c r="B79" s="220" t="s">
        <v>445</v>
      </c>
      <c r="C79" s="221" t="s">
        <v>446</v>
      </c>
      <c r="D79" s="222" t="s">
        <v>447</v>
      </c>
    </row>
    <row r="80">
      <c r="A80" s="204" t="s">
        <v>448</v>
      </c>
      <c r="B80" s="94"/>
      <c r="C80" s="94"/>
      <c r="D80" s="37"/>
    </row>
    <row r="81">
      <c r="A81" s="209" t="s">
        <v>449</v>
      </c>
      <c r="B81" s="206" t="s">
        <v>347</v>
      </c>
      <c r="C81" s="207" t="s">
        <v>343</v>
      </c>
      <c r="D81" s="208">
        <v>0.0</v>
      </c>
    </row>
    <row r="82">
      <c r="A82" s="205" t="s">
        <v>450</v>
      </c>
      <c r="B82" s="223" t="s">
        <v>347</v>
      </c>
      <c r="C82" s="224">
        <v>0.0</v>
      </c>
      <c r="D82" s="225" t="s">
        <v>343</v>
      </c>
    </row>
    <row r="83">
      <c r="A83" s="209" t="s">
        <v>451</v>
      </c>
      <c r="B83" s="223" t="s">
        <v>347</v>
      </c>
      <c r="C83" s="224" t="s">
        <v>347</v>
      </c>
      <c r="D83" s="225">
        <v>0.0</v>
      </c>
    </row>
    <row r="84">
      <c r="A84" s="205" t="s">
        <v>452</v>
      </c>
      <c r="B84" s="223" t="s">
        <v>351</v>
      </c>
      <c r="C84" s="224" t="s">
        <v>351</v>
      </c>
      <c r="D84" s="225" t="s">
        <v>343</v>
      </c>
    </row>
    <row r="85">
      <c r="A85" s="205" t="s">
        <v>453</v>
      </c>
      <c r="B85" s="223" t="s">
        <v>351</v>
      </c>
      <c r="C85" s="224">
        <v>0.0</v>
      </c>
      <c r="D85" s="225" t="s">
        <v>343</v>
      </c>
    </row>
    <row r="86">
      <c r="A86" s="210" t="s">
        <v>454</v>
      </c>
      <c r="B86" s="211" t="s">
        <v>342</v>
      </c>
      <c r="C86" s="212">
        <v>0.0</v>
      </c>
      <c r="D86" s="213">
        <v>0.0</v>
      </c>
    </row>
    <row r="87">
      <c r="A87" s="214" t="s">
        <v>455</v>
      </c>
      <c r="B87" s="215" t="s">
        <v>361</v>
      </c>
      <c r="C87" s="216" t="s">
        <v>343</v>
      </c>
      <c r="D87" s="213" t="s">
        <v>347</v>
      </c>
    </row>
    <row r="88">
      <c r="A88" s="214" t="s">
        <v>456</v>
      </c>
      <c r="B88" s="215" t="s">
        <v>342</v>
      </c>
      <c r="C88" s="216" t="s">
        <v>343</v>
      </c>
      <c r="D88" s="213">
        <v>0.0</v>
      </c>
    </row>
    <row r="89">
      <c r="A89" s="210" t="s">
        <v>457</v>
      </c>
      <c r="B89" s="211" t="s">
        <v>345</v>
      </c>
      <c r="C89" s="212" t="s">
        <v>343</v>
      </c>
      <c r="D89" s="213" t="s">
        <v>343</v>
      </c>
    </row>
    <row r="90">
      <c r="A90" s="210" t="s">
        <v>458</v>
      </c>
      <c r="B90" s="211" t="s">
        <v>342</v>
      </c>
      <c r="C90" s="212" t="s">
        <v>343</v>
      </c>
      <c r="D90" s="213">
        <v>0.0</v>
      </c>
    </row>
    <row r="91">
      <c r="A91" s="210" t="s">
        <v>459</v>
      </c>
      <c r="B91" s="211" t="s">
        <v>342</v>
      </c>
      <c r="C91" s="212" t="s">
        <v>343</v>
      </c>
      <c r="D91" s="213" t="s">
        <v>343</v>
      </c>
    </row>
    <row r="92">
      <c r="A92" s="210" t="s">
        <v>460</v>
      </c>
      <c r="B92" s="211" t="s">
        <v>355</v>
      </c>
      <c r="C92" s="212" t="s">
        <v>345</v>
      </c>
      <c r="D92" s="226" t="s">
        <v>347</v>
      </c>
    </row>
    <row r="93">
      <c r="A93" s="210" t="s">
        <v>461</v>
      </c>
      <c r="B93" s="211" t="s">
        <v>342</v>
      </c>
      <c r="C93" s="212">
        <v>0.0</v>
      </c>
      <c r="D93" s="226">
        <v>0.0</v>
      </c>
    </row>
    <row r="94">
      <c r="A94" s="227" t="s">
        <v>462</v>
      </c>
      <c r="B94" s="211" t="s">
        <v>366</v>
      </c>
      <c r="C94" s="212" t="s">
        <v>343</v>
      </c>
      <c r="D94" s="213" t="s">
        <v>345</v>
      </c>
    </row>
    <row r="95">
      <c r="A95" s="210" t="s">
        <v>463</v>
      </c>
      <c r="B95" s="211" t="s">
        <v>347</v>
      </c>
      <c r="C95" s="212" t="s">
        <v>343</v>
      </c>
      <c r="D95" s="213">
        <v>0.0</v>
      </c>
    </row>
    <row r="96">
      <c r="A96" s="210" t="s">
        <v>464</v>
      </c>
      <c r="B96" s="211" t="s">
        <v>355</v>
      </c>
      <c r="C96" s="212">
        <v>0.0</v>
      </c>
      <c r="D96" s="213" t="s">
        <v>347</v>
      </c>
    </row>
    <row r="97">
      <c r="A97" s="214" t="s">
        <v>465</v>
      </c>
      <c r="B97" s="211" t="s">
        <v>342</v>
      </c>
      <c r="C97" s="212" t="s">
        <v>343</v>
      </c>
      <c r="D97" s="213">
        <v>0.0</v>
      </c>
    </row>
    <row r="98">
      <c r="A98" s="210" t="s">
        <v>466</v>
      </c>
      <c r="B98" s="211" t="s">
        <v>351</v>
      </c>
      <c r="C98" s="212">
        <v>0.0</v>
      </c>
      <c r="D98" s="213" t="s">
        <v>343</v>
      </c>
    </row>
    <row r="99">
      <c r="A99" s="210" t="s">
        <v>467</v>
      </c>
      <c r="B99" s="211" t="s">
        <v>345</v>
      </c>
      <c r="C99" s="212">
        <v>0.0</v>
      </c>
      <c r="D99" s="213" t="s">
        <v>343</v>
      </c>
    </row>
    <row r="100">
      <c r="A100" s="210" t="s">
        <v>468</v>
      </c>
      <c r="B100" s="211" t="s">
        <v>347</v>
      </c>
      <c r="C100" s="212" t="s">
        <v>347</v>
      </c>
      <c r="D100" s="213">
        <v>0.0</v>
      </c>
    </row>
    <row r="101">
      <c r="A101" s="210" t="s">
        <v>469</v>
      </c>
      <c r="B101" s="211" t="s">
        <v>351</v>
      </c>
      <c r="C101" s="212">
        <v>0.0</v>
      </c>
      <c r="D101" s="213" t="s">
        <v>343</v>
      </c>
    </row>
    <row r="102">
      <c r="A102" s="214" t="s">
        <v>470</v>
      </c>
      <c r="B102" s="215" t="s">
        <v>347</v>
      </c>
      <c r="C102" s="216">
        <v>0.0</v>
      </c>
      <c r="D102" s="213" t="s">
        <v>343</v>
      </c>
    </row>
    <row r="103">
      <c r="A103" s="214" t="s">
        <v>471</v>
      </c>
      <c r="B103" s="215" t="s">
        <v>342</v>
      </c>
      <c r="C103" s="216">
        <v>0.0</v>
      </c>
      <c r="D103" s="213">
        <v>0.0</v>
      </c>
    </row>
    <row r="104">
      <c r="A104" s="210" t="s">
        <v>472</v>
      </c>
      <c r="B104" s="211" t="s">
        <v>342</v>
      </c>
      <c r="C104" s="212">
        <v>0.0</v>
      </c>
      <c r="D104" s="213">
        <v>0.0</v>
      </c>
    </row>
    <row r="105">
      <c r="A105" s="210" t="s">
        <v>473</v>
      </c>
      <c r="B105" s="211" t="s">
        <v>347</v>
      </c>
      <c r="C105" s="212">
        <v>0.0</v>
      </c>
      <c r="D105" s="213">
        <v>0.0</v>
      </c>
    </row>
    <row r="106">
      <c r="A106" s="214" t="s">
        <v>474</v>
      </c>
      <c r="B106" s="215" t="s">
        <v>407</v>
      </c>
      <c r="C106" s="216">
        <v>0.0</v>
      </c>
      <c r="D106" s="213" t="s">
        <v>345</v>
      </c>
    </row>
    <row r="107">
      <c r="A107" s="227" t="s">
        <v>475</v>
      </c>
      <c r="B107" s="211" t="s">
        <v>379</v>
      </c>
      <c r="C107" s="212">
        <v>0.0</v>
      </c>
      <c r="D107" s="213" t="s">
        <v>345</v>
      </c>
    </row>
    <row r="108">
      <c r="A108" s="227" t="s">
        <v>476</v>
      </c>
      <c r="B108" s="211" t="s">
        <v>379</v>
      </c>
      <c r="C108" s="212" t="s">
        <v>347</v>
      </c>
      <c r="D108" s="213" t="s">
        <v>343</v>
      </c>
    </row>
    <row r="109">
      <c r="A109" s="210" t="s">
        <v>477</v>
      </c>
      <c r="B109" s="211" t="s">
        <v>347</v>
      </c>
      <c r="C109" s="212" t="s">
        <v>347</v>
      </c>
      <c r="D109" s="213">
        <v>0.0</v>
      </c>
    </row>
    <row r="110">
      <c r="A110" s="219" t="s">
        <v>91</v>
      </c>
      <c r="B110" s="220" t="s">
        <v>478</v>
      </c>
      <c r="C110" s="221" t="s">
        <v>366</v>
      </c>
      <c r="D110" s="222" t="s">
        <v>384</v>
      </c>
    </row>
    <row r="111">
      <c r="A111" s="228" t="s">
        <v>479</v>
      </c>
      <c r="B111" s="229"/>
      <c r="C111" s="229"/>
      <c r="D111" s="229"/>
    </row>
  </sheetData>
  <mergeCells count="4">
    <mergeCell ref="A1:D1"/>
    <mergeCell ref="A4:D4"/>
    <mergeCell ref="A80:D80"/>
    <mergeCell ref="A111:D11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0" t="s">
        <v>480</v>
      </c>
      <c r="B1" s="94"/>
      <c r="C1" s="94"/>
      <c r="D1" s="94"/>
      <c r="E1" s="94"/>
      <c r="F1" s="37"/>
      <c r="G1" s="231"/>
      <c r="H1" s="231"/>
      <c r="I1" s="231"/>
      <c r="J1" s="231"/>
      <c r="K1" s="231"/>
      <c r="L1" s="231"/>
      <c r="M1" s="231"/>
      <c r="N1" s="231"/>
      <c r="O1" s="231"/>
      <c r="P1" s="231"/>
      <c r="Q1" s="231"/>
      <c r="R1" s="231"/>
      <c r="S1" s="231"/>
      <c r="T1" s="231"/>
      <c r="U1" s="231"/>
      <c r="V1" s="231"/>
      <c r="W1" s="231"/>
      <c r="X1" s="231"/>
      <c r="Y1" s="231"/>
      <c r="Z1" s="231"/>
    </row>
    <row r="2">
      <c r="A2" s="232" t="s">
        <v>481</v>
      </c>
      <c r="B2" s="94"/>
      <c r="C2" s="94"/>
      <c r="D2" s="94"/>
      <c r="E2" s="94"/>
      <c r="F2" s="37"/>
    </row>
    <row r="3">
      <c r="A3" s="233" t="s">
        <v>482</v>
      </c>
      <c r="B3" s="94"/>
      <c r="C3" s="94"/>
      <c r="D3" s="94"/>
      <c r="E3" s="94"/>
      <c r="F3" s="37"/>
      <c r="G3" s="234"/>
      <c r="H3" s="234"/>
      <c r="I3" s="234"/>
      <c r="J3" s="234"/>
      <c r="K3" s="234"/>
      <c r="L3" s="234"/>
      <c r="M3" s="234"/>
      <c r="N3" s="234"/>
      <c r="O3" s="234"/>
      <c r="P3" s="234"/>
      <c r="Q3" s="234"/>
      <c r="R3" s="234"/>
      <c r="S3" s="234"/>
      <c r="T3" s="234"/>
      <c r="U3" s="234"/>
      <c r="V3" s="234"/>
      <c r="W3" s="234"/>
      <c r="X3" s="234"/>
      <c r="Y3" s="234"/>
      <c r="Z3" s="235"/>
    </row>
    <row r="4">
      <c r="A4" s="236" t="s">
        <v>483</v>
      </c>
      <c r="B4" s="237" t="s">
        <v>484</v>
      </c>
      <c r="C4" s="238" t="s">
        <v>485</v>
      </c>
      <c r="D4" s="238" t="s">
        <v>486</v>
      </c>
      <c r="E4" s="239" t="s">
        <v>487</v>
      </c>
      <c r="F4" s="239" t="s">
        <v>488</v>
      </c>
      <c r="G4" s="240"/>
      <c r="H4" s="240"/>
      <c r="I4" s="240"/>
      <c r="J4" s="240"/>
      <c r="K4" s="240"/>
      <c r="L4" s="240"/>
      <c r="M4" s="240"/>
      <c r="N4" s="240"/>
      <c r="O4" s="240"/>
      <c r="P4" s="240"/>
      <c r="Q4" s="240"/>
      <c r="R4" s="240"/>
      <c r="S4" s="240"/>
      <c r="T4" s="240"/>
      <c r="U4" s="240"/>
      <c r="V4" s="240"/>
      <c r="W4" s="240"/>
      <c r="X4" s="240"/>
      <c r="Y4" s="240"/>
      <c r="Z4" s="240"/>
    </row>
    <row r="5">
      <c r="A5" s="241" t="s">
        <v>489</v>
      </c>
      <c r="B5" s="242"/>
      <c r="C5" s="242"/>
      <c r="D5" s="242"/>
      <c r="E5" s="242"/>
      <c r="F5" s="243"/>
      <c r="G5" s="240"/>
      <c r="H5" s="240"/>
      <c r="I5" s="240"/>
      <c r="J5" s="240"/>
      <c r="K5" s="240"/>
      <c r="L5" s="240"/>
      <c r="M5" s="240"/>
      <c r="N5" s="240"/>
      <c r="O5" s="240"/>
      <c r="P5" s="240"/>
      <c r="Q5" s="240"/>
      <c r="R5" s="240"/>
      <c r="S5" s="240"/>
      <c r="T5" s="240"/>
      <c r="U5" s="240"/>
      <c r="V5" s="240"/>
      <c r="W5" s="240"/>
      <c r="X5" s="240"/>
      <c r="Y5" s="240"/>
      <c r="Z5" s="240"/>
    </row>
    <row r="6">
      <c r="A6" s="244" t="s">
        <v>490</v>
      </c>
      <c r="B6" s="245" t="s">
        <v>491</v>
      </c>
      <c r="C6" s="246">
        <v>0.0</v>
      </c>
      <c r="D6" s="246">
        <v>0.0</v>
      </c>
      <c r="E6" s="246">
        <v>0.0</v>
      </c>
      <c r="F6" s="246" t="s">
        <v>343</v>
      </c>
      <c r="G6" s="240"/>
      <c r="H6" s="240"/>
      <c r="I6" s="240"/>
      <c r="J6" s="240"/>
      <c r="K6" s="240"/>
      <c r="L6" s="240"/>
      <c r="M6" s="240"/>
      <c r="N6" s="240"/>
      <c r="O6" s="240"/>
      <c r="P6" s="240"/>
      <c r="Q6" s="240"/>
      <c r="R6" s="240"/>
      <c r="S6" s="240"/>
      <c r="T6" s="240"/>
      <c r="U6" s="240"/>
      <c r="V6" s="240"/>
      <c r="W6" s="240"/>
      <c r="X6" s="240"/>
      <c r="Y6" s="240"/>
      <c r="Z6" s="240"/>
    </row>
    <row r="7">
      <c r="A7" s="244" t="s">
        <v>492</v>
      </c>
      <c r="B7" s="245" t="s">
        <v>491</v>
      </c>
      <c r="C7" s="246">
        <v>0.0</v>
      </c>
      <c r="D7" s="246" t="s">
        <v>343</v>
      </c>
      <c r="E7" s="246">
        <v>0.0</v>
      </c>
      <c r="F7" s="246">
        <v>0.0</v>
      </c>
      <c r="G7" s="240"/>
      <c r="H7" s="240"/>
      <c r="I7" s="240"/>
      <c r="J7" s="240"/>
      <c r="K7" s="240"/>
      <c r="L7" s="240"/>
      <c r="M7" s="240"/>
      <c r="N7" s="240"/>
      <c r="O7" s="240"/>
      <c r="P7" s="240"/>
      <c r="Q7" s="240"/>
      <c r="R7" s="240"/>
      <c r="S7" s="240"/>
      <c r="T7" s="240"/>
      <c r="U7" s="240"/>
      <c r="V7" s="240"/>
      <c r="W7" s="240"/>
      <c r="X7" s="240"/>
      <c r="Y7" s="240"/>
      <c r="Z7" s="240"/>
    </row>
    <row r="8">
      <c r="A8" s="244" t="s">
        <v>493</v>
      </c>
      <c r="B8" s="245" t="s">
        <v>491</v>
      </c>
      <c r="C8" s="246" t="s">
        <v>343</v>
      </c>
      <c r="D8" s="246" t="s">
        <v>343</v>
      </c>
      <c r="E8" s="246">
        <v>0.0</v>
      </c>
      <c r="F8" s="246">
        <v>0.0</v>
      </c>
      <c r="G8" s="240"/>
      <c r="H8" s="240"/>
      <c r="I8" s="240"/>
      <c r="J8" s="240"/>
      <c r="K8" s="240"/>
      <c r="L8" s="240"/>
      <c r="M8" s="240"/>
      <c r="N8" s="240"/>
      <c r="O8" s="240"/>
      <c r="P8" s="240"/>
      <c r="Q8" s="240"/>
      <c r="R8" s="240"/>
      <c r="S8" s="240"/>
      <c r="T8" s="240"/>
      <c r="U8" s="240"/>
      <c r="V8" s="240"/>
      <c r="W8" s="240"/>
      <c r="X8" s="240"/>
      <c r="Y8" s="240"/>
      <c r="Z8" s="240"/>
    </row>
    <row r="9">
      <c r="A9" s="244" t="s">
        <v>494</v>
      </c>
      <c r="B9" s="245" t="s">
        <v>491</v>
      </c>
      <c r="C9" s="246" t="s">
        <v>343</v>
      </c>
      <c r="D9" s="246" t="s">
        <v>345</v>
      </c>
      <c r="E9" s="246" t="s">
        <v>343</v>
      </c>
      <c r="F9" s="246" t="s">
        <v>343</v>
      </c>
      <c r="G9" s="240"/>
      <c r="H9" s="240"/>
      <c r="I9" s="240"/>
      <c r="J9" s="240"/>
      <c r="K9" s="240"/>
      <c r="L9" s="240"/>
      <c r="M9" s="240"/>
      <c r="N9" s="240"/>
      <c r="O9" s="240"/>
      <c r="P9" s="240"/>
      <c r="Q9" s="240"/>
      <c r="R9" s="240"/>
      <c r="S9" s="240"/>
      <c r="T9" s="240"/>
      <c r="U9" s="240"/>
      <c r="V9" s="240"/>
      <c r="W9" s="240"/>
      <c r="X9" s="240"/>
      <c r="Y9" s="240"/>
      <c r="Z9" s="240"/>
    </row>
    <row r="10">
      <c r="A10" s="244" t="s">
        <v>495</v>
      </c>
      <c r="B10" s="245" t="s">
        <v>154</v>
      </c>
      <c r="C10" s="246" t="s">
        <v>343</v>
      </c>
      <c r="D10" s="246" t="s">
        <v>347</v>
      </c>
      <c r="E10" s="246">
        <v>0.0</v>
      </c>
      <c r="F10" s="246" t="s">
        <v>343</v>
      </c>
      <c r="G10" s="240"/>
      <c r="H10" s="240"/>
      <c r="I10" s="240"/>
      <c r="J10" s="240"/>
      <c r="K10" s="240"/>
      <c r="L10" s="240"/>
      <c r="M10" s="240"/>
      <c r="N10" s="240"/>
      <c r="O10" s="240"/>
      <c r="P10" s="240"/>
      <c r="Q10" s="240"/>
      <c r="R10" s="240"/>
      <c r="S10" s="240"/>
      <c r="T10" s="240"/>
      <c r="U10" s="240"/>
      <c r="V10" s="240"/>
      <c r="W10" s="240"/>
      <c r="X10" s="240"/>
      <c r="Y10" s="240"/>
      <c r="Z10" s="240"/>
    </row>
    <row r="11">
      <c r="A11" s="244" t="s">
        <v>496</v>
      </c>
      <c r="B11" s="245" t="s">
        <v>154</v>
      </c>
      <c r="C11" s="246">
        <v>0.0</v>
      </c>
      <c r="D11" s="246" t="s">
        <v>347</v>
      </c>
      <c r="E11" s="246">
        <v>0.0</v>
      </c>
      <c r="F11" s="246" t="s">
        <v>343</v>
      </c>
      <c r="G11" s="240"/>
      <c r="H11" s="240"/>
      <c r="I11" s="240"/>
      <c r="J11" s="240"/>
      <c r="K11" s="240"/>
      <c r="L11" s="240"/>
      <c r="M11" s="240"/>
      <c r="N11" s="240"/>
      <c r="O11" s="240"/>
      <c r="P11" s="240"/>
      <c r="Q11" s="240"/>
      <c r="R11" s="240"/>
      <c r="S11" s="240"/>
      <c r="T11" s="240"/>
      <c r="U11" s="240"/>
      <c r="V11" s="240"/>
      <c r="W11" s="240"/>
      <c r="X11" s="240"/>
      <c r="Y11" s="240"/>
      <c r="Z11" s="240"/>
    </row>
    <row r="12">
      <c r="A12" s="244" t="s">
        <v>497</v>
      </c>
      <c r="B12" s="245" t="s">
        <v>154</v>
      </c>
      <c r="C12" s="246">
        <v>0.0</v>
      </c>
      <c r="D12" s="246" t="s">
        <v>343</v>
      </c>
      <c r="E12" s="246">
        <v>0.0</v>
      </c>
      <c r="F12" s="246" t="s">
        <v>343</v>
      </c>
      <c r="G12" s="240"/>
      <c r="H12" s="240"/>
      <c r="I12" s="240"/>
      <c r="J12" s="240"/>
      <c r="K12" s="240"/>
      <c r="L12" s="240"/>
      <c r="M12" s="240"/>
      <c r="N12" s="240"/>
      <c r="O12" s="240"/>
      <c r="P12" s="240"/>
      <c r="Q12" s="240"/>
      <c r="R12" s="240"/>
      <c r="S12" s="240"/>
      <c r="T12" s="240"/>
      <c r="U12" s="240"/>
      <c r="V12" s="240"/>
      <c r="W12" s="240"/>
      <c r="X12" s="240"/>
      <c r="Y12" s="240"/>
      <c r="Z12" s="240"/>
    </row>
    <row r="13">
      <c r="A13" s="244" t="s">
        <v>498</v>
      </c>
      <c r="B13" s="245" t="s">
        <v>154</v>
      </c>
      <c r="C13" s="246" t="s">
        <v>343</v>
      </c>
      <c r="D13" s="246" t="s">
        <v>343</v>
      </c>
      <c r="E13" s="246">
        <v>0.0</v>
      </c>
      <c r="F13" s="246" t="s">
        <v>343</v>
      </c>
      <c r="G13" s="240"/>
      <c r="H13" s="240"/>
      <c r="I13" s="240"/>
      <c r="J13" s="240"/>
      <c r="K13" s="240"/>
      <c r="L13" s="240"/>
      <c r="M13" s="240"/>
      <c r="N13" s="240"/>
      <c r="O13" s="240"/>
      <c r="P13" s="240"/>
      <c r="Q13" s="240"/>
      <c r="R13" s="240"/>
      <c r="S13" s="240"/>
      <c r="T13" s="240"/>
      <c r="U13" s="240"/>
      <c r="V13" s="240"/>
      <c r="W13" s="240"/>
      <c r="X13" s="240"/>
      <c r="Y13" s="240"/>
      <c r="Z13" s="240"/>
    </row>
    <row r="14">
      <c r="A14" s="244" t="s">
        <v>499</v>
      </c>
      <c r="B14" s="245" t="s">
        <v>154</v>
      </c>
      <c r="C14" s="246">
        <v>0.0</v>
      </c>
      <c r="D14" s="246">
        <v>0.0</v>
      </c>
      <c r="E14" s="246">
        <v>0.0</v>
      </c>
      <c r="F14" s="246" t="s">
        <v>343</v>
      </c>
      <c r="G14" s="240"/>
      <c r="H14" s="240"/>
      <c r="I14" s="240"/>
      <c r="J14" s="240"/>
      <c r="K14" s="240"/>
      <c r="L14" s="240"/>
      <c r="M14" s="240"/>
      <c r="N14" s="240"/>
      <c r="O14" s="240"/>
      <c r="P14" s="240"/>
      <c r="Q14" s="240"/>
      <c r="R14" s="240"/>
      <c r="S14" s="240"/>
      <c r="T14" s="240"/>
      <c r="U14" s="240"/>
      <c r="V14" s="240"/>
      <c r="W14" s="240"/>
      <c r="X14" s="240"/>
      <c r="Y14" s="240"/>
      <c r="Z14" s="240"/>
    </row>
    <row r="15">
      <c r="A15" s="244" t="s">
        <v>500</v>
      </c>
      <c r="B15" s="245" t="s">
        <v>501</v>
      </c>
      <c r="C15" s="246">
        <v>0.0</v>
      </c>
      <c r="D15" s="246">
        <v>0.0</v>
      </c>
      <c r="E15" s="246">
        <v>0.0</v>
      </c>
      <c r="F15" s="246" t="s">
        <v>343</v>
      </c>
      <c r="G15" s="240"/>
      <c r="H15" s="240"/>
      <c r="I15" s="240"/>
      <c r="J15" s="240"/>
      <c r="K15" s="240"/>
      <c r="L15" s="240"/>
      <c r="M15" s="240"/>
      <c r="N15" s="240"/>
      <c r="O15" s="240"/>
      <c r="P15" s="240"/>
      <c r="Q15" s="240"/>
      <c r="R15" s="240"/>
      <c r="S15" s="240"/>
      <c r="T15" s="240"/>
      <c r="U15" s="240"/>
      <c r="V15" s="240"/>
      <c r="W15" s="240"/>
      <c r="X15" s="240"/>
      <c r="Y15" s="240"/>
      <c r="Z15" s="240"/>
    </row>
    <row r="16">
      <c r="A16" s="244" t="s">
        <v>502</v>
      </c>
      <c r="B16" s="245" t="s">
        <v>503</v>
      </c>
      <c r="C16" s="246">
        <v>0.0</v>
      </c>
      <c r="D16" s="246" t="s">
        <v>343</v>
      </c>
      <c r="E16" s="246">
        <v>0.0</v>
      </c>
      <c r="F16" s="246">
        <v>0.0</v>
      </c>
      <c r="G16" s="240"/>
      <c r="H16" s="240"/>
      <c r="I16" s="240"/>
      <c r="J16" s="240"/>
      <c r="K16" s="240"/>
      <c r="L16" s="240"/>
      <c r="M16" s="240"/>
      <c r="N16" s="240"/>
      <c r="O16" s="240"/>
      <c r="P16" s="240"/>
      <c r="Q16" s="240"/>
      <c r="R16" s="240"/>
      <c r="S16" s="240"/>
      <c r="T16" s="240"/>
      <c r="U16" s="240"/>
      <c r="V16" s="240"/>
      <c r="W16" s="240"/>
      <c r="X16" s="240"/>
      <c r="Y16" s="240"/>
      <c r="Z16" s="240"/>
    </row>
    <row r="17">
      <c r="A17" s="244" t="s">
        <v>504</v>
      </c>
      <c r="B17" s="245" t="s">
        <v>505</v>
      </c>
      <c r="C17" s="246">
        <v>0.0</v>
      </c>
      <c r="D17" s="246" t="s">
        <v>343</v>
      </c>
      <c r="E17" s="246">
        <v>0.0</v>
      </c>
      <c r="F17" s="246">
        <v>0.0</v>
      </c>
      <c r="G17" s="240"/>
      <c r="H17" s="240"/>
      <c r="I17" s="240"/>
      <c r="J17" s="240"/>
      <c r="K17" s="240"/>
      <c r="L17" s="240"/>
      <c r="M17" s="240"/>
      <c r="N17" s="240"/>
      <c r="O17" s="240"/>
      <c r="P17" s="240"/>
      <c r="Q17" s="240"/>
      <c r="R17" s="240"/>
      <c r="S17" s="240"/>
      <c r="T17" s="240"/>
      <c r="U17" s="240"/>
      <c r="V17" s="240"/>
      <c r="W17" s="240"/>
      <c r="X17" s="240"/>
      <c r="Y17" s="240"/>
      <c r="Z17" s="240"/>
    </row>
    <row r="18">
      <c r="A18" s="244" t="s">
        <v>506</v>
      </c>
      <c r="B18" s="245" t="s">
        <v>505</v>
      </c>
      <c r="C18" s="246" t="s">
        <v>343</v>
      </c>
      <c r="D18" s="246" t="s">
        <v>343</v>
      </c>
      <c r="E18" s="246">
        <v>0.0</v>
      </c>
      <c r="F18" s="246" t="s">
        <v>343</v>
      </c>
      <c r="G18" s="240"/>
      <c r="H18" s="240"/>
      <c r="I18" s="240"/>
      <c r="J18" s="240"/>
      <c r="K18" s="240"/>
      <c r="L18" s="240"/>
      <c r="M18" s="240"/>
      <c r="N18" s="240"/>
      <c r="O18" s="240"/>
      <c r="P18" s="240"/>
      <c r="Q18" s="240"/>
      <c r="R18" s="240"/>
      <c r="S18" s="240"/>
      <c r="T18" s="240"/>
      <c r="U18" s="240"/>
      <c r="V18" s="240"/>
      <c r="W18" s="240"/>
      <c r="X18" s="240"/>
      <c r="Y18" s="240"/>
      <c r="Z18" s="240"/>
    </row>
    <row r="19">
      <c r="A19" s="244" t="s">
        <v>507</v>
      </c>
      <c r="B19" s="245" t="s">
        <v>505</v>
      </c>
      <c r="C19" s="246" t="s">
        <v>343</v>
      </c>
      <c r="D19" s="246" t="s">
        <v>343</v>
      </c>
      <c r="E19" s="246" t="s">
        <v>343</v>
      </c>
      <c r="F19" s="246" t="s">
        <v>343</v>
      </c>
      <c r="G19" s="240"/>
      <c r="H19" s="240"/>
      <c r="I19" s="240"/>
      <c r="J19" s="240"/>
      <c r="K19" s="240"/>
      <c r="L19" s="240"/>
      <c r="M19" s="240"/>
      <c r="N19" s="240"/>
      <c r="O19" s="240"/>
      <c r="P19" s="240"/>
      <c r="Q19" s="240"/>
      <c r="R19" s="240"/>
      <c r="S19" s="240"/>
      <c r="T19" s="240"/>
      <c r="U19" s="240"/>
      <c r="V19" s="240"/>
      <c r="W19" s="240"/>
      <c r="X19" s="240"/>
      <c r="Y19" s="240"/>
      <c r="Z19" s="240"/>
    </row>
    <row r="20">
      <c r="A20" s="244" t="s">
        <v>508</v>
      </c>
      <c r="B20" s="245" t="s">
        <v>505</v>
      </c>
      <c r="C20" s="246">
        <v>0.0</v>
      </c>
      <c r="D20" s="246" t="s">
        <v>343</v>
      </c>
      <c r="E20" s="246">
        <v>0.0</v>
      </c>
      <c r="F20" s="246" t="s">
        <v>343</v>
      </c>
      <c r="G20" s="240"/>
      <c r="H20" s="240"/>
      <c r="I20" s="240"/>
      <c r="J20" s="240"/>
      <c r="K20" s="240"/>
      <c r="L20" s="240"/>
      <c r="M20" s="240"/>
      <c r="N20" s="240"/>
      <c r="O20" s="240"/>
      <c r="P20" s="240"/>
      <c r="Q20" s="240"/>
      <c r="R20" s="240"/>
      <c r="S20" s="240"/>
      <c r="T20" s="240"/>
      <c r="U20" s="240"/>
      <c r="V20" s="240"/>
      <c r="W20" s="240"/>
      <c r="X20" s="240"/>
      <c r="Y20" s="240"/>
      <c r="Z20" s="240"/>
    </row>
    <row r="21">
      <c r="A21" s="244" t="s">
        <v>509</v>
      </c>
      <c r="B21" s="245" t="s">
        <v>505</v>
      </c>
      <c r="C21" s="246">
        <v>0.0</v>
      </c>
      <c r="D21" s="246" t="s">
        <v>343</v>
      </c>
      <c r="E21" s="246">
        <v>0.0</v>
      </c>
      <c r="F21" s="246" t="s">
        <v>343</v>
      </c>
      <c r="G21" s="240"/>
      <c r="H21" s="240"/>
      <c r="I21" s="240"/>
      <c r="J21" s="240"/>
      <c r="K21" s="240"/>
      <c r="L21" s="240"/>
      <c r="M21" s="240"/>
      <c r="N21" s="240"/>
      <c r="O21" s="240"/>
      <c r="P21" s="240"/>
      <c r="Q21" s="240"/>
      <c r="R21" s="240"/>
      <c r="S21" s="240"/>
      <c r="T21" s="240"/>
      <c r="U21" s="240"/>
      <c r="V21" s="240"/>
      <c r="W21" s="240"/>
      <c r="X21" s="240"/>
      <c r="Y21" s="240"/>
      <c r="Z21" s="240"/>
    </row>
    <row r="22">
      <c r="A22" s="244" t="s">
        <v>510</v>
      </c>
      <c r="B22" s="245" t="s">
        <v>511</v>
      </c>
      <c r="C22" s="246" t="s">
        <v>343</v>
      </c>
      <c r="D22" s="246" t="s">
        <v>343</v>
      </c>
      <c r="E22" s="246">
        <v>0.0</v>
      </c>
      <c r="F22" s="246" t="s">
        <v>343</v>
      </c>
      <c r="G22" s="240"/>
      <c r="H22" s="240"/>
      <c r="I22" s="240"/>
      <c r="J22" s="240"/>
      <c r="K22" s="240"/>
      <c r="L22" s="240"/>
      <c r="M22" s="240"/>
      <c r="N22" s="240"/>
      <c r="O22" s="240"/>
      <c r="P22" s="240"/>
      <c r="Q22" s="240"/>
      <c r="R22" s="240"/>
      <c r="S22" s="240"/>
      <c r="T22" s="240"/>
      <c r="U22" s="240"/>
      <c r="V22" s="240"/>
      <c r="W22" s="240"/>
      <c r="X22" s="240"/>
      <c r="Y22" s="240"/>
      <c r="Z22" s="240"/>
    </row>
    <row r="23">
      <c r="A23" s="244" t="s">
        <v>512</v>
      </c>
      <c r="B23" s="245" t="s">
        <v>511</v>
      </c>
      <c r="C23" s="246">
        <v>0.0</v>
      </c>
      <c r="D23" s="246" t="s">
        <v>343</v>
      </c>
      <c r="E23" s="246">
        <v>0.0</v>
      </c>
      <c r="F23" s="246" t="s">
        <v>343</v>
      </c>
      <c r="G23" s="240"/>
      <c r="H23" s="240"/>
      <c r="I23" s="240"/>
      <c r="J23" s="240"/>
      <c r="K23" s="240"/>
      <c r="L23" s="240"/>
      <c r="M23" s="240"/>
      <c r="N23" s="240"/>
      <c r="O23" s="240"/>
      <c r="P23" s="240"/>
      <c r="Q23" s="240"/>
      <c r="R23" s="240"/>
      <c r="S23" s="240"/>
      <c r="T23" s="240"/>
      <c r="U23" s="240"/>
      <c r="V23" s="240"/>
      <c r="W23" s="240"/>
      <c r="X23" s="240"/>
      <c r="Y23" s="240"/>
      <c r="Z23" s="240"/>
    </row>
    <row r="24">
      <c r="A24" s="244" t="s">
        <v>513</v>
      </c>
      <c r="B24" s="245" t="s">
        <v>511</v>
      </c>
      <c r="C24" s="246">
        <v>0.0</v>
      </c>
      <c r="D24" s="246" t="s">
        <v>343</v>
      </c>
      <c r="E24" s="246" t="s">
        <v>343</v>
      </c>
      <c r="F24" s="246" t="s">
        <v>343</v>
      </c>
      <c r="G24" s="240"/>
      <c r="H24" s="240"/>
      <c r="I24" s="240"/>
      <c r="J24" s="240"/>
      <c r="K24" s="240"/>
      <c r="L24" s="240"/>
      <c r="M24" s="240"/>
      <c r="N24" s="240"/>
      <c r="O24" s="240"/>
      <c r="P24" s="240"/>
      <c r="Q24" s="240"/>
      <c r="R24" s="240"/>
      <c r="S24" s="240"/>
      <c r="T24" s="240"/>
      <c r="U24" s="240"/>
      <c r="V24" s="240"/>
      <c r="W24" s="240"/>
      <c r="X24" s="240"/>
      <c r="Y24" s="240"/>
      <c r="Z24" s="240"/>
    </row>
    <row r="25">
      <c r="A25" s="244" t="s">
        <v>514</v>
      </c>
      <c r="B25" s="245" t="s">
        <v>511</v>
      </c>
      <c r="C25" s="246" t="s">
        <v>343</v>
      </c>
      <c r="D25" s="246" t="s">
        <v>347</v>
      </c>
      <c r="E25" s="246">
        <v>0.0</v>
      </c>
      <c r="F25" s="246" t="s">
        <v>343</v>
      </c>
      <c r="G25" s="240"/>
      <c r="H25" s="240"/>
      <c r="I25" s="240"/>
      <c r="J25" s="240"/>
      <c r="K25" s="240"/>
      <c r="L25" s="240"/>
      <c r="M25" s="240"/>
      <c r="N25" s="240"/>
      <c r="O25" s="240"/>
      <c r="P25" s="240"/>
      <c r="Q25" s="240"/>
      <c r="R25" s="240"/>
      <c r="S25" s="240"/>
      <c r="T25" s="240"/>
      <c r="U25" s="240"/>
      <c r="V25" s="240"/>
      <c r="W25" s="240"/>
      <c r="X25" s="240"/>
      <c r="Y25" s="240"/>
      <c r="Z25" s="240"/>
    </row>
    <row r="26">
      <c r="A26" s="244" t="s">
        <v>515</v>
      </c>
      <c r="B26" s="245" t="s">
        <v>511</v>
      </c>
      <c r="C26" s="246" t="s">
        <v>343</v>
      </c>
      <c r="D26" s="246" t="s">
        <v>345</v>
      </c>
      <c r="E26" s="246">
        <v>0.0</v>
      </c>
      <c r="F26" s="246" t="s">
        <v>343</v>
      </c>
      <c r="G26" s="240"/>
      <c r="H26" s="240"/>
      <c r="I26" s="240"/>
      <c r="J26" s="240"/>
      <c r="K26" s="240"/>
      <c r="L26" s="240"/>
      <c r="M26" s="240"/>
      <c r="N26" s="240"/>
      <c r="O26" s="240"/>
      <c r="P26" s="240"/>
      <c r="Q26" s="240"/>
      <c r="R26" s="240"/>
      <c r="S26" s="240"/>
      <c r="T26" s="240"/>
      <c r="U26" s="240"/>
      <c r="V26" s="240"/>
      <c r="W26" s="240"/>
      <c r="X26" s="240"/>
      <c r="Y26" s="240"/>
      <c r="Z26" s="240"/>
    </row>
    <row r="27">
      <c r="A27" s="244" t="s">
        <v>516</v>
      </c>
      <c r="B27" s="245" t="s">
        <v>511</v>
      </c>
      <c r="C27" s="246">
        <v>0.0</v>
      </c>
      <c r="D27" s="246" t="s">
        <v>343</v>
      </c>
      <c r="E27" s="246">
        <v>0.0</v>
      </c>
      <c r="F27" s="246">
        <v>0.0</v>
      </c>
      <c r="G27" s="240"/>
      <c r="H27" s="240"/>
      <c r="I27" s="240"/>
      <c r="J27" s="240"/>
      <c r="K27" s="240"/>
      <c r="L27" s="240"/>
      <c r="M27" s="240"/>
      <c r="N27" s="240"/>
      <c r="O27" s="240"/>
      <c r="P27" s="240"/>
      <c r="Q27" s="240"/>
      <c r="R27" s="240"/>
      <c r="S27" s="240"/>
      <c r="T27" s="240"/>
      <c r="U27" s="240"/>
      <c r="V27" s="240"/>
      <c r="W27" s="240"/>
      <c r="X27" s="240"/>
      <c r="Y27" s="240"/>
      <c r="Z27" s="240"/>
    </row>
    <row r="28">
      <c r="A28" s="244" t="s">
        <v>517</v>
      </c>
      <c r="B28" s="245" t="s">
        <v>156</v>
      </c>
      <c r="C28" s="246" t="s">
        <v>343</v>
      </c>
      <c r="D28" s="246" t="s">
        <v>343</v>
      </c>
      <c r="E28" s="246">
        <v>0.0</v>
      </c>
      <c r="F28" s="246">
        <v>0.0</v>
      </c>
      <c r="G28" s="240"/>
      <c r="H28" s="240"/>
      <c r="I28" s="240"/>
      <c r="J28" s="240"/>
      <c r="K28" s="240"/>
      <c r="L28" s="240"/>
      <c r="M28" s="240"/>
      <c r="N28" s="240"/>
      <c r="O28" s="240"/>
      <c r="P28" s="240"/>
      <c r="Q28" s="240"/>
      <c r="R28" s="240"/>
      <c r="S28" s="240"/>
      <c r="T28" s="240"/>
      <c r="U28" s="240"/>
      <c r="V28" s="240"/>
      <c r="W28" s="240"/>
      <c r="X28" s="240"/>
      <c r="Y28" s="240"/>
      <c r="Z28" s="240"/>
    </row>
    <row r="29">
      <c r="A29" s="244" t="s">
        <v>518</v>
      </c>
      <c r="B29" s="245" t="s">
        <v>156</v>
      </c>
      <c r="C29" s="246" t="s">
        <v>343</v>
      </c>
      <c r="D29" s="246" t="s">
        <v>347</v>
      </c>
      <c r="E29" s="246" t="s">
        <v>343</v>
      </c>
      <c r="F29" s="246" t="s">
        <v>343</v>
      </c>
      <c r="G29" s="240"/>
      <c r="H29" s="240"/>
      <c r="I29" s="240"/>
      <c r="J29" s="240"/>
      <c r="K29" s="240"/>
      <c r="L29" s="240"/>
      <c r="M29" s="240"/>
      <c r="N29" s="240"/>
      <c r="O29" s="240"/>
      <c r="P29" s="240"/>
      <c r="Q29" s="240"/>
      <c r="R29" s="240"/>
      <c r="S29" s="240"/>
      <c r="T29" s="240"/>
      <c r="U29" s="240"/>
      <c r="V29" s="240"/>
      <c r="W29" s="240"/>
      <c r="X29" s="240"/>
      <c r="Y29" s="240"/>
      <c r="Z29" s="240"/>
    </row>
    <row r="30">
      <c r="A30" s="244" t="s">
        <v>519</v>
      </c>
      <c r="B30" s="245" t="s">
        <v>156</v>
      </c>
      <c r="C30" s="246">
        <v>0.0</v>
      </c>
      <c r="D30" s="246" t="s">
        <v>343</v>
      </c>
      <c r="E30" s="246">
        <v>0.0</v>
      </c>
      <c r="F30" s="246" t="s">
        <v>343</v>
      </c>
      <c r="G30" s="240"/>
      <c r="H30" s="240"/>
      <c r="I30" s="240"/>
      <c r="J30" s="240"/>
      <c r="K30" s="240"/>
      <c r="L30" s="240"/>
      <c r="M30" s="240"/>
      <c r="N30" s="240"/>
      <c r="O30" s="240"/>
      <c r="P30" s="240"/>
      <c r="Q30" s="240"/>
      <c r="R30" s="240"/>
      <c r="S30" s="240"/>
      <c r="T30" s="240"/>
      <c r="U30" s="240"/>
      <c r="V30" s="240"/>
      <c r="W30" s="240"/>
      <c r="X30" s="240"/>
      <c r="Y30" s="240"/>
      <c r="Z30" s="240"/>
    </row>
    <row r="31">
      <c r="A31" s="244" t="s">
        <v>520</v>
      </c>
      <c r="B31" s="245" t="s">
        <v>156</v>
      </c>
      <c r="C31" s="246">
        <v>0.0</v>
      </c>
      <c r="D31" s="246" t="s">
        <v>343</v>
      </c>
      <c r="E31" s="246">
        <v>0.0</v>
      </c>
      <c r="F31" s="246" t="s">
        <v>343</v>
      </c>
      <c r="G31" s="240"/>
      <c r="H31" s="240"/>
      <c r="I31" s="240"/>
      <c r="J31" s="240"/>
      <c r="K31" s="240"/>
      <c r="L31" s="240"/>
      <c r="M31" s="240"/>
      <c r="N31" s="240"/>
      <c r="O31" s="240"/>
      <c r="P31" s="240"/>
      <c r="Q31" s="240"/>
      <c r="R31" s="240"/>
      <c r="S31" s="240"/>
      <c r="T31" s="240"/>
      <c r="U31" s="240"/>
      <c r="V31" s="240"/>
      <c r="W31" s="240"/>
      <c r="X31" s="240"/>
      <c r="Y31" s="240"/>
      <c r="Z31" s="240"/>
    </row>
    <row r="32">
      <c r="A32" s="244" t="s">
        <v>521</v>
      </c>
      <c r="B32" s="245" t="s">
        <v>156</v>
      </c>
      <c r="C32" s="246" t="s">
        <v>343</v>
      </c>
      <c r="D32" s="246" t="s">
        <v>343</v>
      </c>
      <c r="E32" s="246">
        <v>0.0</v>
      </c>
      <c r="F32" s="246">
        <v>0.0</v>
      </c>
      <c r="G32" s="240"/>
      <c r="H32" s="240"/>
      <c r="I32" s="240"/>
      <c r="J32" s="240"/>
      <c r="K32" s="240"/>
      <c r="L32" s="240"/>
      <c r="M32" s="240"/>
      <c r="N32" s="240"/>
      <c r="O32" s="240"/>
      <c r="P32" s="240"/>
      <c r="Q32" s="240"/>
      <c r="R32" s="240"/>
      <c r="S32" s="240"/>
      <c r="T32" s="240"/>
      <c r="U32" s="240"/>
      <c r="V32" s="240"/>
      <c r="W32" s="240"/>
      <c r="X32" s="240"/>
      <c r="Y32" s="240"/>
      <c r="Z32" s="240"/>
    </row>
    <row r="33">
      <c r="A33" s="244" t="s">
        <v>522</v>
      </c>
      <c r="B33" s="245" t="s">
        <v>523</v>
      </c>
      <c r="C33" s="246">
        <v>0.0</v>
      </c>
      <c r="D33" s="246">
        <v>0.0</v>
      </c>
      <c r="E33" s="246">
        <v>0.0</v>
      </c>
      <c r="F33" s="246" t="s">
        <v>343</v>
      </c>
      <c r="G33" s="240"/>
      <c r="H33" s="240"/>
      <c r="I33" s="240"/>
      <c r="J33" s="240"/>
      <c r="K33" s="240"/>
      <c r="L33" s="240"/>
      <c r="M33" s="240"/>
      <c r="N33" s="240"/>
      <c r="O33" s="240"/>
      <c r="P33" s="240"/>
      <c r="Q33" s="240"/>
      <c r="R33" s="240"/>
      <c r="S33" s="240"/>
      <c r="T33" s="240"/>
      <c r="U33" s="240"/>
      <c r="V33" s="240"/>
      <c r="W33" s="240"/>
      <c r="X33" s="240"/>
      <c r="Y33" s="240"/>
      <c r="Z33" s="240"/>
    </row>
    <row r="34">
      <c r="A34" s="244" t="s">
        <v>524</v>
      </c>
      <c r="B34" s="245" t="s">
        <v>523</v>
      </c>
      <c r="C34" s="246" t="s">
        <v>343</v>
      </c>
      <c r="D34" s="246" t="s">
        <v>379</v>
      </c>
      <c r="E34" s="246">
        <v>0.0</v>
      </c>
      <c r="F34" s="246" t="s">
        <v>343</v>
      </c>
      <c r="G34" s="240"/>
      <c r="H34" s="240"/>
      <c r="I34" s="240"/>
      <c r="J34" s="240"/>
      <c r="K34" s="240"/>
      <c r="L34" s="240"/>
      <c r="M34" s="240"/>
      <c r="N34" s="240"/>
      <c r="O34" s="240"/>
      <c r="P34" s="240"/>
      <c r="Q34" s="240"/>
      <c r="R34" s="240"/>
      <c r="S34" s="240"/>
      <c r="T34" s="240"/>
      <c r="U34" s="240"/>
      <c r="V34" s="240"/>
      <c r="W34" s="240"/>
      <c r="X34" s="240"/>
      <c r="Y34" s="240"/>
      <c r="Z34" s="240"/>
    </row>
    <row r="35">
      <c r="A35" s="244" t="s">
        <v>525</v>
      </c>
      <c r="B35" s="245" t="s">
        <v>523</v>
      </c>
      <c r="C35" s="246" t="s">
        <v>343</v>
      </c>
      <c r="D35" s="246" t="s">
        <v>347</v>
      </c>
      <c r="E35" s="246" t="s">
        <v>343</v>
      </c>
      <c r="F35" s="246" t="s">
        <v>343</v>
      </c>
      <c r="G35" s="240"/>
      <c r="H35" s="240"/>
      <c r="I35" s="240"/>
      <c r="J35" s="240"/>
      <c r="K35" s="240"/>
      <c r="L35" s="240"/>
      <c r="M35" s="240"/>
      <c r="N35" s="240"/>
      <c r="O35" s="240"/>
      <c r="P35" s="240"/>
      <c r="Q35" s="240"/>
      <c r="R35" s="240"/>
      <c r="S35" s="240"/>
      <c r="T35" s="240"/>
      <c r="U35" s="240"/>
      <c r="V35" s="240"/>
      <c r="W35" s="240"/>
      <c r="X35" s="240"/>
      <c r="Y35" s="240"/>
      <c r="Z35" s="240"/>
    </row>
    <row r="36">
      <c r="A36" s="244" t="s">
        <v>526</v>
      </c>
      <c r="B36" s="245" t="s">
        <v>523</v>
      </c>
      <c r="C36" s="246">
        <v>0.0</v>
      </c>
      <c r="D36" s="246" t="s">
        <v>343</v>
      </c>
      <c r="E36" s="246">
        <v>0.0</v>
      </c>
      <c r="F36" s="246" t="s">
        <v>343</v>
      </c>
      <c r="G36" s="240"/>
      <c r="H36" s="240"/>
      <c r="I36" s="240"/>
      <c r="J36" s="240"/>
      <c r="K36" s="240"/>
      <c r="L36" s="240"/>
      <c r="M36" s="240"/>
      <c r="N36" s="240"/>
      <c r="O36" s="240"/>
      <c r="P36" s="240"/>
      <c r="Q36" s="240"/>
      <c r="R36" s="240"/>
      <c r="S36" s="240"/>
      <c r="T36" s="240"/>
      <c r="U36" s="240"/>
      <c r="V36" s="240"/>
      <c r="W36" s="240"/>
      <c r="X36" s="240"/>
      <c r="Y36" s="240"/>
      <c r="Z36" s="240"/>
    </row>
    <row r="37">
      <c r="A37" s="244" t="s">
        <v>527</v>
      </c>
      <c r="B37" s="245" t="s">
        <v>523</v>
      </c>
      <c r="C37" s="246">
        <v>0.0</v>
      </c>
      <c r="D37" s="246" t="s">
        <v>343</v>
      </c>
      <c r="E37" s="246">
        <v>0.0</v>
      </c>
      <c r="F37" s="246">
        <v>0.0</v>
      </c>
      <c r="G37" s="240"/>
      <c r="H37" s="240"/>
      <c r="I37" s="240"/>
      <c r="J37" s="240"/>
      <c r="K37" s="240"/>
      <c r="L37" s="240"/>
      <c r="M37" s="240"/>
      <c r="N37" s="240"/>
      <c r="O37" s="240"/>
      <c r="P37" s="240"/>
      <c r="Q37" s="240"/>
      <c r="R37" s="240"/>
      <c r="S37" s="240"/>
      <c r="T37" s="240"/>
      <c r="U37" s="240"/>
      <c r="V37" s="240"/>
      <c r="W37" s="240"/>
      <c r="X37" s="240"/>
      <c r="Y37" s="240"/>
      <c r="Z37" s="240"/>
    </row>
    <row r="38">
      <c r="A38" s="244" t="s">
        <v>528</v>
      </c>
      <c r="B38" s="245" t="s">
        <v>523</v>
      </c>
      <c r="C38" s="246">
        <v>0.0</v>
      </c>
      <c r="D38" s="246" t="s">
        <v>343</v>
      </c>
      <c r="E38" s="246">
        <v>0.0</v>
      </c>
      <c r="F38" s="246" t="s">
        <v>343</v>
      </c>
      <c r="G38" s="240"/>
      <c r="H38" s="240"/>
      <c r="I38" s="240"/>
      <c r="J38" s="240"/>
      <c r="K38" s="240"/>
      <c r="L38" s="240"/>
      <c r="M38" s="240"/>
      <c r="N38" s="240"/>
      <c r="O38" s="240"/>
      <c r="P38" s="240"/>
      <c r="Q38" s="240"/>
      <c r="R38" s="240"/>
      <c r="S38" s="240"/>
      <c r="T38" s="240"/>
      <c r="U38" s="240"/>
      <c r="V38" s="240"/>
      <c r="W38" s="240"/>
      <c r="X38" s="240"/>
      <c r="Y38" s="240"/>
      <c r="Z38" s="240"/>
    </row>
    <row r="39">
      <c r="A39" s="244" t="s">
        <v>529</v>
      </c>
      <c r="B39" s="245" t="s">
        <v>523</v>
      </c>
      <c r="C39" s="246">
        <v>0.0</v>
      </c>
      <c r="D39" s="246" t="s">
        <v>343</v>
      </c>
      <c r="E39" s="246">
        <v>0.0</v>
      </c>
      <c r="F39" s="246">
        <v>0.0</v>
      </c>
      <c r="G39" s="240"/>
      <c r="H39" s="240"/>
      <c r="I39" s="240"/>
      <c r="J39" s="240"/>
      <c r="K39" s="240"/>
      <c r="L39" s="240"/>
      <c r="M39" s="240"/>
      <c r="N39" s="240"/>
      <c r="O39" s="240"/>
      <c r="P39" s="240"/>
      <c r="Q39" s="240"/>
      <c r="R39" s="240"/>
      <c r="S39" s="240"/>
      <c r="T39" s="240"/>
      <c r="U39" s="240"/>
      <c r="V39" s="240"/>
      <c r="W39" s="240"/>
      <c r="X39" s="240"/>
      <c r="Y39" s="240"/>
      <c r="Z39" s="240"/>
    </row>
    <row r="40">
      <c r="A40" s="244" t="s">
        <v>530</v>
      </c>
      <c r="B40" s="245" t="s">
        <v>523</v>
      </c>
      <c r="C40" s="246" t="s">
        <v>343</v>
      </c>
      <c r="D40" s="246" t="s">
        <v>347</v>
      </c>
      <c r="E40" s="246">
        <v>0.0</v>
      </c>
      <c r="F40" s="246">
        <v>0.0</v>
      </c>
      <c r="G40" s="240"/>
      <c r="H40" s="240"/>
      <c r="I40" s="240"/>
      <c r="J40" s="240"/>
      <c r="K40" s="240"/>
      <c r="L40" s="240"/>
      <c r="M40" s="240"/>
      <c r="N40" s="240"/>
      <c r="O40" s="240"/>
      <c r="P40" s="240"/>
      <c r="Q40" s="240"/>
      <c r="R40" s="240"/>
      <c r="S40" s="240"/>
      <c r="T40" s="240"/>
      <c r="U40" s="240"/>
      <c r="V40" s="240"/>
      <c r="W40" s="240"/>
      <c r="X40" s="240"/>
      <c r="Y40" s="240"/>
      <c r="Z40" s="240"/>
    </row>
    <row r="41">
      <c r="A41" s="244" t="s">
        <v>531</v>
      </c>
      <c r="B41" s="245" t="s">
        <v>523</v>
      </c>
      <c r="C41" s="246" t="s">
        <v>347</v>
      </c>
      <c r="D41" s="246" t="s">
        <v>361</v>
      </c>
      <c r="E41" s="246">
        <v>0.0</v>
      </c>
      <c r="F41" s="246" t="s">
        <v>343</v>
      </c>
      <c r="G41" s="240"/>
      <c r="H41" s="240"/>
      <c r="I41" s="240"/>
      <c r="J41" s="240"/>
      <c r="K41" s="240"/>
      <c r="L41" s="240"/>
      <c r="M41" s="240"/>
      <c r="N41" s="240"/>
      <c r="O41" s="240"/>
      <c r="P41" s="240"/>
      <c r="Q41" s="240"/>
      <c r="R41" s="240"/>
      <c r="S41" s="240"/>
      <c r="T41" s="240"/>
      <c r="U41" s="240"/>
      <c r="V41" s="240"/>
      <c r="W41" s="240"/>
      <c r="X41" s="240"/>
      <c r="Y41" s="240"/>
      <c r="Z41" s="240"/>
    </row>
    <row r="42">
      <c r="A42" s="244" t="s">
        <v>532</v>
      </c>
      <c r="B42" s="245" t="s">
        <v>523</v>
      </c>
      <c r="C42" s="246">
        <v>0.0</v>
      </c>
      <c r="D42" s="246" t="s">
        <v>347</v>
      </c>
      <c r="E42" s="246">
        <v>0.0</v>
      </c>
      <c r="F42" s="246" t="s">
        <v>343</v>
      </c>
      <c r="G42" s="240"/>
      <c r="H42" s="240"/>
      <c r="I42" s="240"/>
      <c r="J42" s="240"/>
      <c r="K42" s="240"/>
      <c r="L42" s="240"/>
      <c r="M42" s="240"/>
      <c r="N42" s="240"/>
      <c r="O42" s="240"/>
      <c r="P42" s="240"/>
      <c r="Q42" s="240"/>
      <c r="R42" s="240"/>
      <c r="S42" s="240"/>
      <c r="T42" s="240"/>
      <c r="U42" s="240"/>
      <c r="V42" s="240"/>
      <c r="W42" s="240"/>
      <c r="X42" s="240"/>
      <c r="Y42" s="240"/>
      <c r="Z42" s="240"/>
    </row>
    <row r="43">
      <c r="A43" s="244" t="s">
        <v>533</v>
      </c>
      <c r="B43" s="245" t="s">
        <v>523</v>
      </c>
      <c r="C43" s="246">
        <v>0.0</v>
      </c>
      <c r="D43" s="246" t="s">
        <v>345</v>
      </c>
      <c r="E43" s="246">
        <v>0.0</v>
      </c>
      <c r="F43" s="246">
        <v>0.0</v>
      </c>
      <c r="G43" s="240"/>
      <c r="H43" s="240"/>
      <c r="I43" s="240"/>
      <c r="J43" s="240"/>
      <c r="K43" s="240"/>
      <c r="L43" s="240"/>
      <c r="M43" s="240"/>
      <c r="N43" s="240"/>
      <c r="O43" s="240"/>
      <c r="P43" s="240"/>
      <c r="Q43" s="240"/>
      <c r="R43" s="240"/>
      <c r="S43" s="240"/>
      <c r="T43" s="240"/>
      <c r="U43" s="240"/>
      <c r="V43" s="240"/>
      <c r="W43" s="240"/>
      <c r="X43" s="240"/>
      <c r="Y43" s="240"/>
      <c r="Z43" s="240"/>
    </row>
    <row r="44">
      <c r="A44" s="244" t="s">
        <v>534</v>
      </c>
      <c r="B44" s="245" t="s">
        <v>523</v>
      </c>
      <c r="C44" s="246" t="s">
        <v>343</v>
      </c>
      <c r="D44" s="246" t="s">
        <v>343</v>
      </c>
      <c r="E44" s="246" t="s">
        <v>343</v>
      </c>
      <c r="F44" s="246" t="s">
        <v>343</v>
      </c>
      <c r="G44" s="240"/>
      <c r="H44" s="240"/>
      <c r="I44" s="240"/>
      <c r="J44" s="240"/>
      <c r="K44" s="240"/>
      <c r="L44" s="240"/>
      <c r="M44" s="240"/>
      <c r="N44" s="240"/>
      <c r="O44" s="240"/>
      <c r="P44" s="240"/>
      <c r="Q44" s="240"/>
      <c r="R44" s="240"/>
      <c r="S44" s="240"/>
      <c r="T44" s="240"/>
      <c r="U44" s="240"/>
      <c r="V44" s="240"/>
      <c r="W44" s="240"/>
      <c r="X44" s="240"/>
      <c r="Y44" s="240"/>
      <c r="Z44" s="240"/>
    </row>
    <row r="45">
      <c r="A45" s="244" t="s">
        <v>535</v>
      </c>
      <c r="B45" s="245" t="s">
        <v>523</v>
      </c>
      <c r="C45" s="246" t="s">
        <v>343</v>
      </c>
      <c r="D45" s="246" t="s">
        <v>347</v>
      </c>
      <c r="E45" s="246">
        <v>0.0</v>
      </c>
      <c r="F45" s="246" t="s">
        <v>343</v>
      </c>
      <c r="G45" s="240"/>
      <c r="H45" s="240"/>
      <c r="I45" s="240"/>
      <c r="J45" s="240"/>
      <c r="K45" s="240"/>
      <c r="L45" s="240"/>
      <c r="M45" s="240"/>
      <c r="N45" s="240"/>
      <c r="O45" s="240"/>
      <c r="P45" s="240"/>
      <c r="Q45" s="240"/>
      <c r="R45" s="240"/>
      <c r="S45" s="240"/>
      <c r="T45" s="240"/>
      <c r="U45" s="240"/>
      <c r="V45" s="240"/>
      <c r="W45" s="240"/>
      <c r="X45" s="240"/>
      <c r="Y45" s="240"/>
      <c r="Z45" s="240"/>
    </row>
    <row r="46">
      <c r="A46" s="244" t="s">
        <v>536</v>
      </c>
      <c r="B46" s="245" t="s">
        <v>523</v>
      </c>
      <c r="C46" s="246">
        <v>0.0</v>
      </c>
      <c r="D46" s="246">
        <v>0.0</v>
      </c>
      <c r="E46" s="246">
        <v>0.0</v>
      </c>
      <c r="F46" s="246" t="s">
        <v>343</v>
      </c>
      <c r="G46" s="240"/>
      <c r="H46" s="240"/>
      <c r="I46" s="240"/>
      <c r="J46" s="240"/>
      <c r="K46" s="240"/>
      <c r="L46" s="240"/>
      <c r="M46" s="240"/>
      <c r="N46" s="240"/>
      <c r="O46" s="240"/>
      <c r="P46" s="240"/>
      <c r="Q46" s="240"/>
      <c r="R46" s="240"/>
      <c r="S46" s="240"/>
      <c r="T46" s="240"/>
      <c r="U46" s="240"/>
      <c r="V46" s="240"/>
      <c r="W46" s="240"/>
      <c r="X46" s="240"/>
      <c r="Y46" s="240"/>
      <c r="Z46" s="240"/>
    </row>
    <row r="47">
      <c r="A47" s="244" t="s">
        <v>537</v>
      </c>
      <c r="B47" s="245" t="s">
        <v>523</v>
      </c>
      <c r="C47" s="246">
        <v>0.0</v>
      </c>
      <c r="D47" s="246" t="s">
        <v>343</v>
      </c>
      <c r="E47" s="246">
        <v>0.0</v>
      </c>
      <c r="F47" s="246" t="s">
        <v>343</v>
      </c>
      <c r="G47" s="240"/>
      <c r="H47" s="240"/>
      <c r="I47" s="240"/>
      <c r="J47" s="240"/>
      <c r="K47" s="240"/>
      <c r="L47" s="240"/>
      <c r="M47" s="240"/>
      <c r="N47" s="240"/>
      <c r="O47" s="240"/>
      <c r="P47" s="240"/>
      <c r="Q47" s="240"/>
      <c r="R47" s="240"/>
      <c r="S47" s="240"/>
      <c r="T47" s="240"/>
      <c r="U47" s="240"/>
      <c r="V47" s="240"/>
      <c r="W47" s="240"/>
      <c r="X47" s="240"/>
      <c r="Y47" s="240"/>
      <c r="Z47" s="240"/>
    </row>
    <row r="48">
      <c r="A48" s="244" t="s">
        <v>538</v>
      </c>
      <c r="B48" s="245" t="s">
        <v>523</v>
      </c>
      <c r="C48" s="246" t="s">
        <v>343</v>
      </c>
      <c r="D48" s="246" t="s">
        <v>347</v>
      </c>
      <c r="E48" s="246">
        <v>0.0</v>
      </c>
      <c r="F48" s="246" t="s">
        <v>343</v>
      </c>
      <c r="G48" s="240"/>
      <c r="H48" s="240"/>
      <c r="I48" s="240"/>
      <c r="J48" s="240"/>
      <c r="K48" s="240"/>
      <c r="L48" s="240"/>
      <c r="M48" s="240"/>
      <c r="N48" s="240"/>
      <c r="O48" s="240"/>
      <c r="P48" s="240"/>
      <c r="Q48" s="240"/>
      <c r="R48" s="240"/>
      <c r="S48" s="240"/>
      <c r="T48" s="240"/>
      <c r="U48" s="240"/>
      <c r="V48" s="240"/>
      <c r="W48" s="240"/>
      <c r="X48" s="240"/>
      <c r="Y48" s="240"/>
      <c r="Z48" s="240"/>
    </row>
    <row r="49">
      <c r="A49" s="244" t="s">
        <v>539</v>
      </c>
      <c r="B49" s="245" t="s">
        <v>523</v>
      </c>
      <c r="C49" s="246">
        <v>0.0</v>
      </c>
      <c r="D49" s="246" t="s">
        <v>347</v>
      </c>
      <c r="E49" s="246" t="s">
        <v>343</v>
      </c>
      <c r="F49" s="246" t="s">
        <v>343</v>
      </c>
      <c r="G49" s="240"/>
      <c r="H49" s="240"/>
      <c r="I49" s="240"/>
      <c r="J49" s="240"/>
      <c r="K49" s="240"/>
      <c r="L49" s="240"/>
      <c r="M49" s="240"/>
      <c r="N49" s="240"/>
      <c r="O49" s="240"/>
      <c r="P49" s="240"/>
      <c r="Q49" s="240"/>
      <c r="R49" s="240"/>
      <c r="S49" s="240"/>
      <c r="T49" s="240"/>
      <c r="U49" s="240"/>
      <c r="V49" s="240"/>
      <c r="W49" s="240"/>
      <c r="X49" s="240"/>
      <c r="Y49" s="240"/>
      <c r="Z49" s="240"/>
    </row>
    <row r="50">
      <c r="A50" s="244" t="s">
        <v>540</v>
      </c>
      <c r="B50" s="245" t="s">
        <v>523</v>
      </c>
      <c r="C50" s="246" t="s">
        <v>343</v>
      </c>
      <c r="D50" s="246" t="s">
        <v>345</v>
      </c>
      <c r="E50" s="246">
        <v>0.0</v>
      </c>
      <c r="F50" s="246" t="s">
        <v>343</v>
      </c>
      <c r="G50" s="240"/>
      <c r="H50" s="240"/>
      <c r="I50" s="240"/>
      <c r="J50" s="240"/>
      <c r="K50" s="240"/>
      <c r="L50" s="240"/>
      <c r="M50" s="240"/>
      <c r="N50" s="240"/>
      <c r="O50" s="240"/>
      <c r="P50" s="240"/>
      <c r="Q50" s="240"/>
      <c r="R50" s="240"/>
      <c r="S50" s="240"/>
      <c r="T50" s="240"/>
      <c r="U50" s="240"/>
      <c r="V50" s="240"/>
      <c r="W50" s="240"/>
      <c r="X50" s="240"/>
      <c r="Y50" s="240"/>
      <c r="Z50" s="240"/>
    </row>
    <row r="51">
      <c r="A51" s="244" t="s">
        <v>541</v>
      </c>
      <c r="B51" s="245" t="s">
        <v>523</v>
      </c>
      <c r="C51" s="246">
        <v>0.0</v>
      </c>
      <c r="D51" s="246" t="s">
        <v>343</v>
      </c>
      <c r="E51" s="246">
        <v>0.0</v>
      </c>
      <c r="F51" s="246" t="s">
        <v>343</v>
      </c>
      <c r="G51" s="240"/>
      <c r="H51" s="240"/>
      <c r="I51" s="240"/>
      <c r="J51" s="240"/>
      <c r="K51" s="240"/>
      <c r="L51" s="240"/>
      <c r="M51" s="240"/>
      <c r="N51" s="240"/>
      <c r="O51" s="240"/>
      <c r="P51" s="240"/>
      <c r="Q51" s="240"/>
      <c r="R51" s="240"/>
      <c r="S51" s="240"/>
      <c r="T51" s="240"/>
      <c r="U51" s="240"/>
      <c r="V51" s="240"/>
      <c r="W51" s="240"/>
      <c r="X51" s="240"/>
      <c r="Y51" s="240"/>
      <c r="Z51" s="240"/>
    </row>
    <row r="52">
      <c r="A52" s="244" t="s">
        <v>542</v>
      </c>
      <c r="B52" s="245" t="s">
        <v>523</v>
      </c>
      <c r="C52" s="246" t="s">
        <v>343</v>
      </c>
      <c r="D52" s="246" t="s">
        <v>347</v>
      </c>
      <c r="E52" s="246">
        <v>0.0</v>
      </c>
      <c r="F52" s="246" t="s">
        <v>343</v>
      </c>
      <c r="G52" s="240"/>
      <c r="H52" s="240"/>
      <c r="I52" s="240"/>
      <c r="J52" s="240"/>
      <c r="K52" s="240"/>
      <c r="L52" s="240"/>
      <c r="M52" s="240"/>
      <c r="N52" s="240"/>
      <c r="O52" s="240"/>
      <c r="P52" s="240"/>
      <c r="Q52" s="240"/>
      <c r="R52" s="240"/>
      <c r="S52" s="240"/>
      <c r="T52" s="240"/>
      <c r="U52" s="240"/>
      <c r="V52" s="240"/>
      <c r="W52" s="240"/>
      <c r="X52" s="240"/>
      <c r="Y52" s="240"/>
      <c r="Z52" s="240"/>
    </row>
    <row r="53">
      <c r="A53" s="244" t="s">
        <v>543</v>
      </c>
      <c r="B53" s="245" t="s">
        <v>523</v>
      </c>
      <c r="C53" s="246">
        <v>0.0</v>
      </c>
      <c r="D53" s="246" t="s">
        <v>343</v>
      </c>
      <c r="E53" s="246">
        <v>0.0</v>
      </c>
      <c r="F53" s="246">
        <v>0.0</v>
      </c>
      <c r="G53" s="240"/>
      <c r="H53" s="240"/>
      <c r="I53" s="240"/>
      <c r="J53" s="240"/>
      <c r="K53" s="240"/>
      <c r="L53" s="240"/>
      <c r="M53" s="240"/>
      <c r="N53" s="240"/>
      <c r="O53" s="240"/>
      <c r="P53" s="240"/>
      <c r="Q53" s="240"/>
      <c r="R53" s="240"/>
      <c r="S53" s="240"/>
      <c r="T53" s="240"/>
      <c r="U53" s="240"/>
      <c r="V53" s="240"/>
      <c r="W53" s="240"/>
      <c r="X53" s="240"/>
      <c r="Y53" s="240"/>
      <c r="Z53" s="240"/>
    </row>
    <row r="54">
      <c r="A54" s="244" t="s">
        <v>544</v>
      </c>
      <c r="B54" s="245" t="s">
        <v>523</v>
      </c>
      <c r="C54" s="246">
        <v>0.0</v>
      </c>
      <c r="D54" s="246" t="s">
        <v>347</v>
      </c>
      <c r="E54" s="246">
        <v>0.0</v>
      </c>
      <c r="F54" s="246" t="s">
        <v>343</v>
      </c>
      <c r="G54" s="240"/>
      <c r="H54" s="240"/>
      <c r="I54" s="240"/>
      <c r="J54" s="240"/>
      <c r="K54" s="240"/>
      <c r="L54" s="240"/>
      <c r="M54" s="240"/>
      <c r="N54" s="240"/>
      <c r="O54" s="240"/>
      <c r="P54" s="240"/>
      <c r="Q54" s="240"/>
      <c r="R54" s="240"/>
      <c r="S54" s="240"/>
      <c r="T54" s="240"/>
      <c r="U54" s="240"/>
      <c r="V54" s="240"/>
      <c r="W54" s="240"/>
      <c r="X54" s="240"/>
      <c r="Y54" s="240"/>
      <c r="Z54" s="240"/>
    </row>
    <row r="55">
      <c r="A55" s="244" t="s">
        <v>545</v>
      </c>
      <c r="B55" s="245" t="s">
        <v>523</v>
      </c>
      <c r="C55" s="246">
        <v>0.0</v>
      </c>
      <c r="D55" s="246" t="s">
        <v>343</v>
      </c>
      <c r="E55" s="246">
        <v>0.0</v>
      </c>
      <c r="F55" s="246">
        <v>0.0</v>
      </c>
      <c r="G55" s="240"/>
      <c r="H55" s="240"/>
      <c r="I55" s="240"/>
      <c r="J55" s="240"/>
      <c r="K55" s="240"/>
      <c r="L55" s="240"/>
      <c r="M55" s="240"/>
      <c r="N55" s="240"/>
      <c r="O55" s="240"/>
      <c r="P55" s="240"/>
      <c r="Q55" s="240"/>
      <c r="R55" s="240"/>
      <c r="S55" s="240"/>
      <c r="T55" s="240"/>
      <c r="U55" s="240"/>
      <c r="V55" s="240"/>
      <c r="W55" s="240"/>
      <c r="X55" s="240"/>
      <c r="Y55" s="240"/>
      <c r="Z55" s="240"/>
    </row>
    <row r="56">
      <c r="A56" s="244" t="s">
        <v>546</v>
      </c>
      <c r="B56" s="245" t="s">
        <v>523</v>
      </c>
      <c r="C56" s="246">
        <v>0.0</v>
      </c>
      <c r="D56" s="246" t="s">
        <v>343</v>
      </c>
      <c r="E56" s="246" t="s">
        <v>343</v>
      </c>
      <c r="F56" s="246" t="s">
        <v>343</v>
      </c>
      <c r="G56" s="240"/>
      <c r="H56" s="240"/>
      <c r="I56" s="240"/>
      <c r="J56" s="240"/>
      <c r="K56" s="240"/>
      <c r="L56" s="240"/>
      <c r="M56" s="240"/>
      <c r="N56" s="240"/>
      <c r="O56" s="240"/>
      <c r="P56" s="240"/>
      <c r="Q56" s="240"/>
      <c r="R56" s="240"/>
      <c r="S56" s="240"/>
      <c r="T56" s="240"/>
      <c r="U56" s="240"/>
      <c r="V56" s="240"/>
      <c r="W56" s="240"/>
      <c r="X56" s="240"/>
      <c r="Y56" s="240"/>
      <c r="Z56" s="240"/>
    </row>
    <row r="57">
      <c r="A57" s="244" t="s">
        <v>547</v>
      </c>
      <c r="B57" s="245" t="s">
        <v>523</v>
      </c>
      <c r="C57" s="246" t="s">
        <v>343</v>
      </c>
      <c r="D57" s="246" t="s">
        <v>343</v>
      </c>
      <c r="E57" s="246">
        <v>0.0</v>
      </c>
      <c r="F57" s="246" t="s">
        <v>343</v>
      </c>
      <c r="G57" s="240"/>
      <c r="H57" s="240"/>
      <c r="I57" s="240"/>
      <c r="J57" s="240"/>
      <c r="K57" s="240"/>
      <c r="L57" s="240"/>
      <c r="M57" s="240"/>
      <c r="N57" s="240"/>
      <c r="O57" s="240"/>
      <c r="P57" s="240"/>
      <c r="Q57" s="240"/>
      <c r="R57" s="240"/>
      <c r="S57" s="240"/>
      <c r="T57" s="240"/>
      <c r="U57" s="240"/>
      <c r="V57" s="240"/>
      <c r="W57" s="240"/>
      <c r="X57" s="240"/>
      <c r="Y57" s="240"/>
      <c r="Z57" s="240"/>
    </row>
    <row r="58">
      <c r="A58" s="244" t="s">
        <v>548</v>
      </c>
      <c r="B58" s="245" t="s">
        <v>523</v>
      </c>
      <c r="C58" s="246" t="s">
        <v>343</v>
      </c>
      <c r="D58" s="246" t="s">
        <v>347</v>
      </c>
      <c r="E58" s="246">
        <v>0.0</v>
      </c>
      <c r="F58" s="246" t="s">
        <v>343</v>
      </c>
      <c r="G58" s="240"/>
      <c r="H58" s="240"/>
      <c r="I58" s="240"/>
      <c r="J58" s="240"/>
      <c r="K58" s="240"/>
      <c r="L58" s="240"/>
      <c r="M58" s="240"/>
      <c r="N58" s="240"/>
      <c r="O58" s="240"/>
      <c r="P58" s="240"/>
      <c r="Q58" s="240"/>
      <c r="R58" s="240"/>
      <c r="S58" s="240"/>
      <c r="T58" s="240"/>
      <c r="U58" s="240"/>
      <c r="V58" s="240"/>
      <c r="W58" s="240"/>
      <c r="X58" s="240"/>
      <c r="Y58" s="240"/>
      <c r="Z58" s="240"/>
    </row>
    <row r="59">
      <c r="A59" s="244" t="s">
        <v>549</v>
      </c>
      <c r="B59" s="245" t="s">
        <v>523</v>
      </c>
      <c r="C59" s="246" t="s">
        <v>343</v>
      </c>
      <c r="D59" s="246" t="s">
        <v>343</v>
      </c>
      <c r="E59" s="246">
        <v>0.0</v>
      </c>
      <c r="F59" s="246">
        <v>0.0</v>
      </c>
      <c r="G59" s="240"/>
      <c r="H59" s="240"/>
      <c r="I59" s="240"/>
      <c r="J59" s="240"/>
      <c r="K59" s="240"/>
      <c r="L59" s="240"/>
      <c r="M59" s="240"/>
      <c r="N59" s="240"/>
      <c r="O59" s="240"/>
      <c r="P59" s="240"/>
      <c r="Q59" s="240"/>
      <c r="R59" s="240"/>
      <c r="S59" s="240"/>
      <c r="T59" s="240"/>
      <c r="U59" s="240"/>
      <c r="V59" s="240"/>
      <c r="W59" s="240"/>
      <c r="X59" s="240"/>
      <c r="Y59" s="240"/>
      <c r="Z59" s="240"/>
    </row>
    <row r="60">
      <c r="A60" s="244" t="s">
        <v>550</v>
      </c>
      <c r="B60" s="245" t="s">
        <v>523</v>
      </c>
      <c r="C60" s="246">
        <v>0.0</v>
      </c>
      <c r="D60" s="246" t="s">
        <v>343</v>
      </c>
      <c r="E60" s="246">
        <v>0.0</v>
      </c>
      <c r="F60" s="246" t="s">
        <v>343</v>
      </c>
      <c r="G60" s="240"/>
      <c r="H60" s="240"/>
      <c r="I60" s="240"/>
      <c r="J60" s="240"/>
      <c r="K60" s="240"/>
      <c r="L60" s="240"/>
      <c r="M60" s="240"/>
      <c r="N60" s="240"/>
      <c r="O60" s="240"/>
      <c r="P60" s="240"/>
      <c r="Q60" s="240"/>
      <c r="R60" s="240"/>
      <c r="S60" s="240"/>
      <c r="T60" s="240"/>
      <c r="U60" s="240"/>
      <c r="V60" s="240"/>
      <c r="W60" s="240"/>
      <c r="X60" s="240"/>
      <c r="Y60" s="240"/>
      <c r="Z60" s="240"/>
    </row>
    <row r="61">
      <c r="A61" s="244" t="s">
        <v>551</v>
      </c>
      <c r="B61" s="245" t="s">
        <v>523</v>
      </c>
      <c r="C61" s="246">
        <v>0.0</v>
      </c>
      <c r="D61" s="246" t="s">
        <v>343</v>
      </c>
      <c r="E61" s="246">
        <v>0.0</v>
      </c>
      <c r="F61" s="246">
        <v>0.0</v>
      </c>
      <c r="G61" s="240"/>
      <c r="H61" s="240"/>
      <c r="I61" s="240"/>
      <c r="J61" s="240"/>
      <c r="K61" s="240"/>
      <c r="L61" s="240"/>
      <c r="M61" s="240"/>
      <c r="N61" s="240"/>
      <c r="O61" s="240"/>
      <c r="P61" s="240"/>
      <c r="Q61" s="240"/>
      <c r="R61" s="240"/>
      <c r="S61" s="240"/>
      <c r="T61" s="240"/>
      <c r="U61" s="240"/>
      <c r="V61" s="240"/>
      <c r="W61" s="240"/>
      <c r="X61" s="240"/>
      <c r="Y61" s="240"/>
      <c r="Z61" s="240"/>
    </row>
    <row r="62">
      <c r="A62" s="244" t="s">
        <v>552</v>
      </c>
      <c r="B62" s="245" t="s">
        <v>523</v>
      </c>
      <c r="C62" s="246">
        <v>0.0</v>
      </c>
      <c r="D62" s="246" t="s">
        <v>343</v>
      </c>
      <c r="E62" s="246" t="s">
        <v>343</v>
      </c>
      <c r="F62" s="246" t="s">
        <v>343</v>
      </c>
      <c r="G62" s="240"/>
      <c r="H62" s="240"/>
      <c r="I62" s="240"/>
      <c r="J62" s="240"/>
      <c r="K62" s="240"/>
      <c r="L62" s="240"/>
      <c r="M62" s="240"/>
      <c r="N62" s="240"/>
      <c r="O62" s="240"/>
      <c r="P62" s="240"/>
      <c r="Q62" s="240"/>
      <c r="R62" s="240"/>
      <c r="S62" s="240"/>
      <c r="T62" s="240"/>
      <c r="U62" s="240"/>
      <c r="V62" s="240"/>
      <c r="W62" s="240"/>
      <c r="X62" s="240"/>
      <c r="Y62" s="240"/>
      <c r="Z62" s="240"/>
    </row>
    <row r="63">
      <c r="A63" s="244" t="s">
        <v>553</v>
      </c>
      <c r="B63" s="245" t="s">
        <v>523</v>
      </c>
      <c r="C63" s="246">
        <v>0.0</v>
      </c>
      <c r="D63" s="246" t="s">
        <v>347</v>
      </c>
      <c r="E63" s="246">
        <v>0.0</v>
      </c>
      <c r="F63" s="246" t="s">
        <v>343</v>
      </c>
      <c r="G63" s="240"/>
      <c r="H63" s="240"/>
      <c r="I63" s="240"/>
      <c r="J63" s="240"/>
      <c r="K63" s="240"/>
      <c r="L63" s="240"/>
      <c r="M63" s="240"/>
      <c r="N63" s="240"/>
      <c r="O63" s="240"/>
      <c r="P63" s="240"/>
      <c r="Q63" s="240"/>
      <c r="R63" s="240"/>
      <c r="S63" s="240"/>
      <c r="T63" s="240"/>
      <c r="U63" s="240"/>
      <c r="V63" s="240"/>
      <c r="W63" s="240"/>
      <c r="X63" s="240"/>
      <c r="Y63" s="240"/>
      <c r="Z63" s="240"/>
    </row>
    <row r="64">
      <c r="A64" s="244" t="s">
        <v>554</v>
      </c>
      <c r="B64" s="245" t="s">
        <v>157</v>
      </c>
      <c r="C64" s="246">
        <v>0.0</v>
      </c>
      <c r="D64" s="246" t="s">
        <v>343</v>
      </c>
      <c r="E64" s="246">
        <v>0.0</v>
      </c>
      <c r="F64" s="246">
        <v>0.0</v>
      </c>
      <c r="G64" s="240"/>
      <c r="H64" s="240"/>
      <c r="I64" s="240"/>
      <c r="J64" s="240"/>
      <c r="K64" s="240"/>
      <c r="L64" s="240"/>
      <c r="M64" s="240"/>
      <c r="N64" s="240"/>
      <c r="O64" s="240"/>
      <c r="P64" s="240"/>
      <c r="Q64" s="240"/>
      <c r="R64" s="240"/>
      <c r="S64" s="240"/>
      <c r="T64" s="240"/>
      <c r="U64" s="240"/>
      <c r="V64" s="240"/>
      <c r="W64" s="240"/>
      <c r="X64" s="240"/>
      <c r="Y64" s="240"/>
      <c r="Z64" s="240"/>
    </row>
    <row r="65">
      <c r="A65" s="244" t="s">
        <v>555</v>
      </c>
      <c r="B65" s="245" t="s">
        <v>157</v>
      </c>
      <c r="C65" s="246">
        <v>0.0</v>
      </c>
      <c r="D65" s="246">
        <v>0.0</v>
      </c>
      <c r="E65" s="246">
        <v>0.0</v>
      </c>
      <c r="F65" s="246" t="s">
        <v>343</v>
      </c>
      <c r="G65" s="240"/>
      <c r="H65" s="240"/>
      <c r="I65" s="240"/>
      <c r="J65" s="240"/>
      <c r="K65" s="240"/>
      <c r="L65" s="240"/>
      <c r="M65" s="240"/>
      <c r="N65" s="240"/>
      <c r="O65" s="240"/>
      <c r="P65" s="240"/>
      <c r="Q65" s="240"/>
      <c r="R65" s="240"/>
      <c r="S65" s="240"/>
      <c r="T65" s="240"/>
      <c r="U65" s="240"/>
      <c r="V65" s="240"/>
      <c r="W65" s="240"/>
      <c r="X65" s="240"/>
      <c r="Y65" s="240"/>
      <c r="Z65" s="240"/>
    </row>
    <row r="66">
      <c r="A66" s="244" t="s">
        <v>556</v>
      </c>
      <c r="B66" s="245" t="s">
        <v>157</v>
      </c>
      <c r="C66" s="246">
        <v>0.0</v>
      </c>
      <c r="D66" s="246" t="s">
        <v>343</v>
      </c>
      <c r="E66" s="246">
        <v>0.0</v>
      </c>
      <c r="F66" s="246" t="s">
        <v>343</v>
      </c>
      <c r="G66" s="240"/>
      <c r="H66" s="240"/>
      <c r="I66" s="240"/>
      <c r="J66" s="240"/>
      <c r="K66" s="240"/>
      <c r="L66" s="240"/>
      <c r="M66" s="240"/>
      <c r="N66" s="240"/>
      <c r="O66" s="240"/>
      <c r="P66" s="240"/>
      <c r="Q66" s="240"/>
      <c r="R66" s="240"/>
      <c r="S66" s="240"/>
      <c r="T66" s="240"/>
      <c r="U66" s="240"/>
      <c r="V66" s="240"/>
      <c r="W66" s="240"/>
      <c r="X66" s="240"/>
      <c r="Y66" s="240"/>
      <c r="Z66" s="240"/>
    </row>
    <row r="67">
      <c r="A67" s="244" t="s">
        <v>557</v>
      </c>
      <c r="B67" s="245" t="s">
        <v>157</v>
      </c>
      <c r="C67" s="246" t="s">
        <v>343</v>
      </c>
      <c r="D67" s="246" t="s">
        <v>343</v>
      </c>
      <c r="E67" s="246" t="s">
        <v>343</v>
      </c>
      <c r="F67" s="246" t="s">
        <v>343</v>
      </c>
      <c r="G67" s="240"/>
      <c r="H67" s="240"/>
      <c r="I67" s="240"/>
      <c r="J67" s="240"/>
      <c r="K67" s="240"/>
      <c r="L67" s="240"/>
      <c r="M67" s="240"/>
      <c r="N67" s="240"/>
      <c r="O67" s="240"/>
      <c r="P67" s="240"/>
      <c r="Q67" s="240"/>
      <c r="R67" s="240"/>
      <c r="S67" s="240"/>
      <c r="T67" s="240"/>
      <c r="U67" s="240"/>
      <c r="V67" s="240"/>
      <c r="W67" s="240"/>
      <c r="X67" s="240"/>
      <c r="Y67" s="240"/>
      <c r="Z67" s="240"/>
    </row>
    <row r="68">
      <c r="A68" s="244" t="s">
        <v>558</v>
      </c>
      <c r="B68" s="245" t="s">
        <v>157</v>
      </c>
      <c r="C68" s="246">
        <v>0.0</v>
      </c>
      <c r="D68" s="246">
        <v>0.0</v>
      </c>
      <c r="E68" s="246">
        <v>0.0</v>
      </c>
      <c r="F68" s="246" t="s">
        <v>343</v>
      </c>
      <c r="G68" s="240"/>
      <c r="H68" s="240"/>
      <c r="I68" s="240"/>
      <c r="J68" s="240"/>
      <c r="K68" s="240"/>
      <c r="L68" s="240"/>
      <c r="M68" s="240"/>
      <c r="N68" s="240"/>
      <c r="O68" s="240"/>
      <c r="P68" s="240"/>
      <c r="Q68" s="240"/>
      <c r="R68" s="240"/>
      <c r="S68" s="240"/>
      <c r="T68" s="240"/>
      <c r="U68" s="240"/>
      <c r="V68" s="240"/>
      <c r="W68" s="240"/>
      <c r="X68" s="240"/>
      <c r="Y68" s="240"/>
      <c r="Z68" s="240"/>
    </row>
    <row r="69">
      <c r="A69" s="244" t="s">
        <v>559</v>
      </c>
      <c r="B69" s="245" t="s">
        <v>157</v>
      </c>
      <c r="C69" s="246">
        <v>0.0</v>
      </c>
      <c r="D69" s="246" t="s">
        <v>347</v>
      </c>
      <c r="E69" s="246">
        <v>0.0</v>
      </c>
      <c r="F69" s="246" t="s">
        <v>343</v>
      </c>
      <c r="G69" s="240"/>
      <c r="H69" s="240"/>
      <c r="I69" s="240"/>
      <c r="J69" s="240"/>
      <c r="K69" s="240"/>
      <c r="L69" s="240"/>
      <c r="M69" s="240"/>
      <c r="N69" s="240"/>
      <c r="O69" s="240"/>
      <c r="P69" s="240"/>
      <c r="Q69" s="240"/>
      <c r="R69" s="240"/>
      <c r="S69" s="240"/>
      <c r="T69" s="240"/>
      <c r="U69" s="240"/>
      <c r="V69" s="240"/>
      <c r="W69" s="240"/>
      <c r="X69" s="240"/>
      <c r="Y69" s="240"/>
      <c r="Z69" s="240"/>
    </row>
    <row r="70">
      <c r="A70" s="244" t="s">
        <v>560</v>
      </c>
      <c r="B70" s="245" t="s">
        <v>157</v>
      </c>
      <c r="C70" s="246">
        <v>0.0</v>
      </c>
      <c r="D70" s="246" t="s">
        <v>343</v>
      </c>
      <c r="E70" s="246">
        <v>0.0</v>
      </c>
      <c r="F70" s="246">
        <v>0.0</v>
      </c>
      <c r="G70" s="240"/>
      <c r="H70" s="240"/>
      <c r="I70" s="240"/>
      <c r="J70" s="240"/>
      <c r="K70" s="240"/>
      <c r="L70" s="240"/>
      <c r="M70" s="240"/>
      <c r="N70" s="240"/>
      <c r="O70" s="240"/>
      <c r="P70" s="240"/>
      <c r="Q70" s="240"/>
      <c r="R70" s="240"/>
      <c r="S70" s="240"/>
      <c r="T70" s="240"/>
      <c r="U70" s="240"/>
      <c r="V70" s="240"/>
      <c r="W70" s="240"/>
      <c r="X70" s="240"/>
      <c r="Y70" s="240"/>
      <c r="Z70" s="240"/>
    </row>
    <row r="71">
      <c r="A71" s="244" t="s">
        <v>561</v>
      </c>
      <c r="B71" s="245" t="s">
        <v>562</v>
      </c>
      <c r="C71" s="246">
        <v>0.0</v>
      </c>
      <c r="D71" s="246" t="s">
        <v>343</v>
      </c>
      <c r="E71" s="246">
        <v>0.0</v>
      </c>
      <c r="F71" s="246" t="s">
        <v>343</v>
      </c>
      <c r="G71" s="240"/>
      <c r="H71" s="240"/>
      <c r="I71" s="240"/>
      <c r="J71" s="240"/>
      <c r="K71" s="240"/>
      <c r="L71" s="240"/>
      <c r="M71" s="240"/>
      <c r="N71" s="240"/>
      <c r="O71" s="240"/>
      <c r="P71" s="240"/>
      <c r="Q71" s="240"/>
      <c r="R71" s="240"/>
      <c r="S71" s="240"/>
      <c r="T71" s="240"/>
      <c r="U71" s="240"/>
      <c r="V71" s="240"/>
      <c r="W71" s="240"/>
      <c r="X71" s="240"/>
      <c r="Y71" s="240"/>
      <c r="Z71" s="240"/>
    </row>
    <row r="72">
      <c r="A72" s="244" t="s">
        <v>563</v>
      </c>
      <c r="B72" s="245" t="s">
        <v>564</v>
      </c>
      <c r="C72" s="246">
        <v>0.0</v>
      </c>
      <c r="D72" s="246">
        <v>0.0</v>
      </c>
      <c r="E72" s="246">
        <v>0.0</v>
      </c>
      <c r="F72" s="246" t="s">
        <v>343</v>
      </c>
      <c r="G72" s="240"/>
      <c r="H72" s="240"/>
      <c r="I72" s="240"/>
      <c r="J72" s="240"/>
      <c r="K72" s="240"/>
      <c r="L72" s="240"/>
      <c r="M72" s="240"/>
      <c r="N72" s="240"/>
      <c r="O72" s="240"/>
      <c r="P72" s="240"/>
      <c r="Q72" s="240"/>
      <c r="R72" s="240"/>
      <c r="S72" s="240"/>
      <c r="T72" s="240"/>
      <c r="U72" s="240"/>
      <c r="V72" s="240"/>
      <c r="W72" s="240"/>
      <c r="X72" s="240"/>
      <c r="Y72" s="240"/>
      <c r="Z72" s="240"/>
    </row>
    <row r="73">
      <c r="A73" s="244" t="s">
        <v>565</v>
      </c>
      <c r="B73" s="245" t="s">
        <v>564</v>
      </c>
      <c r="C73" s="246">
        <v>0.0</v>
      </c>
      <c r="D73" s="246" t="s">
        <v>343</v>
      </c>
      <c r="E73" s="246">
        <v>0.0</v>
      </c>
      <c r="F73" s="246">
        <v>0.0</v>
      </c>
      <c r="G73" s="240"/>
      <c r="H73" s="240"/>
      <c r="I73" s="240"/>
      <c r="J73" s="240"/>
      <c r="K73" s="240"/>
      <c r="L73" s="240"/>
      <c r="M73" s="240"/>
      <c r="N73" s="240"/>
      <c r="O73" s="240"/>
      <c r="P73" s="240"/>
      <c r="Q73" s="240"/>
      <c r="R73" s="240"/>
      <c r="S73" s="240"/>
      <c r="T73" s="240"/>
      <c r="U73" s="240"/>
      <c r="V73" s="240"/>
      <c r="W73" s="240"/>
      <c r="X73" s="240"/>
      <c r="Y73" s="240"/>
      <c r="Z73" s="240"/>
    </row>
    <row r="74">
      <c r="A74" s="244" t="s">
        <v>566</v>
      </c>
      <c r="B74" s="245" t="s">
        <v>564</v>
      </c>
      <c r="C74" s="246" t="s">
        <v>343</v>
      </c>
      <c r="D74" s="246" t="s">
        <v>343</v>
      </c>
      <c r="E74" s="246" t="s">
        <v>343</v>
      </c>
      <c r="F74" s="246" t="s">
        <v>347</v>
      </c>
      <c r="G74" s="240"/>
      <c r="H74" s="240"/>
      <c r="I74" s="240"/>
      <c r="J74" s="240"/>
      <c r="K74" s="240"/>
      <c r="L74" s="240"/>
      <c r="M74" s="240"/>
      <c r="N74" s="240"/>
      <c r="O74" s="240"/>
      <c r="P74" s="240"/>
      <c r="Q74" s="240"/>
      <c r="R74" s="240"/>
      <c r="S74" s="240"/>
      <c r="T74" s="240"/>
      <c r="U74" s="240"/>
      <c r="V74" s="240"/>
      <c r="W74" s="240"/>
      <c r="X74" s="240"/>
      <c r="Y74" s="240"/>
      <c r="Z74" s="240"/>
    </row>
    <row r="75">
      <c r="A75" s="244" t="s">
        <v>567</v>
      </c>
      <c r="B75" s="245" t="s">
        <v>564</v>
      </c>
      <c r="C75" s="246" t="s">
        <v>343</v>
      </c>
      <c r="D75" s="246" t="s">
        <v>345</v>
      </c>
      <c r="E75" s="246" t="s">
        <v>343</v>
      </c>
      <c r="F75" s="246" t="s">
        <v>343</v>
      </c>
      <c r="G75" s="240"/>
      <c r="H75" s="240"/>
      <c r="I75" s="240"/>
      <c r="J75" s="240"/>
      <c r="K75" s="240"/>
      <c r="L75" s="240"/>
      <c r="M75" s="240"/>
      <c r="N75" s="240"/>
      <c r="O75" s="240"/>
      <c r="P75" s="240"/>
      <c r="Q75" s="240"/>
      <c r="R75" s="240"/>
      <c r="S75" s="240"/>
      <c r="T75" s="240"/>
      <c r="U75" s="240"/>
      <c r="V75" s="240"/>
      <c r="W75" s="240"/>
      <c r="X75" s="240"/>
      <c r="Y75" s="240"/>
      <c r="Z75" s="240"/>
    </row>
    <row r="76">
      <c r="A76" s="244" t="s">
        <v>568</v>
      </c>
      <c r="B76" s="245" t="s">
        <v>564</v>
      </c>
      <c r="C76" s="246">
        <v>0.0</v>
      </c>
      <c r="D76" s="246">
        <v>0.0</v>
      </c>
      <c r="E76" s="246">
        <v>0.0</v>
      </c>
      <c r="F76" s="246" t="s">
        <v>343</v>
      </c>
      <c r="G76" s="240"/>
      <c r="H76" s="240"/>
      <c r="I76" s="240"/>
      <c r="J76" s="240"/>
      <c r="K76" s="240"/>
      <c r="L76" s="240"/>
      <c r="M76" s="240"/>
      <c r="N76" s="240"/>
      <c r="O76" s="240"/>
      <c r="P76" s="240"/>
      <c r="Q76" s="240"/>
      <c r="R76" s="240"/>
      <c r="S76" s="240"/>
      <c r="T76" s="240"/>
      <c r="U76" s="240"/>
      <c r="V76" s="240"/>
      <c r="W76" s="240"/>
      <c r="X76" s="240"/>
      <c r="Y76" s="240"/>
      <c r="Z76" s="240"/>
    </row>
    <row r="77">
      <c r="A77" s="244" t="s">
        <v>569</v>
      </c>
      <c r="B77" s="245" t="s">
        <v>564</v>
      </c>
      <c r="C77" s="246" t="s">
        <v>343</v>
      </c>
      <c r="D77" s="246" t="s">
        <v>343</v>
      </c>
      <c r="E77" s="246">
        <v>0.0</v>
      </c>
      <c r="F77" s="246">
        <v>0.0</v>
      </c>
      <c r="G77" s="240"/>
      <c r="H77" s="240"/>
      <c r="I77" s="240"/>
      <c r="J77" s="240"/>
      <c r="K77" s="240"/>
      <c r="L77" s="240"/>
      <c r="M77" s="240"/>
      <c r="N77" s="240"/>
      <c r="O77" s="240"/>
      <c r="P77" s="240"/>
      <c r="Q77" s="240"/>
      <c r="R77" s="240"/>
      <c r="S77" s="240"/>
      <c r="T77" s="240"/>
      <c r="U77" s="240"/>
      <c r="V77" s="240"/>
      <c r="W77" s="240"/>
      <c r="X77" s="240"/>
      <c r="Y77" s="240"/>
      <c r="Z77" s="240"/>
    </row>
    <row r="78">
      <c r="A78" s="244" t="s">
        <v>570</v>
      </c>
      <c r="B78" s="245" t="s">
        <v>159</v>
      </c>
      <c r="C78" s="246" t="s">
        <v>347</v>
      </c>
      <c r="D78" s="246" t="s">
        <v>351</v>
      </c>
      <c r="E78" s="246" t="s">
        <v>343</v>
      </c>
      <c r="F78" s="246" t="s">
        <v>347</v>
      </c>
      <c r="G78" s="240"/>
      <c r="H78" s="240"/>
      <c r="I78" s="240"/>
      <c r="J78" s="240"/>
      <c r="K78" s="240"/>
      <c r="L78" s="240"/>
      <c r="M78" s="240"/>
      <c r="N78" s="240"/>
      <c r="O78" s="240"/>
      <c r="P78" s="240"/>
      <c r="Q78" s="240"/>
      <c r="R78" s="240"/>
      <c r="S78" s="240"/>
      <c r="T78" s="240"/>
      <c r="U78" s="240"/>
      <c r="V78" s="240"/>
      <c r="W78" s="240"/>
      <c r="X78" s="240"/>
      <c r="Y78" s="240"/>
      <c r="Z78" s="240"/>
    </row>
    <row r="79">
      <c r="A79" s="244" t="s">
        <v>571</v>
      </c>
      <c r="B79" s="245" t="s">
        <v>159</v>
      </c>
      <c r="C79" s="246" t="s">
        <v>343</v>
      </c>
      <c r="D79" s="246" t="s">
        <v>343</v>
      </c>
      <c r="E79" s="246">
        <v>0.0</v>
      </c>
      <c r="F79" s="246" t="s">
        <v>343</v>
      </c>
      <c r="G79" s="240"/>
      <c r="H79" s="240"/>
      <c r="I79" s="240"/>
      <c r="J79" s="240"/>
      <c r="K79" s="240"/>
      <c r="L79" s="240"/>
      <c r="M79" s="240"/>
      <c r="N79" s="240"/>
      <c r="O79" s="240"/>
      <c r="P79" s="240"/>
      <c r="Q79" s="240"/>
      <c r="R79" s="240"/>
      <c r="S79" s="240"/>
      <c r="T79" s="240"/>
      <c r="U79" s="240"/>
      <c r="V79" s="240"/>
      <c r="W79" s="240"/>
      <c r="X79" s="240"/>
      <c r="Y79" s="240"/>
      <c r="Z79" s="240"/>
    </row>
    <row r="80">
      <c r="A80" s="244" t="s">
        <v>572</v>
      </c>
      <c r="B80" s="245" t="s">
        <v>159</v>
      </c>
      <c r="C80" s="246" t="s">
        <v>343</v>
      </c>
      <c r="D80" s="246" t="s">
        <v>351</v>
      </c>
      <c r="E80" s="246" t="s">
        <v>343</v>
      </c>
      <c r="F80" s="246" t="s">
        <v>347</v>
      </c>
      <c r="G80" s="240"/>
      <c r="H80" s="240"/>
      <c r="I80" s="240"/>
      <c r="J80" s="240"/>
      <c r="K80" s="240"/>
      <c r="L80" s="240"/>
      <c r="M80" s="240"/>
      <c r="N80" s="240"/>
      <c r="O80" s="240"/>
      <c r="P80" s="240"/>
      <c r="Q80" s="240"/>
      <c r="R80" s="240"/>
      <c r="S80" s="240"/>
      <c r="T80" s="240"/>
      <c r="U80" s="240"/>
      <c r="V80" s="240"/>
      <c r="W80" s="240"/>
      <c r="X80" s="240"/>
      <c r="Y80" s="240"/>
      <c r="Z80" s="240"/>
    </row>
    <row r="81">
      <c r="A81" s="244" t="s">
        <v>573</v>
      </c>
      <c r="B81" s="245" t="s">
        <v>159</v>
      </c>
      <c r="C81" s="246">
        <v>0.0</v>
      </c>
      <c r="D81" s="246" t="s">
        <v>343</v>
      </c>
      <c r="E81" s="246">
        <v>0.0</v>
      </c>
      <c r="F81" s="246" t="s">
        <v>343</v>
      </c>
      <c r="G81" s="240"/>
      <c r="H81" s="240"/>
      <c r="I81" s="240"/>
      <c r="J81" s="240"/>
      <c r="K81" s="240"/>
      <c r="L81" s="240"/>
      <c r="M81" s="240"/>
      <c r="N81" s="240"/>
      <c r="O81" s="240"/>
      <c r="P81" s="240"/>
      <c r="Q81" s="240"/>
      <c r="R81" s="240"/>
      <c r="S81" s="240"/>
      <c r="T81" s="240"/>
      <c r="U81" s="240"/>
      <c r="V81" s="240"/>
      <c r="W81" s="240"/>
      <c r="X81" s="240"/>
      <c r="Y81" s="240"/>
      <c r="Z81" s="240"/>
    </row>
    <row r="82">
      <c r="A82" s="244" t="s">
        <v>574</v>
      </c>
      <c r="B82" s="245" t="s">
        <v>159</v>
      </c>
      <c r="C82" s="246">
        <v>0.0</v>
      </c>
      <c r="D82" s="246">
        <v>0.0</v>
      </c>
      <c r="E82" s="246">
        <v>0.0</v>
      </c>
      <c r="F82" s="246" t="s">
        <v>343</v>
      </c>
      <c r="G82" s="240"/>
      <c r="H82" s="240"/>
      <c r="I82" s="240"/>
      <c r="J82" s="240"/>
      <c r="K82" s="240"/>
      <c r="L82" s="240"/>
      <c r="M82" s="240"/>
      <c r="N82" s="240"/>
      <c r="O82" s="240"/>
      <c r="P82" s="240"/>
      <c r="Q82" s="240"/>
      <c r="R82" s="240"/>
      <c r="S82" s="240"/>
      <c r="T82" s="240"/>
      <c r="U82" s="240"/>
      <c r="V82" s="240"/>
      <c r="W82" s="240"/>
      <c r="X82" s="240"/>
      <c r="Y82" s="240"/>
      <c r="Z82" s="240"/>
    </row>
    <row r="83">
      <c r="A83" s="244" t="s">
        <v>575</v>
      </c>
      <c r="B83" s="245" t="s">
        <v>159</v>
      </c>
      <c r="C83" s="246" t="s">
        <v>343</v>
      </c>
      <c r="D83" s="246" t="s">
        <v>343</v>
      </c>
      <c r="E83" s="246">
        <v>0.0</v>
      </c>
      <c r="F83" s="246" t="s">
        <v>343</v>
      </c>
      <c r="G83" s="240"/>
      <c r="H83" s="240"/>
      <c r="I83" s="240"/>
      <c r="J83" s="240"/>
      <c r="K83" s="240"/>
      <c r="L83" s="240"/>
      <c r="M83" s="240"/>
      <c r="N83" s="240"/>
      <c r="O83" s="240"/>
      <c r="P83" s="240"/>
      <c r="Q83" s="240"/>
      <c r="R83" s="240"/>
      <c r="S83" s="240"/>
      <c r="T83" s="240"/>
      <c r="U83" s="240"/>
      <c r="V83" s="240"/>
      <c r="W83" s="240"/>
      <c r="X83" s="240"/>
      <c r="Y83" s="240"/>
      <c r="Z83" s="240"/>
    </row>
    <row r="84">
      <c r="A84" s="244" t="s">
        <v>576</v>
      </c>
      <c r="B84" s="245" t="s">
        <v>159</v>
      </c>
      <c r="C84" s="246" t="s">
        <v>343</v>
      </c>
      <c r="D84" s="246" t="s">
        <v>343</v>
      </c>
      <c r="E84" s="246">
        <v>0.0</v>
      </c>
      <c r="F84" s="246" t="s">
        <v>343</v>
      </c>
      <c r="G84" s="240"/>
      <c r="H84" s="240"/>
      <c r="I84" s="240"/>
      <c r="J84" s="240"/>
      <c r="K84" s="240"/>
      <c r="L84" s="240"/>
      <c r="M84" s="240"/>
      <c r="N84" s="240"/>
      <c r="O84" s="240"/>
      <c r="P84" s="240"/>
      <c r="Q84" s="240"/>
      <c r="R84" s="240"/>
      <c r="S84" s="240"/>
      <c r="T84" s="240"/>
      <c r="U84" s="240"/>
      <c r="V84" s="240"/>
      <c r="W84" s="240"/>
      <c r="X84" s="240"/>
      <c r="Y84" s="240"/>
      <c r="Z84" s="240"/>
    </row>
    <row r="85">
      <c r="A85" s="244" t="s">
        <v>577</v>
      </c>
      <c r="B85" s="245" t="s">
        <v>159</v>
      </c>
      <c r="C85" s="246" t="s">
        <v>343</v>
      </c>
      <c r="D85" s="246" t="s">
        <v>347</v>
      </c>
      <c r="E85" s="246" t="s">
        <v>343</v>
      </c>
      <c r="F85" s="246" t="s">
        <v>343</v>
      </c>
      <c r="G85" s="240"/>
      <c r="H85" s="240"/>
      <c r="I85" s="240"/>
      <c r="J85" s="240"/>
      <c r="K85" s="240"/>
      <c r="L85" s="240"/>
      <c r="M85" s="240"/>
      <c r="N85" s="240"/>
      <c r="O85" s="240"/>
      <c r="P85" s="240"/>
      <c r="Q85" s="240"/>
      <c r="R85" s="240"/>
      <c r="S85" s="240"/>
      <c r="T85" s="240"/>
      <c r="U85" s="240"/>
      <c r="V85" s="240"/>
      <c r="W85" s="240"/>
      <c r="X85" s="240"/>
      <c r="Y85" s="240"/>
      <c r="Z85" s="240"/>
    </row>
    <row r="86">
      <c r="A86" s="244" t="s">
        <v>578</v>
      </c>
      <c r="B86" s="245" t="s">
        <v>160</v>
      </c>
      <c r="C86" s="246">
        <v>0.0</v>
      </c>
      <c r="D86" s="246">
        <v>0.0</v>
      </c>
      <c r="E86" s="246" t="s">
        <v>343</v>
      </c>
      <c r="F86" s="246" t="s">
        <v>343</v>
      </c>
      <c r="G86" s="240"/>
      <c r="H86" s="240"/>
      <c r="I86" s="240"/>
      <c r="J86" s="240"/>
      <c r="K86" s="240"/>
      <c r="L86" s="240"/>
      <c r="M86" s="240"/>
      <c r="N86" s="240"/>
      <c r="O86" s="240"/>
      <c r="P86" s="240"/>
      <c r="Q86" s="240"/>
      <c r="R86" s="240"/>
      <c r="S86" s="240"/>
      <c r="T86" s="240"/>
      <c r="U86" s="240"/>
      <c r="V86" s="240"/>
      <c r="W86" s="240"/>
      <c r="X86" s="240"/>
      <c r="Y86" s="240"/>
      <c r="Z86" s="240"/>
    </row>
    <row r="87">
      <c r="A87" s="244" t="s">
        <v>579</v>
      </c>
      <c r="B87" s="245" t="s">
        <v>160</v>
      </c>
      <c r="C87" s="246">
        <v>0.0</v>
      </c>
      <c r="D87" s="246" t="s">
        <v>343</v>
      </c>
      <c r="E87" s="246">
        <v>0.0</v>
      </c>
      <c r="F87" s="246" t="s">
        <v>343</v>
      </c>
      <c r="G87" s="240"/>
      <c r="H87" s="240"/>
      <c r="I87" s="240"/>
      <c r="J87" s="240"/>
      <c r="K87" s="240"/>
      <c r="L87" s="240"/>
      <c r="M87" s="240"/>
      <c r="N87" s="240"/>
      <c r="O87" s="240"/>
      <c r="P87" s="240"/>
      <c r="Q87" s="240"/>
      <c r="R87" s="240"/>
      <c r="S87" s="240"/>
      <c r="T87" s="240"/>
      <c r="U87" s="240"/>
      <c r="V87" s="240"/>
      <c r="W87" s="240"/>
      <c r="X87" s="240"/>
      <c r="Y87" s="240"/>
      <c r="Z87" s="240"/>
    </row>
    <row r="88">
      <c r="A88" s="244" t="s">
        <v>580</v>
      </c>
      <c r="B88" s="245" t="s">
        <v>160</v>
      </c>
      <c r="C88" s="246">
        <v>0.0</v>
      </c>
      <c r="D88" s="246">
        <v>0.0</v>
      </c>
      <c r="E88" s="246">
        <v>0.0</v>
      </c>
      <c r="F88" s="246" t="s">
        <v>343</v>
      </c>
      <c r="G88" s="240"/>
      <c r="H88" s="240"/>
      <c r="I88" s="240"/>
      <c r="J88" s="240"/>
      <c r="K88" s="240"/>
      <c r="L88" s="240"/>
      <c r="M88" s="240"/>
      <c r="N88" s="240"/>
      <c r="O88" s="240"/>
      <c r="P88" s="240"/>
      <c r="Q88" s="240"/>
      <c r="R88" s="240"/>
      <c r="S88" s="240"/>
      <c r="T88" s="240"/>
      <c r="U88" s="240"/>
      <c r="V88" s="240"/>
      <c r="W88" s="240"/>
      <c r="X88" s="240"/>
      <c r="Y88" s="240"/>
      <c r="Z88" s="240"/>
    </row>
    <row r="89">
      <c r="A89" s="244" t="s">
        <v>581</v>
      </c>
      <c r="B89" s="245" t="s">
        <v>160</v>
      </c>
      <c r="C89" s="246" t="s">
        <v>343</v>
      </c>
      <c r="D89" s="246" t="s">
        <v>345</v>
      </c>
      <c r="E89" s="246">
        <v>0.0</v>
      </c>
      <c r="F89" s="246" t="s">
        <v>347</v>
      </c>
      <c r="G89" s="240"/>
      <c r="H89" s="240"/>
      <c r="I89" s="240"/>
      <c r="J89" s="240"/>
      <c r="K89" s="240"/>
      <c r="L89" s="240"/>
      <c r="M89" s="240"/>
      <c r="N89" s="240"/>
      <c r="O89" s="240"/>
      <c r="P89" s="240"/>
      <c r="Q89" s="240"/>
      <c r="R89" s="240"/>
      <c r="S89" s="240"/>
      <c r="T89" s="240"/>
      <c r="U89" s="240"/>
      <c r="V89" s="240"/>
      <c r="W89" s="240"/>
      <c r="X89" s="240"/>
      <c r="Y89" s="240"/>
      <c r="Z89" s="240"/>
    </row>
    <row r="90">
      <c r="A90" s="244" t="s">
        <v>582</v>
      </c>
      <c r="B90" s="245" t="s">
        <v>160</v>
      </c>
      <c r="C90" s="246" t="s">
        <v>343</v>
      </c>
      <c r="D90" s="246" t="s">
        <v>379</v>
      </c>
      <c r="E90" s="246">
        <v>0.0</v>
      </c>
      <c r="F90" s="246" t="s">
        <v>347</v>
      </c>
      <c r="G90" s="240"/>
      <c r="H90" s="240"/>
      <c r="I90" s="240"/>
      <c r="J90" s="240"/>
      <c r="K90" s="240"/>
      <c r="L90" s="240"/>
      <c r="M90" s="240"/>
      <c r="N90" s="240"/>
      <c r="O90" s="240"/>
      <c r="P90" s="240"/>
      <c r="Q90" s="240"/>
      <c r="R90" s="240"/>
      <c r="S90" s="240"/>
      <c r="T90" s="240"/>
      <c r="U90" s="240"/>
      <c r="V90" s="240"/>
      <c r="W90" s="240"/>
      <c r="X90" s="240"/>
      <c r="Y90" s="240"/>
      <c r="Z90" s="240"/>
    </row>
    <row r="91">
      <c r="A91" s="244" t="s">
        <v>583</v>
      </c>
      <c r="B91" s="245" t="s">
        <v>160</v>
      </c>
      <c r="C91" s="246">
        <v>0.0</v>
      </c>
      <c r="D91" s="246" t="s">
        <v>343</v>
      </c>
      <c r="E91" s="246">
        <v>0.0</v>
      </c>
      <c r="F91" s="246" t="s">
        <v>343</v>
      </c>
      <c r="G91" s="240"/>
      <c r="H91" s="240"/>
      <c r="I91" s="240"/>
      <c r="J91" s="240"/>
      <c r="K91" s="240"/>
      <c r="L91" s="240"/>
      <c r="M91" s="240"/>
      <c r="N91" s="240"/>
      <c r="O91" s="240"/>
      <c r="P91" s="240"/>
      <c r="Q91" s="240"/>
      <c r="R91" s="240"/>
      <c r="S91" s="240"/>
      <c r="T91" s="240"/>
      <c r="U91" s="240"/>
      <c r="V91" s="240"/>
      <c r="W91" s="240"/>
      <c r="X91" s="240"/>
      <c r="Y91" s="240"/>
      <c r="Z91" s="240"/>
    </row>
    <row r="92">
      <c r="A92" s="244" t="s">
        <v>584</v>
      </c>
      <c r="B92" s="245" t="s">
        <v>160</v>
      </c>
      <c r="C92" s="246">
        <v>0.0</v>
      </c>
      <c r="D92" s="246" t="s">
        <v>343</v>
      </c>
      <c r="E92" s="246">
        <v>0.0</v>
      </c>
      <c r="F92" s="246" t="s">
        <v>343</v>
      </c>
      <c r="G92" s="240"/>
      <c r="H92" s="240"/>
      <c r="I92" s="240"/>
      <c r="J92" s="240"/>
      <c r="K92" s="240"/>
      <c r="L92" s="240"/>
      <c r="M92" s="240"/>
      <c r="N92" s="240"/>
      <c r="O92" s="240"/>
      <c r="P92" s="240"/>
      <c r="Q92" s="240"/>
      <c r="R92" s="240"/>
      <c r="S92" s="240"/>
      <c r="T92" s="240"/>
      <c r="U92" s="240"/>
      <c r="V92" s="240"/>
      <c r="W92" s="240"/>
      <c r="X92" s="240"/>
      <c r="Y92" s="240"/>
      <c r="Z92" s="240"/>
    </row>
    <row r="93">
      <c r="A93" s="244" t="s">
        <v>585</v>
      </c>
      <c r="B93" s="245" t="s">
        <v>160</v>
      </c>
      <c r="C93" s="246">
        <v>0.0</v>
      </c>
      <c r="D93" s="246" t="s">
        <v>343</v>
      </c>
      <c r="E93" s="246">
        <v>0.0</v>
      </c>
      <c r="F93" s="246" t="s">
        <v>343</v>
      </c>
      <c r="G93" s="240"/>
      <c r="H93" s="240"/>
      <c r="I93" s="240"/>
      <c r="J93" s="240"/>
      <c r="K93" s="240"/>
      <c r="L93" s="240"/>
      <c r="M93" s="240"/>
      <c r="N93" s="240"/>
      <c r="O93" s="240"/>
      <c r="P93" s="240"/>
      <c r="Q93" s="240"/>
      <c r="R93" s="240"/>
      <c r="S93" s="240"/>
      <c r="T93" s="240"/>
      <c r="U93" s="240"/>
      <c r="V93" s="240"/>
      <c r="W93" s="240"/>
      <c r="X93" s="240"/>
      <c r="Y93" s="240"/>
      <c r="Z93" s="240"/>
    </row>
    <row r="94">
      <c r="A94" s="244" t="s">
        <v>586</v>
      </c>
      <c r="B94" s="245" t="s">
        <v>160</v>
      </c>
      <c r="C94" s="246" t="s">
        <v>343</v>
      </c>
      <c r="D94" s="246" t="s">
        <v>343</v>
      </c>
      <c r="E94" s="246">
        <v>0.0</v>
      </c>
      <c r="F94" s="246">
        <v>0.0</v>
      </c>
      <c r="G94" s="240"/>
      <c r="H94" s="240"/>
      <c r="I94" s="240"/>
      <c r="J94" s="240"/>
      <c r="K94" s="240"/>
      <c r="L94" s="240"/>
      <c r="M94" s="240"/>
      <c r="N94" s="240"/>
      <c r="O94" s="240"/>
      <c r="P94" s="240"/>
      <c r="Q94" s="240"/>
      <c r="R94" s="240"/>
      <c r="S94" s="240"/>
      <c r="T94" s="240"/>
      <c r="U94" s="240"/>
      <c r="V94" s="240"/>
      <c r="W94" s="240"/>
      <c r="X94" s="240"/>
      <c r="Y94" s="240"/>
      <c r="Z94" s="240"/>
    </row>
    <row r="95">
      <c r="A95" s="244" t="s">
        <v>587</v>
      </c>
      <c r="B95" s="245" t="s">
        <v>160</v>
      </c>
      <c r="C95" s="246">
        <v>0.0</v>
      </c>
      <c r="D95" s="246" t="s">
        <v>347</v>
      </c>
      <c r="E95" s="246">
        <v>0.0</v>
      </c>
      <c r="F95" s="246" t="s">
        <v>343</v>
      </c>
      <c r="G95" s="240"/>
      <c r="H95" s="240"/>
      <c r="I95" s="240"/>
      <c r="J95" s="240"/>
      <c r="K95" s="240"/>
      <c r="L95" s="240"/>
      <c r="M95" s="240"/>
      <c r="N95" s="240"/>
      <c r="O95" s="240"/>
      <c r="P95" s="240"/>
      <c r="Q95" s="240"/>
      <c r="R95" s="240"/>
      <c r="S95" s="240"/>
      <c r="T95" s="240"/>
      <c r="U95" s="240"/>
      <c r="V95" s="240"/>
      <c r="W95" s="240"/>
      <c r="X95" s="240"/>
      <c r="Y95" s="240"/>
      <c r="Z95" s="240"/>
    </row>
    <row r="96">
      <c r="A96" s="244" t="s">
        <v>588</v>
      </c>
      <c r="B96" s="245" t="s">
        <v>160</v>
      </c>
      <c r="C96" s="246" t="s">
        <v>343</v>
      </c>
      <c r="D96" s="246" t="s">
        <v>343</v>
      </c>
      <c r="E96" s="246">
        <v>0.0</v>
      </c>
      <c r="F96" s="246" t="s">
        <v>343</v>
      </c>
      <c r="G96" s="240"/>
      <c r="H96" s="240"/>
      <c r="I96" s="240"/>
      <c r="J96" s="240"/>
      <c r="K96" s="240"/>
      <c r="L96" s="240"/>
      <c r="M96" s="240"/>
      <c r="N96" s="240"/>
      <c r="O96" s="240"/>
      <c r="P96" s="240"/>
      <c r="Q96" s="240"/>
      <c r="R96" s="240"/>
      <c r="S96" s="240"/>
      <c r="T96" s="240"/>
      <c r="U96" s="240"/>
      <c r="V96" s="240"/>
      <c r="W96" s="240"/>
      <c r="X96" s="240"/>
      <c r="Y96" s="240"/>
      <c r="Z96" s="240"/>
    </row>
    <row r="97">
      <c r="A97" s="244" t="s">
        <v>589</v>
      </c>
      <c r="B97" s="245" t="s">
        <v>160</v>
      </c>
      <c r="C97" s="246">
        <v>0.0</v>
      </c>
      <c r="D97" s="246" t="s">
        <v>347</v>
      </c>
      <c r="E97" s="246">
        <v>0.0</v>
      </c>
      <c r="F97" s="246" t="s">
        <v>343</v>
      </c>
      <c r="G97" s="240"/>
      <c r="H97" s="240"/>
      <c r="I97" s="240"/>
      <c r="J97" s="240"/>
      <c r="K97" s="240"/>
      <c r="L97" s="240"/>
      <c r="M97" s="240"/>
      <c r="N97" s="240"/>
      <c r="O97" s="240"/>
      <c r="P97" s="240"/>
      <c r="Q97" s="240"/>
      <c r="R97" s="240"/>
      <c r="S97" s="240"/>
      <c r="T97" s="240"/>
      <c r="U97" s="240"/>
      <c r="V97" s="240"/>
      <c r="W97" s="240"/>
      <c r="X97" s="240"/>
      <c r="Y97" s="240"/>
      <c r="Z97" s="240"/>
    </row>
    <row r="98">
      <c r="A98" s="244" t="s">
        <v>590</v>
      </c>
      <c r="B98" s="245" t="s">
        <v>160</v>
      </c>
      <c r="C98" s="246">
        <v>0.0</v>
      </c>
      <c r="D98" s="246">
        <v>0.0</v>
      </c>
      <c r="E98" s="246">
        <v>0.0</v>
      </c>
      <c r="F98" s="246" t="s">
        <v>343</v>
      </c>
      <c r="G98" s="240"/>
      <c r="H98" s="240"/>
      <c r="I98" s="240"/>
      <c r="J98" s="240"/>
      <c r="K98" s="240"/>
      <c r="L98" s="240"/>
      <c r="M98" s="240"/>
      <c r="N98" s="240"/>
      <c r="O98" s="240"/>
      <c r="P98" s="240"/>
      <c r="Q98" s="240"/>
      <c r="R98" s="240"/>
      <c r="S98" s="240"/>
      <c r="T98" s="240"/>
      <c r="U98" s="240"/>
      <c r="V98" s="240"/>
      <c r="W98" s="240"/>
      <c r="X98" s="240"/>
      <c r="Y98" s="240"/>
      <c r="Z98" s="240"/>
    </row>
    <row r="99">
      <c r="A99" s="244" t="s">
        <v>591</v>
      </c>
      <c r="B99" s="245" t="s">
        <v>160</v>
      </c>
      <c r="C99" s="246" t="s">
        <v>343</v>
      </c>
      <c r="D99" s="246" t="s">
        <v>343</v>
      </c>
      <c r="E99" s="246">
        <v>0.0</v>
      </c>
      <c r="F99" s="246" t="s">
        <v>343</v>
      </c>
      <c r="G99" s="240"/>
      <c r="H99" s="240"/>
      <c r="I99" s="240"/>
      <c r="J99" s="240"/>
      <c r="K99" s="240"/>
      <c r="L99" s="240"/>
      <c r="M99" s="240"/>
      <c r="N99" s="240"/>
      <c r="O99" s="240"/>
      <c r="P99" s="240"/>
      <c r="Q99" s="240"/>
      <c r="R99" s="240"/>
      <c r="S99" s="240"/>
      <c r="T99" s="240"/>
      <c r="U99" s="240"/>
      <c r="V99" s="240"/>
      <c r="W99" s="240"/>
      <c r="X99" s="240"/>
      <c r="Y99" s="240"/>
      <c r="Z99" s="240"/>
    </row>
    <row r="100">
      <c r="A100" s="244" t="s">
        <v>592</v>
      </c>
      <c r="B100" s="245" t="s">
        <v>160</v>
      </c>
      <c r="C100" s="246" t="s">
        <v>343</v>
      </c>
      <c r="D100" s="246" t="s">
        <v>345</v>
      </c>
      <c r="E100" s="246">
        <v>0.0</v>
      </c>
      <c r="F100" s="246" t="s">
        <v>343</v>
      </c>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244" t="s">
        <v>593</v>
      </c>
      <c r="B101" s="245" t="s">
        <v>160</v>
      </c>
      <c r="C101" s="246" t="s">
        <v>343</v>
      </c>
      <c r="D101" s="246" t="s">
        <v>343</v>
      </c>
      <c r="E101" s="246">
        <v>0.0</v>
      </c>
      <c r="F101" s="246" t="s">
        <v>343</v>
      </c>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244" t="s">
        <v>594</v>
      </c>
      <c r="B102" s="245" t="s">
        <v>160</v>
      </c>
      <c r="C102" s="246" t="s">
        <v>343</v>
      </c>
      <c r="D102" s="246" t="s">
        <v>343</v>
      </c>
      <c r="E102" s="246">
        <v>0.0</v>
      </c>
      <c r="F102" s="246">
        <v>0.0</v>
      </c>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244" t="s">
        <v>595</v>
      </c>
      <c r="B103" s="245" t="s">
        <v>160</v>
      </c>
      <c r="C103" s="246">
        <v>0.0</v>
      </c>
      <c r="D103" s="246" t="s">
        <v>347</v>
      </c>
      <c r="E103" s="246">
        <v>0.0</v>
      </c>
      <c r="F103" s="246">
        <v>0.0</v>
      </c>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244" t="s">
        <v>596</v>
      </c>
      <c r="B104" s="245" t="s">
        <v>160</v>
      </c>
      <c r="C104" s="246" t="s">
        <v>343</v>
      </c>
      <c r="D104" s="246" t="s">
        <v>347</v>
      </c>
      <c r="E104" s="246">
        <v>0.0</v>
      </c>
      <c r="F104" s="246" t="s">
        <v>343</v>
      </c>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244" t="s">
        <v>597</v>
      </c>
      <c r="B105" s="245" t="s">
        <v>160</v>
      </c>
      <c r="C105" s="246">
        <v>0.0</v>
      </c>
      <c r="D105" s="246">
        <v>0.0</v>
      </c>
      <c r="E105" s="246" t="s">
        <v>343</v>
      </c>
      <c r="F105" s="246" t="s">
        <v>343</v>
      </c>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244" t="s">
        <v>598</v>
      </c>
      <c r="B106" s="245" t="s">
        <v>160</v>
      </c>
      <c r="C106" s="246" t="s">
        <v>343</v>
      </c>
      <c r="D106" s="246" t="s">
        <v>347</v>
      </c>
      <c r="E106" s="246" t="s">
        <v>343</v>
      </c>
      <c r="F106" s="246" t="s">
        <v>347</v>
      </c>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244" t="s">
        <v>599</v>
      </c>
      <c r="B107" s="245" t="s">
        <v>160</v>
      </c>
      <c r="C107" s="246" t="s">
        <v>343</v>
      </c>
      <c r="D107" s="246" t="s">
        <v>347</v>
      </c>
      <c r="E107" s="246">
        <v>0.0</v>
      </c>
      <c r="F107" s="246">
        <v>0.0</v>
      </c>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244" t="s">
        <v>600</v>
      </c>
      <c r="B108" s="245" t="s">
        <v>160</v>
      </c>
      <c r="C108" s="246" t="s">
        <v>343</v>
      </c>
      <c r="D108" s="246" t="s">
        <v>347</v>
      </c>
      <c r="E108" s="246">
        <v>0.0</v>
      </c>
      <c r="F108" s="246" t="s">
        <v>343</v>
      </c>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244" t="s">
        <v>601</v>
      </c>
      <c r="B109" s="245" t="s">
        <v>160</v>
      </c>
      <c r="C109" s="246">
        <v>0.0</v>
      </c>
      <c r="D109" s="246" t="s">
        <v>343</v>
      </c>
      <c r="E109" s="246">
        <v>0.0</v>
      </c>
      <c r="F109" s="246" t="s">
        <v>343</v>
      </c>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244" t="s">
        <v>602</v>
      </c>
      <c r="B110" s="245" t="s">
        <v>160</v>
      </c>
      <c r="C110" s="246">
        <v>0.0</v>
      </c>
      <c r="D110" s="246" t="s">
        <v>343</v>
      </c>
      <c r="E110" s="246">
        <v>0.0</v>
      </c>
      <c r="F110" s="246" t="s">
        <v>343</v>
      </c>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244" t="s">
        <v>603</v>
      </c>
      <c r="B111" s="245" t="s">
        <v>161</v>
      </c>
      <c r="C111" s="246">
        <v>0.0</v>
      </c>
      <c r="D111" s="246" t="s">
        <v>343</v>
      </c>
      <c r="E111" s="246">
        <v>0.0</v>
      </c>
      <c r="F111" s="246" t="s">
        <v>343</v>
      </c>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244" t="s">
        <v>604</v>
      </c>
      <c r="B112" s="245" t="s">
        <v>161</v>
      </c>
      <c r="C112" s="246">
        <v>0.0</v>
      </c>
      <c r="D112" s="246" t="s">
        <v>343</v>
      </c>
      <c r="E112" s="246">
        <v>0.0</v>
      </c>
      <c r="F112" s="246" t="s">
        <v>343</v>
      </c>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244" t="s">
        <v>605</v>
      </c>
      <c r="B113" s="245" t="s">
        <v>161</v>
      </c>
      <c r="C113" s="246">
        <v>0.0</v>
      </c>
      <c r="D113" s="246" t="s">
        <v>343</v>
      </c>
      <c r="E113" s="246">
        <v>0.0</v>
      </c>
      <c r="F113" s="246" t="s">
        <v>343</v>
      </c>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244" t="s">
        <v>606</v>
      </c>
      <c r="B114" s="245" t="s">
        <v>161</v>
      </c>
      <c r="C114" s="246" t="s">
        <v>343</v>
      </c>
      <c r="D114" s="246" t="s">
        <v>351</v>
      </c>
      <c r="E114" s="246">
        <v>0.0</v>
      </c>
      <c r="F114" s="246" t="s">
        <v>343</v>
      </c>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244" t="s">
        <v>607</v>
      </c>
      <c r="B115" s="245" t="s">
        <v>161</v>
      </c>
      <c r="C115" s="246">
        <v>0.0</v>
      </c>
      <c r="D115" s="246">
        <v>0.0</v>
      </c>
      <c r="E115" s="246">
        <v>0.0</v>
      </c>
      <c r="F115" s="246" t="s">
        <v>343</v>
      </c>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244" t="s">
        <v>608</v>
      </c>
      <c r="B116" s="245" t="s">
        <v>161</v>
      </c>
      <c r="C116" s="246">
        <v>0.0</v>
      </c>
      <c r="D116" s="246" t="s">
        <v>343</v>
      </c>
      <c r="E116" s="246" t="s">
        <v>343</v>
      </c>
      <c r="F116" s="246" t="s">
        <v>343</v>
      </c>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244" t="s">
        <v>609</v>
      </c>
      <c r="B117" s="245" t="s">
        <v>161</v>
      </c>
      <c r="C117" s="246">
        <v>0.0</v>
      </c>
      <c r="D117" s="246" t="s">
        <v>343</v>
      </c>
      <c r="E117" s="246" t="s">
        <v>343</v>
      </c>
      <c r="F117" s="246" t="s">
        <v>343</v>
      </c>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244" t="s">
        <v>610</v>
      </c>
      <c r="B118" s="245" t="s">
        <v>161</v>
      </c>
      <c r="C118" s="246">
        <v>0.0</v>
      </c>
      <c r="D118" s="246" t="s">
        <v>343</v>
      </c>
      <c r="E118" s="246" t="s">
        <v>343</v>
      </c>
      <c r="F118" s="246" t="s">
        <v>343</v>
      </c>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244" t="s">
        <v>611</v>
      </c>
      <c r="B119" s="245" t="s">
        <v>612</v>
      </c>
      <c r="C119" s="246">
        <v>0.0</v>
      </c>
      <c r="D119" s="246" t="s">
        <v>343</v>
      </c>
      <c r="E119" s="246">
        <v>0.0</v>
      </c>
      <c r="F119" s="246" t="s">
        <v>343</v>
      </c>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244" t="s">
        <v>613</v>
      </c>
      <c r="B120" s="245" t="s">
        <v>614</v>
      </c>
      <c r="C120" s="246" t="s">
        <v>343</v>
      </c>
      <c r="D120" s="246" t="s">
        <v>379</v>
      </c>
      <c r="E120" s="246" t="s">
        <v>343</v>
      </c>
      <c r="F120" s="246" t="s">
        <v>343</v>
      </c>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244" t="s">
        <v>615</v>
      </c>
      <c r="B121" s="245" t="s">
        <v>615</v>
      </c>
      <c r="C121" s="246">
        <v>0.0</v>
      </c>
      <c r="D121" s="246">
        <v>0.0</v>
      </c>
      <c r="E121" s="246">
        <v>0.0</v>
      </c>
      <c r="F121" s="246" t="s">
        <v>343</v>
      </c>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244" t="s">
        <v>616</v>
      </c>
      <c r="B122" s="245" t="s">
        <v>162</v>
      </c>
      <c r="C122" s="246">
        <v>0.0</v>
      </c>
      <c r="D122" s="246" t="s">
        <v>347</v>
      </c>
      <c r="E122" s="246" t="s">
        <v>343</v>
      </c>
      <c r="F122" s="246" t="s">
        <v>343</v>
      </c>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244" t="s">
        <v>617</v>
      </c>
      <c r="B123" s="245" t="s">
        <v>162</v>
      </c>
      <c r="C123" s="246" t="s">
        <v>343</v>
      </c>
      <c r="D123" s="246" t="s">
        <v>347</v>
      </c>
      <c r="E123" s="246">
        <v>0.0</v>
      </c>
      <c r="F123" s="246" t="s">
        <v>343</v>
      </c>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244" t="s">
        <v>618</v>
      </c>
      <c r="B124" s="245" t="s">
        <v>162</v>
      </c>
      <c r="C124" s="246" t="s">
        <v>343</v>
      </c>
      <c r="D124" s="246" t="s">
        <v>343</v>
      </c>
      <c r="E124" s="246">
        <v>0.0</v>
      </c>
      <c r="F124" s="246" t="s">
        <v>343</v>
      </c>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244" t="s">
        <v>619</v>
      </c>
      <c r="B125" s="245" t="s">
        <v>162</v>
      </c>
      <c r="C125" s="246">
        <v>0.0</v>
      </c>
      <c r="D125" s="246" t="s">
        <v>343</v>
      </c>
      <c r="E125" s="246">
        <v>0.0</v>
      </c>
      <c r="F125" s="246" t="s">
        <v>343</v>
      </c>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244" t="s">
        <v>620</v>
      </c>
      <c r="B126" s="245" t="s">
        <v>162</v>
      </c>
      <c r="C126" s="246">
        <v>0.0</v>
      </c>
      <c r="D126" s="246" t="s">
        <v>343</v>
      </c>
      <c r="E126" s="246">
        <v>0.0</v>
      </c>
      <c r="F126" s="246" t="s">
        <v>343</v>
      </c>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244" t="s">
        <v>621</v>
      </c>
      <c r="B127" s="245" t="s">
        <v>162</v>
      </c>
      <c r="C127" s="246">
        <v>0.0</v>
      </c>
      <c r="D127" s="246">
        <v>0.0</v>
      </c>
      <c r="E127" s="246" t="s">
        <v>343</v>
      </c>
      <c r="F127" s="246" t="s">
        <v>343</v>
      </c>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244" t="s">
        <v>622</v>
      </c>
      <c r="B128" s="245" t="s">
        <v>163</v>
      </c>
      <c r="C128" s="246" t="s">
        <v>343</v>
      </c>
      <c r="D128" s="246" t="s">
        <v>347</v>
      </c>
      <c r="E128" s="246">
        <v>0.0</v>
      </c>
      <c r="F128" s="246" t="s">
        <v>343</v>
      </c>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244" t="s">
        <v>623</v>
      </c>
      <c r="B129" s="245" t="s">
        <v>163</v>
      </c>
      <c r="C129" s="246">
        <v>0.0</v>
      </c>
      <c r="D129" s="246" t="s">
        <v>343</v>
      </c>
      <c r="E129" s="246" t="s">
        <v>343</v>
      </c>
      <c r="F129" s="246" t="s">
        <v>343</v>
      </c>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244" t="s">
        <v>624</v>
      </c>
      <c r="B130" s="245" t="s">
        <v>163</v>
      </c>
      <c r="C130" s="246" t="s">
        <v>343</v>
      </c>
      <c r="D130" s="246" t="s">
        <v>347</v>
      </c>
      <c r="E130" s="246">
        <v>0.0</v>
      </c>
      <c r="F130" s="246" t="s">
        <v>345</v>
      </c>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244" t="s">
        <v>625</v>
      </c>
      <c r="B131" s="245" t="s">
        <v>163</v>
      </c>
      <c r="C131" s="246" t="s">
        <v>343</v>
      </c>
      <c r="D131" s="246" t="s">
        <v>347</v>
      </c>
      <c r="E131" s="246">
        <v>0.0</v>
      </c>
      <c r="F131" s="246" t="s">
        <v>343</v>
      </c>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244" t="s">
        <v>626</v>
      </c>
      <c r="B132" s="245" t="s">
        <v>163</v>
      </c>
      <c r="C132" s="246">
        <v>0.0</v>
      </c>
      <c r="D132" s="246">
        <v>0.0</v>
      </c>
      <c r="E132" s="246">
        <v>0.0</v>
      </c>
      <c r="F132" s="246" t="s">
        <v>343</v>
      </c>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244" t="s">
        <v>627</v>
      </c>
      <c r="B133" s="245" t="s">
        <v>163</v>
      </c>
      <c r="C133" s="246" t="s">
        <v>343</v>
      </c>
      <c r="D133" s="246" t="s">
        <v>343</v>
      </c>
      <c r="E133" s="246">
        <v>0.0</v>
      </c>
      <c r="F133" s="246" t="s">
        <v>343</v>
      </c>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244" t="s">
        <v>628</v>
      </c>
      <c r="B134" s="245" t="s">
        <v>163</v>
      </c>
      <c r="C134" s="246">
        <v>0.0</v>
      </c>
      <c r="D134" s="246" t="s">
        <v>343</v>
      </c>
      <c r="E134" s="246">
        <v>0.0</v>
      </c>
      <c r="F134" s="246">
        <v>0.0</v>
      </c>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244" t="s">
        <v>629</v>
      </c>
      <c r="B135" s="245" t="s">
        <v>163</v>
      </c>
      <c r="C135" s="246" t="s">
        <v>343</v>
      </c>
      <c r="D135" s="246" t="s">
        <v>343</v>
      </c>
      <c r="E135" s="246">
        <v>0.0</v>
      </c>
      <c r="F135" s="246">
        <v>0.0</v>
      </c>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244" t="s">
        <v>630</v>
      </c>
      <c r="B136" s="245" t="s">
        <v>163</v>
      </c>
      <c r="C136" s="246">
        <v>0.0</v>
      </c>
      <c r="D136" s="246" t="s">
        <v>343</v>
      </c>
      <c r="E136" s="246">
        <v>0.0</v>
      </c>
      <c r="F136" s="246" t="s">
        <v>343</v>
      </c>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244" t="s">
        <v>631</v>
      </c>
      <c r="B137" s="245" t="s">
        <v>163</v>
      </c>
      <c r="C137" s="246">
        <v>0.0</v>
      </c>
      <c r="D137" s="246" t="s">
        <v>343</v>
      </c>
      <c r="E137" s="246">
        <v>0.0</v>
      </c>
      <c r="F137" s="246" t="s">
        <v>343</v>
      </c>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244" t="s">
        <v>632</v>
      </c>
      <c r="B138" s="245" t="s">
        <v>163</v>
      </c>
      <c r="C138" s="246" t="s">
        <v>343</v>
      </c>
      <c r="D138" s="246" t="s">
        <v>343</v>
      </c>
      <c r="E138" s="246">
        <v>0.0</v>
      </c>
      <c r="F138" s="246" t="s">
        <v>343</v>
      </c>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244" t="s">
        <v>633</v>
      </c>
      <c r="B139" s="245" t="s">
        <v>163</v>
      </c>
      <c r="C139" s="246">
        <v>0.0</v>
      </c>
      <c r="D139" s="246">
        <v>0.0</v>
      </c>
      <c r="E139" s="246">
        <v>0.0</v>
      </c>
      <c r="F139" s="246" t="s">
        <v>343</v>
      </c>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244" t="s">
        <v>634</v>
      </c>
      <c r="B140" s="245" t="s">
        <v>635</v>
      </c>
      <c r="C140" s="246">
        <v>0.0</v>
      </c>
      <c r="D140" s="246" t="s">
        <v>347</v>
      </c>
      <c r="E140" s="246" t="s">
        <v>343</v>
      </c>
      <c r="F140" s="246" t="s">
        <v>343</v>
      </c>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244" t="s">
        <v>636</v>
      </c>
      <c r="B141" s="245" t="s">
        <v>635</v>
      </c>
      <c r="C141" s="246">
        <v>0.0</v>
      </c>
      <c r="D141" s="246">
        <v>0.0</v>
      </c>
      <c r="E141" s="246">
        <v>0.0</v>
      </c>
      <c r="F141" s="246" t="s">
        <v>343</v>
      </c>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244" t="s">
        <v>637</v>
      </c>
      <c r="B142" s="245" t="s">
        <v>635</v>
      </c>
      <c r="C142" s="246" t="s">
        <v>343</v>
      </c>
      <c r="D142" s="246" t="s">
        <v>347</v>
      </c>
      <c r="E142" s="246">
        <v>0.0</v>
      </c>
      <c r="F142" s="246">
        <v>0.0</v>
      </c>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244" t="s">
        <v>638</v>
      </c>
      <c r="B143" s="245" t="s">
        <v>635</v>
      </c>
      <c r="C143" s="246" t="s">
        <v>343</v>
      </c>
      <c r="D143" s="246" t="s">
        <v>343</v>
      </c>
      <c r="E143" s="246" t="s">
        <v>343</v>
      </c>
      <c r="F143" s="246" t="s">
        <v>343</v>
      </c>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244" t="s">
        <v>639</v>
      </c>
      <c r="B144" s="245" t="s">
        <v>165</v>
      </c>
      <c r="C144" s="246" t="s">
        <v>343</v>
      </c>
      <c r="D144" s="246" t="s">
        <v>343</v>
      </c>
      <c r="E144" s="246">
        <v>0.0</v>
      </c>
      <c r="F144" s="246" t="s">
        <v>343</v>
      </c>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244" t="s">
        <v>640</v>
      </c>
      <c r="B145" s="245" t="s">
        <v>641</v>
      </c>
      <c r="C145" s="246" t="s">
        <v>343</v>
      </c>
      <c r="D145" s="246" t="s">
        <v>347</v>
      </c>
      <c r="E145" s="246">
        <v>0.0</v>
      </c>
      <c r="F145" s="246" t="s">
        <v>343</v>
      </c>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244" t="s">
        <v>642</v>
      </c>
      <c r="B146" s="245" t="s">
        <v>641</v>
      </c>
      <c r="C146" s="246">
        <v>0.0</v>
      </c>
      <c r="D146" s="246" t="s">
        <v>343</v>
      </c>
      <c r="E146" s="246">
        <v>0.0</v>
      </c>
      <c r="F146" s="246" t="s">
        <v>343</v>
      </c>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244" t="s">
        <v>643</v>
      </c>
      <c r="B147" s="245" t="s">
        <v>166</v>
      </c>
      <c r="C147" s="246" t="s">
        <v>343</v>
      </c>
      <c r="D147" s="246" t="s">
        <v>343</v>
      </c>
      <c r="E147" s="246">
        <v>0.0</v>
      </c>
      <c r="F147" s="246" t="s">
        <v>343</v>
      </c>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244" t="s">
        <v>644</v>
      </c>
      <c r="B148" s="245" t="s">
        <v>166</v>
      </c>
      <c r="C148" s="246">
        <v>0.0</v>
      </c>
      <c r="D148" s="246" t="s">
        <v>343</v>
      </c>
      <c r="E148" s="246">
        <v>0.0</v>
      </c>
      <c r="F148" s="246">
        <v>0.0</v>
      </c>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244" t="s">
        <v>645</v>
      </c>
      <c r="B149" s="245" t="s">
        <v>646</v>
      </c>
      <c r="C149" s="246">
        <v>0.0</v>
      </c>
      <c r="D149" s="246" t="s">
        <v>343</v>
      </c>
      <c r="E149" s="246">
        <v>0.0</v>
      </c>
      <c r="F149" s="246" t="s">
        <v>343</v>
      </c>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244" t="s">
        <v>647</v>
      </c>
      <c r="B150" s="245" t="s">
        <v>646</v>
      </c>
      <c r="C150" s="246">
        <v>0.0</v>
      </c>
      <c r="D150" s="246" t="s">
        <v>343</v>
      </c>
      <c r="E150" s="246">
        <v>0.0</v>
      </c>
      <c r="F150" s="246" t="s">
        <v>343</v>
      </c>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244" t="s">
        <v>648</v>
      </c>
      <c r="B151" s="245" t="s">
        <v>649</v>
      </c>
      <c r="C151" s="246">
        <v>0.0</v>
      </c>
      <c r="D151" s="246" t="s">
        <v>343</v>
      </c>
      <c r="E151" s="246" t="s">
        <v>343</v>
      </c>
      <c r="F151" s="246" t="s">
        <v>343</v>
      </c>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244" t="s">
        <v>650</v>
      </c>
      <c r="B152" s="245" t="s">
        <v>168</v>
      </c>
      <c r="C152" s="246" t="s">
        <v>343</v>
      </c>
      <c r="D152" s="246" t="s">
        <v>343</v>
      </c>
      <c r="E152" s="246">
        <v>0.0</v>
      </c>
      <c r="F152" s="246">
        <v>0.0</v>
      </c>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244" t="s">
        <v>651</v>
      </c>
      <c r="B153" s="245" t="s">
        <v>168</v>
      </c>
      <c r="C153" s="246">
        <v>0.0</v>
      </c>
      <c r="D153" s="246">
        <v>0.0</v>
      </c>
      <c r="E153" s="246">
        <v>0.0</v>
      </c>
      <c r="F153" s="246" t="s">
        <v>343</v>
      </c>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244" t="s">
        <v>652</v>
      </c>
      <c r="B154" s="245" t="s">
        <v>169</v>
      </c>
      <c r="C154" s="246">
        <v>0.0</v>
      </c>
      <c r="D154" s="246" t="s">
        <v>343</v>
      </c>
      <c r="E154" s="246">
        <v>0.0</v>
      </c>
      <c r="F154" s="246" t="s">
        <v>343</v>
      </c>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244" t="s">
        <v>653</v>
      </c>
      <c r="B155" s="245" t="s">
        <v>169</v>
      </c>
      <c r="C155" s="246">
        <v>0.0</v>
      </c>
      <c r="D155" s="246" t="s">
        <v>343</v>
      </c>
      <c r="E155" s="246">
        <v>0.0</v>
      </c>
      <c r="F155" s="246">
        <v>0.0</v>
      </c>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244" t="s">
        <v>654</v>
      </c>
      <c r="B156" s="245" t="s">
        <v>169</v>
      </c>
      <c r="C156" s="246" t="s">
        <v>343</v>
      </c>
      <c r="D156" s="246" t="s">
        <v>345</v>
      </c>
      <c r="E156" s="246">
        <v>0.0</v>
      </c>
      <c r="F156" s="246" t="s">
        <v>343</v>
      </c>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244" t="s">
        <v>655</v>
      </c>
      <c r="B157" s="245" t="s">
        <v>169</v>
      </c>
      <c r="C157" s="246" t="s">
        <v>343</v>
      </c>
      <c r="D157" s="246" t="s">
        <v>345</v>
      </c>
      <c r="E157" s="246" t="s">
        <v>343</v>
      </c>
      <c r="F157" s="246" t="s">
        <v>343</v>
      </c>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244" t="s">
        <v>656</v>
      </c>
      <c r="B158" s="245" t="s">
        <v>169</v>
      </c>
      <c r="C158" s="246">
        <v>0.0</v>
      </c>
      <c r="D158" s="246" t="s">
        <v>343</v>
      </c>
      <c r="E158" s="246">
        <v>0.0</v>
      </c>
      <c r="F158" s="246" t="s">
        <v>343</v>
      </c>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244" t="s">
        <v>657</v>
      </c>
      <c r="B159" s="245" t="s">
        <v>169</v>
      </c>
      <c r="C159" s="246">
        <v>0.0</v>
      </c>
      <c r="D159" s="246" t="s">
        <v>343</v>
      </c>
      <c r="E159" s="246">
        <v>0.0</v>
      </c>
      <c r="F159" s="246" t="s">
        <v>343</v>
      </c>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244" t="s">
        <v>658</v>
      </c>
      <c r="B160" s="245" t="s">
        <v>169</v>
      </c>
      <c r="C160" s="246" t="s">
        <v>343</v>
      </c>
      <c r="D160" s="246" t="s">
        <v>347</v>
      </c>
      <c r="E160" s="246">
        <v>0.0</v>
      </c>
      <c r="F160" s="246" t="s">
        <v>343</v>
      </c>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244" t="s">
        <v>659</v>
      </c>
      <c r="B161" s="245" t="s">
        <v>659</v>
      </c>
      <c r="C161" s="246" t="s">
        <v>343</v>
      </c>
      <c r="D161" s="246" t="s">
        <v>343</v>
      </c>
      <c r="E161" s="246" t="s">
        <v>343</v>
      </c>
      <c r="F161" s="246" t="s">
        <v>343</v>
      </c>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244" t="s">
        <v>660</v>
      </c>
      <c r="B162" s="245" t="s">
        <v>661</v>
      </c>
      <c r="C162" s="246">
        <v>0.0</v>
      </c>
      <c r="D162" s="246" t="s">
        <v>343</v>
      </c>
      <c r="E162" s="246" t="s">
        <v>343</v>
      </c>
      <c r="F162" s="246" t="s">
        <v>343</v>
      </c>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244" t="s">
        <v>662</v>
      </c>
      <c r="B163" s="245" t="s">
        <v>170</v>
      </c>
      <c r="C163" s="246">
        <v>0.0</v>
      </c>
      <c r="D163" s="246" t="s">
        <v>343</v>
      </c>
      <c r="E163" s="246">
        <v>0.0</v>
      </c>
      <c r="F163" s="246" t="s">
        <v>343</v>
      </c>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244" t="s">
        <v>663</v>
      </c>
      <c r="B164" s="245" t="s">
        <v>170</v>
      </c>
      <c r="C164" s="246" t="s">
        <v>343</v>
      </c>
      <c r="D164" s="246" t="s">
        <v>343</v>
      </c>
      <c r="E164" s="246" t="s">
        <v>343</v>
      </c>
      <c r="F164" s="246" t="s">
        <v>343</v>
      </c>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244" t="s">
        <v>664</v>
      </c>
      <c r="B165" s="245" t="s">
        <v>170</v>
      </c>
      <c r="C165" s="246" t="s">
        <v>343</v>
      </c>
      <c r="D165" s="246" t="s">
        <v>345</v>
      </c>
      <c r="E165" s="246" t="s">
        <v>347</v>
      </c>
      <c r="F165" s="246" t="s">
        <v>347</v>
      </c>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244" t="s">
        <v>665</v>
      </c>
      <c r="B166" s="245" t="s">
        <v>170</v>
      </c>
      <c r="C166" s="246" t="s">
        <v>343</v>
      </c>
      <c r="D166" s="246" t="s">
        <v>343</v>
      </c>
      <c r="E166" s="246" t="s">
        <v>343</v>
      </c>
      <c r="F166" s="246" t="s">
        <v>343</v>
      </c>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244" t="s">
        <v>666</v>
      </c>
      <c r="B167" s="245" t="s">
        <v>170</v>
      </c>
      <c r="C167" s="246">
        <v>0.0</v>
      </c>
      <c r="D167" s="246" t="s">
        <v>343</v>
      </c>
      <c r="E167" s="246">
        <v>0.0</v>
      </c>
      <c r="F167" s="246" t="s">
        <v>343</v>
      </c>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244" t="s">
        <v>667</v>
      </c>
      <c r="B168" s="245" t="s">
        <v>170</v>
      </c>
      <c r="C168" s="246">
        <v>0.0</v>
      </c>
      <c r="D168" s="246" t="s">
        <v>343</v>
      </c>
      <c r="E168" s="246">
        <v>0.0</v>
      </c>
      <c r="F168" s="246" t="s">
        <v>343</v>
      </c>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244" t="s">
        <v>668</v>
      </c>
      <c r="B169" s="245" t="s">
        <v>171</v>
      </c>
      <c r="C169" s="246">
        <v>0.0</v>
      </c>
      <c r="D169" s="246" t="s">
        <v>343</v>
      </c>
      <c r="E169" s="246">
        <v>0.0</v>
      </c>
      <c r="F169" s="246" t="s">
        <v>343</v>
      </c>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244" t="s">
        <v>669</v>
      </c>
      <c r="B170" s="245" t="s">
        <v>670</v>
      </c>
      <c r="C170" s="246">
        <v>0.0</v>
      </c>
      <c r="D170" s="246" t="s">
        <v>343</v>
      </c>
      <c r="E170" s="246">
        <v>0.0</v>
      </c>
      <c r="F170" s="246" t="s">
        <v>343</v>
      </c>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244" t="s">
        <v>671</v>
      </c>
      <c r="B171" s="245" t="s">
        <v>172</v>
      </c>
      <c r="C171" s="246">
        <v>0.0</v>
      </c>
      <c r="D171" s="246" t="s">
        <v>343</v>
      </c>
      <c r="E171" s="246">
        <v>0.0</v>
      </c>
      <c r="F171" s="246" t="s">
        <v>343</v>
      </c>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244" t="s">
        <v>672</v>
      </c>
      <c r="B172" s="245" t="s">
        <v>172</v>
      </c>
      <c r="C172" s="246">
        <v>0.0</v>
      </c>
      <c r="D172" s="246" t="s">
        <v>343</v>
      </c>
      <c r="E172" s="246">
        <v>0.0</v>
      </c>
      <c r="F172" s="246" t="s">
        <v>343</v>
      </c>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244" t="s">
        <v>673</v>
      </c>
      <c r="B173" s="245" t="s">
        <v>172</v>
      </c>
      <c r="C173" s="246">
        <v>0.0</v>
      </c>
      <c r="D173" s="246" t="s">
        <v>343</v>
      </c>
      <c r="E173" s="246">
        <v>0.0</v>
      </c>
      <c r="F173" s="246">
        <v>0.0</v>
      </c>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244" t="s">
        <v>674</v>
      </c>
      <c r="B174" s="245" t="s">
        <v>172</v>
      </c>
      <c r="C174" s="246">
        <v>0.0</v>
      </c>
      <c r="D174" s="246" t="s">
        <v>345</v>
      </c>
      <c r="E174" s="246" t="s">
        <v>343</v>
      </c>
      <c r="F174" s="246" t="s">
        <v>343</v>
      </c>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244" t="s">
        <v>675</v>
      </c>
      <c r="B175" s="245" t="s">
        <v>173</v>
      </c>
      <c r="C175" s="246">
        <v>0.0</v>
      </c>
      <c r="D175" s="246">
        <v>0.0</v>
      </c>
      <c r="E175" s="246" t="s">
        <v>343</v>
      </c>
      <c r="F175" s="246" t="s">
        <v>343</v>
      </c>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244" t="s">
        <v>676</v>
      </c>
      <c r="B176" s="245" t="s">
        <v>173</v>
      </c>
      <c r="C176" s="246">
        <v>0.0</v>
      </c>
      <c r="D176" s="246" t="s">
        <v>343</v>
      </c>
      <c r="E176" s="246">
        <v>0.0</v>
      </c>
      <c r="F176" s="246">
        <v>0.0</v>
      </c>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244" t="s">
        <v>677</v>
      </c>
      <c r="B177" s="245" t="s">
        <v>173</v>
      </c>
      <c r="C177" s="246">
        <v>0.0</v>
      </c>
      <c r="D177" s="246" t="s">
        <v>343</v>
      </c>
      <c r="E177" s="246">
        <v>0.0</v>
      </c>
      <c r="F177" s="246">
        <v>0.0</v>
      </c>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244" t="s">
        <v>678</v>
      </c>
      <c r="B178" s="245" t="s">
        <v>174</v>
      </c>
      <c r="C178" s="246" t="s">
        <v>343</v>
      </c>
      <c r="D178" s="246" t="s">
        <v>347</v>
      </c>
      <c r="E178" s="246">
        <v>0.0</v>
      </c>
      <c r="F178" s="246">
        <v>0.0</v>
      </c>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244" t="s">
        <v>679</v>
      </c>
      <c r="B179" s="245" t="s">
        <v>175</v>
      </c>
      <c r="C179" s="246" t="s">
        <v>343</v>
      </c>
      <c r="D179" s="246" t="s">
        <v>343</v>
      </c>
      <c r="E179" s="246">
        <v>0.0</v>
      </c>
      <c r="F179" s="246">
        <v>0.0</v>
      </c>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244" t="s">
        <v>680</v>
      </c>
      <c r="B180" s="245" t="s">
        <v>175</v>
      </c>
      <c r="C180" s="246">
        <v>0.0</v>
      </c>
      <c r="D180" s="246" t="s">
        <v>343</v>
      </c>
      <c r="E180" s="246">
        <v>0.0</v>
      </c>
      <c r="F180" s="246" t="s">
        <v>343</v>
      </c>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244" t="s">
        <v>681</v>
      </c>
      <c r="B181" s="245" t="s">
        <v>176</v>
      </c>
      <c r="C181" s="246">
        <v>0.0</v>
      </c>
      <c r="D181" s="246">
        <v>0.0</v>
      </c>
      <c r="E181" s="246">
        <v>0.0</v>
      </c>
      <c r="F181" s="246" t="s">
        <v>343</v>
      </c>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244" t="s">
        <v>682</v>
      </c>
      <c r="B182" s="245" t="s">
        <v>176</v>
      </c>
      <c r="C182" s="246" t="s">
        <v>343</v>
      </c>
      <c r="D182" s="246" t="s">
        <v>347</v>
      </c>
      <c r="E182" s="246">
        <v>0.0</v>
      </c>
      <c r="F182" s="246" t="s">
        <v>343</v>
      </c>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244" t="s">
        <v>683</v>
      </c>
      <c r="B183" s="245" t="s">
        <v>176</v>
      </c>
      <c r="C183" s="246">
        <v>0.0</v>
      </c>
      <c r="D183" s="246" t="s">
        <v>343</v>
      </c>
      <c r="E183" s="246">
        <v>0.0</v>
      </c>
      <c r="F183" s="246" t="s">
        <v>343</v>
      </c>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244" t="s">
        <v>684</v>
      </c>
      <c r="B184" s="245" t="s">
        <v>176</v>
      </c>
      <c r="C184" s="246" t="s">
        <v>343</v>
      </c>
      <c r="D184" s="246" t="s">
        <v>343</v>
      </c>
      <c r="E184" s="246">
        <v>0.0</v>
      </c>
      <c r="F184" s="246" t="s">
        <v>343</v>
      </c>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244" t="s">
        <v>685</v>
      </c>
      <c r="B185" s="245" t="s">
        <v>176</v>
      </c>
      <c r="C185" s="246" t="s">
        <v>347</v>
      </c>
      <c r="D185" s="246" t="s">
        <v>379</v>
      </c>
      <c r="E185" s="246" t="s">
        <v>343</v>
      </c>
      <c r="F185" s="246" t="s">
        <v>343</v>
      </c>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244" t="s">
        <v>686</v>
      </c>
      <c r="B186" s="245" t="s">
        <v>176</v>
      </c>
      <c r="C186" s="246">
        <v>0.0</v>
      </c>
      <c r="D186" s="246" t="s">
        <v>343</v>
      </c>
      <c r="E186" s="246">
        <v>0.0</v>
      </c>
      <c r="F186" s="246">
        <v>0.0</v>
      </c>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244" t="s">
        <v>687</v>
      </c>
      <c r="B187" s="245" t="s">
        <v>176</v>
      </c>
      <c r="C187" s="246">
        <v>0.0</v>
      </c>
      <c r="D187" s="246">
        <v>0.0</v>
      </c>
      <c r="E187" s="246">
        <v>0.0</v>
      </c>
      <c r="F187" s="246" t="s">
        <v>343</v>
      </c>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244" t="s">
        <v>688</v>
      </c>
      <c r="B188" s="245" t="s">
        <v>176</v>
      </c>
      <c r="C188" s="246">
        <v>0.0</v>
      </c>
      <c r="D188" s="246" t="s">
        <v>343</v>
      </c>
      <c r="E188" s="246">
        <v>0.0</v>
      </c>
      <c r="F188" s="246">
        <v>0.0</v>
      </c>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244" t="s">
        <v>689</v>
      </c>
      <c r="B189" s="245" t="s">
        <v>177</v>
      </c>
      <c r="C189" s="246" t="s">
        <v>343</v>
      </c>
      <c r="D189" s="246" t="s">
        <v>347</v>
      </c>
      <c r="E189" s="246">
        <v>0.0</v>
      </c>
      <c r="F189" s="246" t="s">
        <v>343</v>
      </c>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244" t="s">
        <v>690</v>
      </c>
      <c r="B190" s="245" t="s">
        <v>177</v>
      </c>
      <c r="C190" s="246">
        <v>0.0</v>
      </c>
      <c r="D190" s="246" t="s">
        <v>343</v>
      </c>
      <c r="E190" s="246">
        <v>0.0</v>
      </c>
      <c r="F190" s="246">
        <v>0.0</v>
      </c>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244" t="s">
        <v>691</v>
      </c>
      <c r="B191" s="245" t="s">
        <v>177</v>
      </c>
      <c r="C191" s="246">
        <v>0.0</v>
      </c>
      <c r="D191" s="246" t="s">
        <v>343</v>
      </c>
      <c r="E191" s="246">
        <v>0.0</v>
      </c>
      <c r="F191" s="246" t="s">
        <v>343</v>
      </c>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244" t="s">
        <v>692</v>
      </c>
      <c r="B192" s="245" t="s">
        <v>177</v>
      </c>
      <c r="C192" s="246" t="s">
        <v>343</v>
      </c>
      <c r="D192" s="246" t="s">
        <v>343</v>
      </c>
      <c r="E192" s="246">
        <v>0.0</v>
      </c>
      <c r="F192" s="246" t="s">
        <v>343</v>
      </c>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244" t="s">
        <v>693</v>
      </c>
      <c r="B193" s="245" t="s">
        <v>177</v>
      </c>
      <c r="C193" s="246" t="s">
        <v>343</v>
      </c>
      <c r="D193" s="246" t="s">
        <v>343</v>
      </c>
      <c r="E193" s="246">
        <v>0.0</v>
      </c>
      <c r="F193" s="246" t="s">
        <v>343</v>
      </c>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244" t="s">
        <v>694</v>
      </c>
      <c r="B194" s="245" t="s">
        <v>177</v>
      </c>
      <c r="C194" s="246" t="s">
        <v>343</v>
      </c>
      <c r="D194" s="246" t="s">
        <v>347</v>
      </c>
      <c r="E194" s="246" t="s">
        <v>343</v>
      </c>
      <c r="F194" s="246" t="s">
        <v>343</v>
      </c>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244" t="s">
        <v>695</v>
      </c>
      <c r="B195" s="245" t="s">
        <v>177</v>
      </c>
      <c r="C195" s="246" t="s">
        <v>343</v>
      </c>
      <c r="D195" s="246" t="s">
        <v>379</v>
      </c>
      <c r="E195" s="246" t="s">
        <v>343</v>
      </c>
      <c r="F195" s="246" t="s">
        <v>343</v>
      </c>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244" t="s">
        <v>696</v>
      </c>
      <c r="B196" s="245" t="s">
        <v>177</v>
      </c>
      <c r="C196" s="246" t="s">
        <v>343</v>
      </c>
      <c r="D196" s="246" t="s">
        <v>347</v>
      </c>
      <c r="E196" s="246">
        <v>0.0</v>
      </c>
      <c r="F196" s="246" t="s">
        <v>343</v>
      </c>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244" t="s">
        <v>697</v>
      </c>
      <c r="B197" s="245" t="s">
        <v>178</v>
      </c>
      <c r="C197" s="246">
        <v>0.0</v>
      </c>
      <c r="D197" s="246" t="s">
        <v>343</v>
      </c>
      <c r="E197" s="246" t="s">
        <v>343</v>
      </c>
      <c r="F197" s="246" t="s">
        <v>347</v>
      </c>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244" t="s">
        <v>698</v>
      </c>
      <c r="B198" s="245" t="s">
        <v>178</v>
      </c>
      <c r="C198" s="246">
        <v>0.0</v>
      </c>
      <c r="D198" s="246" t="s">
        <v>343</v>
      </c>
      <c r="E198" s="246" t="s">
        <v>343</v>
      </c>
      <c r="F198" s="246" t="s">
        <v>343</v>
      </c>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244" t="s">
        <v>699</v>
      </c>
      <c r="B199" s="245" t="s">
        <v>178</v>
      </c>
      <c r="C199" s="246">
        <v>0.0</v>
      </c>
      <c r="D199" s="246">
        <v>0.0</v>
      </c>
      <c r="E199" s="246">
        <v>0.0</v>
      </c>
      <c r="F199" s="246" t="s">
        <v>343</v>
      </c>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244" t="s">
        <v>700</v>
      </c>
      <c r="B200" s="245" t="s">
        <v>700</v>
      </c>
      <c r="C200" s="246" t="s">
        <v>343</v>
      </c>
      <c r="D200" s="246" t="s">
        <v>343</v>
      </c>
      <c r="E200" s="246">
        <v>0.0</v>
      </c>
      <c r="F200" s="246">
        <v>0.0</v>
      </c>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244" t="s">
        <v>701</v>
      </c>
      <c r="B201" s="245" t="s">
        <v>702</v>
      </c>
      <c r="C201" s="246">
        <v>0.0</v>
      </c>
      <c r="D201" s="246" t="s">
        <v>343</v>
      </c>
      <c r="E201" s="246">
        <v>0.0</v>
      </c>
      <c r="F201" s="246">
        <v>0.0</v>
      </c>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244" t="s">
        <v>703</v>
      </c>
      <c r="B202" s="245" t="s">
        <v>702</v>
      </c>
      <c r="C202" s="246">
        <v>0.0</v>
      </c>
      <c r="D202" s="246" t="s">
        <v>347</v>
      </c>
      <c r="E202" s="246">
        <v>0.0</v>
      </c>
      <c r="F202" s="246">
        <v>0.0</v>
      </c>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244" t="s">
        <v>704</v>
      </c>
      <c r="B203" s="245" t="s">
        <v>702</v>
      </c>
      <c r="C203" s="246" t="s">
        <v>343</v>
      </c>
      <c r="D203" s="246" t="s">
        <v>347</v>
      </c>
      <c r="E203" s="246">
        <v>0.0</v>
      </c>
      <c r="F203" s="246" t="s">
        <v>343</v>
      </c>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244" t="s">
        <v>705</v>
      </c>
      <c r="B204" s="245" t="s">
        <v>179</v>
      </c>
      <c r="C204" s="246" t="s">
        <v>343</v>
      </c>
      <c r="D204" s="246" t="s">
        <v>343</v>
      </c>
      <c r="E204" s="246">
        <v>0.0</v>
      </c>
      <c r="F204" s="246">
        <v>0.0</v>
      </c>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244" t="s">
        <v>706</v>
      </c>
      <c r="B205" s="245" t="s">
        <v>179</v>
      </c>
      <c r="C205" s="246">
        <v>0.0</v>
      </c>
      <c r="D205" s="246">
        <v>0.0</v>
      </c>
      <c r="E205" s="246">
        <v>0.0</v>
      </c>
      <c r="F205" s="246" t="s">
        <v>343</v>
      </c>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244" t="s">
        <v>707</v>
      </c>
      <c r="B206" s="245" t="s">
        <v>179</v>
      </c>
      <c r="C206" s="246">
        <v>0.0</v>
      </c>
      <c r="D206" s="246">
        <v>0.0</v>
      </c>
      <c r="E206" s="246" t="s">
        <v>343</v>
      </c>
      <c r="F206" s="246" t="s">
        <v>343</v>
      </c>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244" t="s">
        <v>708</v>
      </c>
      <c r="B207" s="245" t="s">
        <v>179</v>
      </c>
      <c r="C207" s="246">
        <v>0.0</v>
      </c>
      <c r="D207" s="246">
        <v>0.0</v>
      </c>
      <c r="E207" s="246">
        <v>0.0</v>
      </c>
      <c r="F207" s="246" t="s">
        <v>343</v>
      </c>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244" t="s">
        <v>709</v>
      </c>
      <c r="B208" s="245" t="s">
        <v>179</v>
      </c>
      <c r="C208" s="246">
        <v>0.0</v>
      </c>
      <c r="D208" s="246" t="s">
        <v>343</v>
      </c>
      <c r="E208" s="246">
        <v>0.0</v>
      </c>
      <c r="F208" s="246">
        <v>0.0</v>
      </c>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244" t="s">
        <v>710</v>
      </c>
      <c r="B209" s="245" t="s">
        <v>179</v>
      </c>
      <c r="C209" s="246">
        <v>0.0</v>
      </c>
      <c r="D209" s="246" t="s">
        <v>343</v>
      </c>
      <c r="E209" s="246">
        <v>0.0</v>
      </c>
      <c r="F209" s="246" t="s">
        <v>347</v>
      </c>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244" t="s">
        <v>711</v>
      </c>
      <c r="B210" s="245" t="s">
        <v>179</v>
      </c>
      <c r="C210" s="246">
        <v>0.0</v>
      </c>
      <c r="D210" s="246" t="s">
        <v>343</v>
      </c>
      <c r="E210" s="246">
        <v>0.0</v>
      </c>
      <c r="F210" s="246" t="s">
        <v>343</v>
      </c>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244" t="s">
        <v>712</v>
      </c>
      <c r="B211" s="245" t="s">
        <v>179</v>
      </c>
      <c r="C211" s="246">
        <v>0.0</v>
      </c>
      <c r="D211" s="246" t="s">
        <v>343</v>
      </c>
      <c r="E211" s="246">
        <v>0.0</v>
      </c>
      <c r="F211" s="246" t="s">
        <v>347</v>
      </c>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244" t="s">
        <v>713</v>
      </c>
      <c r="B212" s="245" t="s">
        <v>179</v>
      </c>
      <c r="C212" s="246">
        <v>0.0</v>
      </c>
      <c r="D212" s="246">
        <v>0.0</v>
      </c>
      <c r="E212" s="246">
        <v>0.0</v>
      </c>
      <c r="F212" s="246" t="s">
        <v>343</v>
      </c>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244" t="s">
        <v>714</v>
      </c>
      <c r="B213" s="245" t="s">
        <v>179</v>
      </c>
      <c r="C213" s="246">
        <v>0.0</v>
      </c>
      <c r="D213" s="246" t="s">
        <v>347</v>
      </c>
      <c r="E213" s="246">
        <v>0.0</v>
      </c>
      <c r="F213" s="246" t="s">
        <v>343</v>
      </c>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244" t="s">
        <v>715</v>
      </c>
      <c r="B214" s="245" t="s">
        <v>179</v>
      </c>
      <c r="C214" s="246" t="s">
        <v>343</v>
      </c>
      <c r="D214" s="246" t="s">
        <v>343</v>
      </c>
      <c r="E214" s="246">
        <v>0.0</v>
      </c>
      <c r="F214" s="246" t="s">
        <v>347</v>
      </c>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244" t="s">
        <v>716</v>
      </c>
      <c r="B215" s="245" t="s">
        <v>179</v>
      </c>
      <c r="C215" s="246" t="s">
        <v>343</v>
      </c>
      <c r="D215" s="246" t="s">
        <v>343</v>
      </c>
      <c r="E215" s="246" t="s">
        <v>343</v>
      </c>
      <c r="F215" s="246" t="s">
        <v>343</v>
      </c>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244" t="s">
        <v>717</v>
      </c>
      <c r="B216" s="245" t="s">
        <v>179</v>
      </c>
      <c r="C216" s="246">
        <v>0.0</v>
      </c>
      <c r="D216" s="246" t="s">
        <v>343</v>
      </c>
      <c r="E216" s="246">
        <v>0.0</v>
      </c>
      <c r="F216" s="246">
        <v>0.0</v>
      </c>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244" t="s">
        <v>718</v>
      </c>
      <c r="B217" s="245" t="s">
        <v>180</v>
      </c>
      <c r="C217" s="246">
        <v>0.0</v>
      </c>
      <c r="D217" s="246">
        <v>0.0</v>
      </c>
      <c r="E217" s="246" t="s">
        <v>343</v>
      </c>
      <c r="F217" s="246" t="s">
        <v>343</v>
      </c>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244" t="s">
        <v>719</v>
      </c>
      <c r="B218" s="245" t="s">
        <v>180</v>
      </c>
      <c r="C218" s="246">
        <v>0.0</v>
      </c>
      <c r="D218" s="246" t="s">
        <v>343</v>
      </c>
      <c r="E218" s="246">
        <v>0.0</v>
      </c>
      <c r="F218" s="246" t="s">
        <v>343</v>
      </c>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244" t="s">
        <v>720</v>
      </c>
      <c r="B219" s="245" t="s">
        <v>180</v>
      </c>
      <c r="C219" s="246">
        <v>0.0</v>
      </c>
      <c r="D219" s="246" t="s">
        <v>347</v>
      </c>
      <c r="E219" s="246">
        <v>0.0</v>
      </c>
      <c r="F219" s="246" t="s">
        <v>343</v>
      </c>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244" t="s">
        <v>721</v>
      </c>
      <c r="B220" s="245" t="s">
        <v>180</v>
      </c>
      <c r="C220" s="246" t="s">
        <v>343</v>
      </c>
      <c r="D220" s="246" t="s">
        <v>343</v>
      </c>
      <c r="E220" s="246">
        <v>0.0</v>
      </c>
      <c r="F220" s="246">
        <v>0.0</v>
      </c>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244" t="s">
        <v>722</v>
      </c>
      <c r="B221" s="245" t="s">
        <v>723</v>
      </c>
      <c r="C221" s="246" t="s">
        <v>343</v>
      </c>
      <c r="D221" s="246" t="s">
        <v>343</v>
      </c>
      <c r="E221" s="246" t="s">
        <v>343</v>
      </c>
      <c r="F221" s="246" t="s">
        <v>343</v>
      </c>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244" t="s">
        <v>724</v>
      </c>
      <c r="B222" s="245" t="s">
        <v>723</v>
      </c>
      <c r="C222" s="246">
        <v>0.0</v>
      </c>
      <c r="D222" s="246" t="s">
        <v>343</v>
      </c>
      <c r="E222" s="246">
        <v>0.0</v>
      </c>
      <c r="F222" s="246" t="s">
        <v>343</v>
      </c>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244" t="s">
        <v>725</v>
      </c>
      <c r="B223" s="245" t="s">
        <v>723</v>
      </c>
      <c r="C223" s="246">
        <v>0.0</v>
      </c>
      <c r="D223" s="246" t="s">
        <v>343</v>
      </c>
      <c r="E223" s="246">
        <v>0.0</v>
      </c>
      <c r="F223" s="246" t="s">
        <v>343</v>
      </c>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244" t="s">
        <v>726</v>
      </c>
      <c r="B224" s="245" t="s">
        <v>723</v>
      </c>
      <c r="C224" s="246">
        <v>0.0</v>
      </c>
      <c r="D224" s="246" t="s">
        <v>343</v>
      </c>
      <c r="E224" s="246">
        <v>0.0</v>
      </c>
      <c r="F224" s="246">
        <v>0.0</v>
      </c>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244" t="s">
        <v>727</v>
      </c>
      <c r="B225" s="245" t="s">
        <v>723</v>
      </c>
      <c r="C225" s="246">
        <v>0.0</v>
      </c>
      <c r="D225" s="246" t="s">
        <v>343</v>
      </c>
      <c r="E225" s="246">
        <v>0.0</v>
      </c>
      <c r="F225" s="246" t="s">
        <v>343</v>
      </c>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244" t="s">
        <v>728</v>
      </c>
      <c r="B226" s="245" t="s">
        <v>723</v>
      </c>
      <c r="C226" s="246" t="s">
        <v>343</v>
      </c>
      <c r="D226" s="246" t="s">
        <v>343</v>
      </c>
      <c r="E226" s="246">
        <v>0.0</v>
      </c>
      <c r="F226" s="246">
        <v>0.0</v>
      </c>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244" t="s">
        <v>729</v>
      </c>
      <c r="B227" s="245" t="s">
        <v>723</v>
      </c>
      <c r="C227" s="246">
        <v>0.0</v>
      </c>
      <c r="D227" s="246" t="s">
        <v>343</v>
      </c>
      <c r="E227" s="246">
        <v>0.0</v>
      </c>
      <c r="F227" s="246">
        <v>0.0</v>
      </c>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244" t="s">
        <v>730</v>
      </c>
      <c r="B228" s="245" t="s">
        <v>723</v>
      </c>
      <c r="C228" s="246">
        <v>0.0</v>
      </c>
      <c r="D228" s="246">
        <v>0.0</v>
      </c>
      <c r="E228" s="246">
        <v>0.0</v>
      </c>
      <c r="F228" s="246" t="s">
        <v>343</v>
      </c>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244" t="s">
        <v>731</v>
      </c>
      <c r="B229" s="245" t="s">
        <v>723</v>
      </c>
      <c r="C229" s="246">
        <v>0.0</v>
      </c>
      <c r="D229" s="246" t="s">
        <v>347</v>
      </c>
      <c r="E229" s="246">
        <v>0.0</v>
      </c>
      <c r="F229" s="246" t="s">
        <v>343</v>
      </c>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244" t="s">
        <v>732</v>
      </c>
      <c r="B230" s="245" t="s">
        <v>723</v>
      </c>
      <c r="C230" s="246">
        <v>0.0</v>
      </c>
      <c r="D230" s="246" t="s">
        <v>343</v>
      </c>
      <c r="E230" s="246">
        <v>0.0</v>
      </c>
      <c r="F230" s="246">
        <v>0.0</v>
      </c>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244" t="s">
        <v>733</v>
      </c>
      <c r="B231" s="245" t="s">
        <v>723</v>
      </c>
      <c r="C231" s="246" t="s">
        <v>343</v>
      </c>
      <c r="D231" s="246" t="s">
        <v>347</v>
      </c>
      <c r="E231" s="246" t="s">
        <v>343</v>
      </c>
      <c r="F231" s="246" t="s">
        <v>343</v>
      </c>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244" t="s">
        <v>734</v>
      </c>
      <c r="B232" s="245" t="s">
        <v>723</v>
      </c>
      <c r="C232" s="246">
        <v>0.0</v>
      </c>
      <c r="D232" s="246">
        <v>0.0</v>
      </c>
      <c r="E232" s="246">
        <v>0.0</v>
      </c>
      <c r="F232" s="246" t="s">
        <v>343</v>
      </c>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244" t="s">
        <v>735</v>
      </c>
      <c r="B233" s="245" t="s">
        <v>723</v>
      </c>
      <c r="C233" s="246">
        <v>0.0</v>
      </c>
      <c r="D233" s="246">
        <v>0.0</v>
      </c>
      <c r="E233" s="246">
        <v>0.0</v>
      </c>
      <c r="F233" s="246" t="s">
        <v>343</v>
      </c>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244" t="s">
        <v>736</v>
      </c>
      <c r="B234" s="245" t="s">
        <v>723</v>
      </c>
      <c r="C234" s="246" t="s">
        <v>343</v>
      </c>
      <c r="D234" s="246" t="s">
        <v>347</v>
      </c>
      <c r="E234" s="246" t="s">
        <v>343</v>
      </c>
      <c r="F234" s="246" t="s">
        <v>343</v>
      </c>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244" t="s">
        <v>737</v>
      </c>
      <c r="B235" s="245" t="s">
        <v>723</v>
      </c>
      <c r="C235" s="246">
        <v>0.0</v>
      </c>
      <c r="D235" s="246">
        <v>0.0</v>
      </c>
      <c r="E235" s="246">
        <v>0.0</v>
      </c>
      <c r="F235" s="246" t="s">
        <v>343</v>
      </c>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244" t="s">
        <v>738</v>
      </c>
      <c r="B236" s="245" t="s">
        <v>723</v>
      </c>
      <c r="C236" s="246">
        <v>0.0</v>
      </c>
      <c r="D236" s="246">
        <v>0.0</v>
      </c>
      <c r="E236" s="246">
        <v>0.0</v>
      </c>
      <c r="F236" s="246" t="s">
        <v>343</v>
      </c>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244" t="s">
        <v>739</v>
      </c>
      <c r="B237" s="245" t="s">
        <v>723</v>
      </c>
      <c r="C237" s="246">
        <v>0.0</v>
      </c>
      <c r="D237" s="246" t="s">
        <v>343</v>
      </c>
      <c r="E237" s="246" t="s">
        <v>343</v>
      </c>
      <c r="F237" s="246" t="s">
        <v>343</v>
      </c>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244" t="s">
        <v>740</v>
      </c>
      <c r="B238" s="245" t="s">
        <v>723</v>
      </c>
      <c r="C238" s="246" t="s">
        <v>343</v>
      </c>
      <c r="D238" s="246" t="s">
        <v>343</v>
      </c>
      <c r="E238" s="246">
        <v>0.0</v>
      </c>
      <c r="F238" s="246">
        <v>0.0</v>
      </c>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244" t="s">
        <v>741</v>
      </c>
      <c r="B239" s="245" t="s">
        <v>723</v>
      </c>
      <c r="C239" s="246" t="s">
        <v>343</v>
      </c>
      <c r="D239" s="246" t="s">
        <v>343</v>
      </c>
      <c r="E239" s="246">
        <v>0.0</v>
      </c>
      <c r="F239" s="246" t="s">
        <v>343</v>
      </c>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244" t="s">
        <v>742</v>
      </c>
      <c r="B240" s="245" t="s">
        <v>723</v>
      </c>
      <c r="C240" s="246">
        <v>0.0</v>
      </c>
      <c r="D240" s="246" t="s">
        <v>343</v>
      </c>
      <c r="E240" s="246">
        <v>0.0</v>
      </c>
      <c r="F240" s="246" t="s">
        <v>343</v>
      </c>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244" t="s">
        <v>743</v>
      </c>
      <c r="B241" s="245" t="s">
        <v>723</v>
      </c>
      <c r="C241" s="246" t="s">
        <v>343</v>
      </c>
      <c r="D241" s="246" t="s">
        <v>343</v>
      </c>
      <c r="E241" s="246">
        <v>0.0</v>
      </c>
      <c r="F241" s="246" t="s">
        <v>343</v>
      </c>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244" t="s">
        <v>744</v>
      </c>
      <c r="B242" s="245" t="s">
        <v>723</v>
      </c>
      <c r="C242" s="246">
        <v>0.0</v>
      </c>
      <c r="D242" s="246" t="s">
        <v>343</v>
      </c>
      <c r="E242" s="246">
        <v>0.0</v>
      </c>
      <c r="F242" s="246" t="s">
        <v>343</v>
      </c>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244" t="s">
        <v>745</v>
      </c>
      <c r="B243" s="245" t="s">
        <v>723</v>
      </c>
      <c r="C243" s="246">
        <v>0.0</v>
      </c>
      <c r="D243" s="246" t="s">
        <v>343</v>
      </c>
      <c r="E243" s="246">
        <v>0.0</v>
      </c>
      <c r="F243" s="246">
        <v>0.0</v>
      </c>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244" t="s">
        <v>746</v>
      </c>
      <c r="B244" s="245" t="s">
        <v>723</v>
      </c>
      <c r="C244" s="246">
        <v>0.0</v>
      </c>
      <c r="D244" s="246" t="s">
        <v>343</v>
      </c>
      <c r="E244" s="246">
        <v>0.0</v>
      </c>
      <c r="F244" s="246" t="s">
        <v>343</v>
      </c>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244" t="s">
        <v>747</v>
      </c>
      <c r="B245" s="245" t="s">
        <v>723</v>
      </c>
      <c r="C245" s="246">
        <v>0.0</v>
      </c>
      <c r="D245" s="246" t="s">
        <v>343</v>
      </c>
      <c r="E245" s="246">
        <v>0.0</v>
      </c>
      <c r="F245" s="246" t="s">
        <v>343</v>
      </c>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244" t="s">
        <v>748</v>
      </c>
      <c r="B246" s="245" t="s">
        <v>723</v>
      </c>
      <c r="C246" s="246" t="s">
        <v>343</v>
      </c>
      <c r="D246" s="246" t="s">
        <v>343</v>
      </c>
      <c r="E246" s="246">
        <v>0.0</v>
      </c>
      <c r="F246" s="246" t="s">
        <v>343</v>
      </c>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244" t="s">
        <v>749</v>
      </c>
      <c r="B247" s="245" t="s">
        <v>723</v>
      </c>
      <c r="C247" s="246">
        <v>0.0</v>
      </c>
      <c r="D247" s="246" t="s">
        <v>343</v>
      </c>
      <c r="E247" s="246">
        <v>0.0</v>
      </c>
      <c r="F247" s="246" t="s">
        <v>343</v>
      </c>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244" t="s">
        <v>750</v>
      </c>
      <c r="B248" s="245" t="s">
        <v>723</v>
      </c>
      <c r="C248" s="246">
        <v>0.0</v>
      </c>
      <c r="D248" s="246" t="s">
        <v>343</v>
      </c>
      <c r="E248" s="246">
        <v>0.0</v>
      </c>
      <c r="F248" s="246">
        <v>0.0</v>
      </c>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244" t="s">
        <v>751</v>
      </c>
      <c r="B249" s="245" t="s">
        <v>723</v>
      </c>
      <c r="C249" s="246">
        <v>0.0</v>
      </c>
      <c r="D249" s="246" t="s">
        <v>343</v>
      </c>
      <c r="E249" s="246">
        <v>0.0</v>
      </c>
      <c r="F249" s="246">
        <v>0.0</v>
      </c>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244" t="s">
        <v>752</v>
      </c>
      <c r="B250" s="245" t="s">
        <v>723</v>
      </c>
      <c r="C250" s="246">
        <v>0.0</v>
      </c>
      <c r="D250" s="246" t="s">
        <v>343</v>
      </c>
      <c r="E250" s="246">
        <v>0.0</v>
      </c>
      <c r="F250" s="246" t="s">
        <v>343</v>
      </c>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244" t="s">
        <v>753</v>
      </c>
      <c r="B251" s="245" t="s">
        <v>723</v>
      </c>
      <c r="C251" s="246">
        <v>0.0</v>
      </c>
      <c r="D251" s="246" t="s">
        <v>343</v>
      </c>
      <c r="E251" s="246">
        <v>0.0</v>
      </c>
      <c r="F251" s="246" t="s">
        <v>343</v>
      </c>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244" t="s">
        <v>754</v>
      </c>
      <c r="B252" s="245" t="s">
        <v>723</v>
      </c>
      <c r="C252" s="246">
        <v>0.0</v>
      </c>
      <c r="D252" s="246">
        <v>0.0</v>
      </c>
      <c r="E252" s="246" t="s">
        <v>343</v>
      </c>
      <c r="F252" s="246" t="s">
        <v>343</v>
      </c>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244" t="s">
        <v>755</v>
      </c>
      <c r="B253" s="245" t="s">
        <v>723</v>
      </c>
      <c r="C253" s="246">
        <v>0.0</v>
      </c>
      <c r="D253" s="246" t="s">
        <v>343</v>
      </c>
      <c r="E253" s="246">
        <v>0.0</v>
      </c>
      <c r="F253" s="246">
        <v>0.0</v>
      </c>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244" t="s">
        <v>756</v>
      </c>
      <c r="B254" s="245" t="s">
        <v>723</v>
      </c>
      <c r="C254" s="246">
        <v>0.0</v>
      </c>
      <c r="D254" s="246">
        <v>0.0</v>
      </c>
      <c r="E254" s="246">
        <v>0.0</v>
      </c>
      <c r="F254" s="246" t="s">
        <v>343</v>
      </c>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244" t="s">
        <v>757</v>
      </c>
      <c r="B255" s="245" t="s">
        <v>723</v>
      </c>
      <c r="C255" s="246" t="s">
        <v>343</v>
      </c>
      <c r="D255" s="246" t="s">
        <v>347</v>
      </c>
      <c r="E255" s="246">
        <v>0.0</v>
      </c>
      <c r="F255" s="246" t="s">
        <v>343</v>
      </c>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244" t="s">
        <v>758</v>
      </c>
      <c r="B256" s="245" t="s">
        <v>723</v>
      </c>
      <c r="C256" s="246" t="s">
        <v>343</v>
      </c>
      <c r="D256" s="246" t="s">
        <v>347</v>
      </c>
      <c r="E256" s="246">
        <v>0.0</v>
      </c>
      <c r="F256" s="246" t="s">
        <v>343</v>
      </c>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244" t="s">
        <v>759</v>
      </c>
      <c r="B257" s="245" t="s">
        <v>723</v>
      </c>
      <c r="C257" s="246">
        <v>0.0</v>
      </c>
      <c r="D257" s="246" t="s">
        <v>347</v>
      </c>
      <c r="E257" s="246">
        <v>0.0</v>
      </c>
      <c r="F257" s="246" t="s">
        <v>343</v>
      </c>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244" t="s">
        <v>760</v>
      </c>
      <c r="B258" s="245" t="s">
        <v>723</v>
      </c>
      <c r="C258" s="246">
        <v>0.0</v>
      </c>
      <c r="D258" s="246" t="s">
        <v>343</v>
      </c>
      <c r="E258" s="246">
        <v>0.0</v>
      </c>
      <c r="F258" s="246" t="s">
        <v>343</v>
      </c>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244" t="s">
        <v>761</v>
      </c>
      <c r="B259" s="245" t="s">
        <v>723</v>
      </c>
      <c r="C259" s="246" t="s">
        <v>343</v>
      </c>
      <c r="D259" s="246" t="s">
        <v>343</v>
      </c>
      <c r="E259" s="246" t="s">
        <v>343</v>
      </c>
      <c r="F259" s="246" t="s">
        <v>347</v>
      </c>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244" t="s">
        <v>762</v>
      </c>
      <c r="B260" s="245" t="s">
        <v>723</v>
      </c>
      <c r="C260" s="246" t="s">
        <v>343</v>
      </c>
      <c r="D260" s="246" t="s">
        <v>343</v>
      </c>
      <c r="E260" s="246">
        <v>0.0</v>
      </c>
      <c r="F260" s="246">
        <v>0.0</v>
      </c>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244" t="s">
        <v>763</v>
      </c>
      <c r="B261" s="245" t="s">
        <v>723</v>
      </c>
      <c r="C261" s="246">
        <v>0.0</v>
      </c>
      <c r="D261" s="246" t="s">
        <v>347</v>
      </c>
      <c r="E261" s="246">
        <v>0.0</v>
      </c>
      <c r="F261" s="246">
        <v>0.0</v>
      </c>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244" t="s">
        <v>764</v>
      </c>
      <c r="B262" s="245" t="s">
        <v>723</v>
      </c>
      <c r="C262" s="246" t="s">
        <v>343</v>
      </c>
      <c r="D262" s="246" t="s">
        <v>343</v>
      </c>
      <c r="E262" s="246">
        <v>0.0</v>
      </c>
      <c r="F262" s="246">
        <v>0.0</v>
      </c>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244" t="s">
        <v>765</v>
      </c>
      <c r="B263" s="245" t="s">
        <v>723</v>
      </c>
      <c r="C263" s="246">
        <v>0.0</v>
      </c>
      <c r="D263" s="246">
        <v>0.0</v>
      </c>
      <c r="E263" s="246">
        <v>0.0</v>
      </c>
      <c r="F263" s="246" t="s">
        <v>343</v>
      </c>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244" t="s">
        <v>766</v>
      </c>
      <c r="B264" s="245" t="s">
        <v>723</v>
      </c>
      <c r="C264" s="246">
        <v>0.0</v>
      </c>
      <c r="D264" s="246">
        <v>0.0</v>
      </c>
      <c r="E264" s="246">
        <v>0.0</v>
      </c>
      <c r="F264" s="246" t="s">
        <v>343</v>
      </c>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244" t="s">
        <v>767</v>
      </c>
      <c r="B265" s="245" t="s">
        <v>723</v>
      </c>
      <c r="C265" s="246" t="s">
        <v>343</v>
      </c>
      <c r="D265" s="246" t="s">
        <v>347</v>
      </c>
      <c r="E265" s="246" t="s">
        <v>343</v>
      </c>
      <c r="F265" s="246" t="s">
        <v>347</v>
      </c>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244" t="s">
        <v>768</v>
      </c>
      <c r="B266" s="245" t="s">
        <v>723</v>
      </c>
      <c r="C266" s="246">
        <v>0.0</v>
      </c>
      <c r="D266" s="246" t="s">
        <v>343</v>
      </c>
      <c r="E266" s="246">
        <v>0.0</v>
      </c>
      <c r="F266" s="246" t="s">
        <v>343</v>
      </c>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244" t="s">
        <v>769</v>
      </c>
      <c r="B267" s="245" t="s">
        <v>723</v>
      </c>
      <c r="C267" s="246" t="s">
        <v>343</v>
      </c>
      <c r="D267" s="246" t="s">
        <v>343</v>
      </c>
      <c r="E267" s="246">
        <v>0.0</v>
      </c>
      <c r="F267" s="246">
        <v>0.0</v>
      </c>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244" t="s">
        <v>770</v>
      </c>
      <c r="B268" s="245" t="s">
        <v>723</v>
      </c>
      <c r="C268" s="246">
        <v>0.0</v>
      </c>
      <c r="D268" s="246" t="s">
        <v>347</v>
      </c>
      <c r="E268" s="246">
        <v>0.0</v>
      </c>
      <c r="F268" s="246" t="s">
        <v>343</v>
      </c>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244" t="s">
        <v>771</v>
      </c>
      <c r="B269" s="245" t="s">
        <v>181</v>
      </c>
      <c r="C269" s="246">
        <v>0.0</v>
      </c>
      <c r="D269" s="246">
        <v>0.0</v>
      </c>
      <c r="E269" s="246">
        <v>0.0</v>
      </c>
      <c r="F269" s="246" t="s">
        <v>343</v>
      </c>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244" t="s">
        <v>772</v>
      </c>
      <c r="B270" s="245" t="s">
        <v>181</v>
      </c>
      <c r="C270" s="246" t="s">
        <v>343</v>
      </c>
      <c r="D270" s="246" t="s">
        <v>347</v>
      </c>
      <c r="E270" s="246" t="s">
        <v>343</v>
      </c>
      <c r="F270" s="246" t="s">
        <v>343</v>
      </c>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244" t="s">
        <v>773</v>
      </c>
      <c r="B271" s="245" t="s">
        <v>181</v>
      </c>
      <c r="C271" s="246" t="s">
        <v>343</v>
      </c>
      <c r="D271" s="246" t="s">
        <v>347</v>
      </c>
      <c r="E271" s="246">
        <v>0.0</v>
      </c>
      <c r="F271" s="246" t="s">
        <v>343</v>
      </c>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244" t="s">
        <v>774</v>
      </c>
      <c r="B272" s="245" t="s">
        <v>181</v>
      </c>
      <c r="C272" s="246" t="s">
        <v>343</v>
      </c>
      <c r="D272" s="246" t="s">
        <v>347</v>
      </c>
      <c r="E272" s="246" t="s">
        <v>343</v>
      </c>
      <c r="F272" s="246" t="s">
        <v>347</v>
      </c>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244" t="s">
        <v>775</v>
      </c>
      <c r="B273" s="245" t="s">
        <v>181</v>
      </c>
      <c r="C273" s="246">
        <v>0.0</v>
      </c>
      <c r="D273" s="246" t="s">
        <v>343</v>
      </c>
      <c r="E273" s="246" t="s">
        <v>343</v>
      </c>
      <c r="F273" s="246" t="s">
        <v>343</v>
      </c>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244" t="s">
        <v>776</v>
      </c>
      <c r="B274" s="245" t="s">
        <v>181</v>
      </c>
      <c r="C274" s="246">
        <v>0.0</v>
      </c>
      <c r="D274" s="246" t="s">
        <v>343</v>
      </c>
      <c r="E274" s="246" t="s">
        <v>343</v>
      </c>
      <c r="F274" s="246" t="s">
        <v>343</v>
      </c>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244" t="s">
        <v>777</v>
      </c>
      <c r="B275" s="245" t="s">
        <v>181</v>
      </c>
      <c r="C275" s="246" t="s">
        <v>343</v>
      </c>
      <c r="D275" s="246" t="s">
        <v>345</v>
      </c>
      <c r="E275" s="246">
        <v>0.0</v>
      </c>
      <c r="F275" s="246" t="s">
        <v>343</v>
      </c>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244" t="s">
        <v>778</v>
      </c>
      <c r="B276" s="245" t="s">
        <v>181</v>
      </c>
      <c r="C276" s="246" t="s">
        <v>343</v>
      </c>
      <c r="D276" s="246" t="s">
        <v>347</v>
      </c>
      <c r="E276" s="246" t="s">
        <v>343</v>
      </c>
      <c r="F276" s="246" t="s">
        <v>343</v>
      </c>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244" t="s">
        <v>779</v>
      </c>
      <c r="B277" s="245" t="s">
        <v>181</v>
      </c>
      <c r="C277" s="246" t="s">
        <v>343</v>
      </c>
      <c r="D277" s="246" t="s">
        <v>361</v>
      </c>
      <c r="E277" s="246" t="s">
        <v>343</v>
      </c>
      <c r="F277" s="246" t="s">
        <v>343</v>
      </c>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244" t="s">
        <v>780</v>
      </c>
      <c r="B278" s="245" t="s">
        <v>181</v>
      </c>
      <c r="C278" s="246" t="s">
        <v>343</v>
      </c>
      <c r="D278" s="246" t="s">
        <v>347</v>
      </c>
      <c r="E278" s="246" t="s">
        <v>343</v>
      </c>
      <c r="F278" s="246" t="s">
        <v>343</v>
      </c>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244" t="s">
        <v>781</v>
      </c>
      <c r="B279" s="245" t="s">
        <v>181</v>
      </c>
      <c r="C279" s="246" t="s">
        <v>343</v>
      </c>
      <c r="D279" s="246" t="s">
        <v>347</v>
      </c>
      <c r="E279" s="246">
        <v>0.0</v>
      </c>
      <c r="F279" s="246" t="s">
        <v>343</v>
      </c>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244" t="s">
        <v>782</v>
      </c>
      <c r="B280" s="245" t="s">
        <v>181</v>
      </c>
      <c r="C280" s="246" t="s">
        <v>343</v>
      </c>
      <c r="D280" s="246" t="s">
        <v>347</v>
      </c>
      <c r="E280" s="246">
        <v>0.0</v>
      </c>
      <c r="F280" s="246" t="s">
        <v>343</v>
      </c>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244" t="s">
        <v>783</v>
      </c>
      <c r="B281" s="245" t="s">
        <v>181</v>
      </c>
      <c r="C281" s="246" t="s">
        <v>343</v>
      </c>
      <c r="D281" s="246" t="s">
        <v>345</v>
      </c>
      <c r="E281" s="246">
        <v>0.0</v>
      </c>
      <c r="F281" s="246">
        <v>0.0</v>
      </c>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244" t="s">
        <v>784</v>
      </c>
      <c r="B282" s="245" t="s">
        <v>181</v>
      </c>
      <c r="C282" s="246" t="s">
        <v>343</v>
      </c>
      <c r="D282" s="246" t="s">
        <v>345</v>
      </c>
      <c r="E282" s="246">
        <v>0.0</v>
      </c>
      <c r="F282" s="246">
        <v>0.0</v>
      </c>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244" t="s">
        <v>785</v>
      </c>
      <c r="B283" s="245" t="s">
        <v>181</v>
      </c>
      <c r="C283" s="246">
        <v>0.0</v>
      </c>
      <c r="D283" s="246" t="s">
        <v>343</v>
      </c>
      <c r="E283" s="246" t="s">
        <v>343</v>
      </c>
      <c r="F283" s="246" t="s">
        <v>343</v>
      </c>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244" t="s">
        <v>786</v>
      </c>
      <c r="B284" s="245" t="s">
        <v>181</v>
      </c>
      <c r="C284" s="246" t="s">
        <v>343</v>
      </c>
      <c r="D284" s="246" t="s">
        <v>345</v>
      </c>
      <c r="E284" s="246">
        <v>0.0</v>
      </c>
      <c r="F284" s="246" t="s">
        <v>347</v>
      </c>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244" t="s">
        <v>787</v>
      </c>
      <c r="B285" s="245" t="s">
        <v>181</v>
      </c>
      <c r="C285" s="246">
        <v>0.0</v>
      </c>
      <c r="D285" s="246" t="s">
        <v>347</v>
      </c>
      <c r="E285" s="246">
        <v>0.0</v>
      </c>
      <c r="F285" s="246" t="s">
        <v>343</v>
      </c>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244" t="s">
        <v>788</v>
      </c>
      <c r="B286" s="245" t="s">
        <v>181</v>
      </c>
      <c r="C286" s="246">
        <v>0.0</v>
      </c>
      <c r="D286" s="246" t="s">
        <v>347</v>
      </c>
      <c r="E286" s="246">
        <v>0.0</v>
      </c>
      <c r="F286" s="246" t="s">
        <v>347</v>
      </c>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244" t="s">
        <v>789</v>
      </c>
      <c r="B287" s="245" t="s">
        <v>181</v>
      </c>
      <c r="C287" s="246" t="s">
        <v>343</v>
      </c>
      <c r="D287" s="246" t="s">
        <v>347</v>
      </c>
      <c r="E287" s="246" t="s">
        <v>343</v>
      </c>
      <c r="F287" s="246" t="s">
        <v>343</v>
      </c>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244" t="s">
        <v>790</v>
      </c>
      <c r="B288" s="245" t="s">
        <v>181</v>
      </c>
      <c r="C288" s="246" t="s">
        <v>343</v>
      </c>
      <c r="D288" s="246" t="s">
        <v>345</v>
      </c>
      <c r="E288" s="246" t="s">
        <v>343</v>
      </c>
      <c r="F288" s="246" t="s">
        <v>345</v>
      </c>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244" t="s">
        <v>791</v>
      </c>
      <c r="B289" s="245" t="s">
        <v>181</v>
      </c>
      <c r="C289" s="246" t="s">
        <v>343</v>
      </c>
      <c r="D289" s="246" t="s">
        <v>347</v>
      </c>
      <c r="E289" s="246">
        <v>0.0</v>
      </c>
      <c r="F289" s="246" t="s">
        <v>343</v>
      </c>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244" t="s">
        <v>792</v>
      </c>
      <c r="B290" s="245" t="s">
        <v>181</v>
      </c>
      <c r="C290" s="246" t="s">
        <v>343</v>
      </c>
      <c r="D290" s="246" t="s">
        <v>347</v>
      </c>
      <c r="E290" s="246">
        <v>0.0</v>
      </c>
      <c r="F290" s="246" t="s">
        <v>347</v>
      </c>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244" t="s">
        <v>793</v>
      </c>
      <c r="B291" s="245" t="s">
        <v>181</v>
      </c>
      <c r="C291" s="246">
        <v>0.0</v>
      </c>
      <c r="D291" s="246" t="s">
        <v>343</v>
      </c>
      <c r="E291" s="246">
        <v>0.0</v>
      </c>
      <c r="F291" s="246">
        <v>0.0</v>
      </c>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244" t="s">
        <v>794</v>
      </c>
      <c r="B292" s="245" t="s">
        <v>181</v>
      </c>
      <c r="C292" s="246" t="s">
        <v>343</v>
      </c>
      <c r="D292" s="246" t="s">
        <v>345</v>
      </c>
      <c r="E292" s="246">
        <v>0.0</v>
      </c>
      <c r="F292" s="246" t="s">
        <v>343</v>
      </c>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244" t="s">
        <v>795</v>
      </c>
      <c r="B293" s="245" t="s">
        <v>181</v>
      </c>
      <c r="C293" s="246">
        <v>0.0</v>
      </c>
      <c r="D293" s="246" t="s">
        <v>345</v>
      </c>
      <c r="E293" s="246" t="s">
        <v>343</v>
      </c>
      <c r="F293" s="246" t="s">
        <v>347</v>
      </c>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244" t="s">
        <v>796</v>
      </c>
      <c r="B294" s="245" t="s">
        <v>181</v>
      </c>
      <c r="C294" s="246" t="s">
        <v>343</v>
      </c>
      <c r="D294" s="246" t="s">
        <v>347</v>
      </c>
      <c r="E294" s="246" t="s">
        <v>343</v>
      </c>
      <c r="F294" s="246" t="s">
        <v>347</v>
      </c>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244" t="s">
        <v>797</v>
      </c>
      <c r="B295" s="245" t="s">
        <v>181</v>
      </c>
      <c r="C295" s="246" t="s">
        <v>343</v>
      </c>
      <c r="D295" s="246" t="s">
        <v>345</v>
      </c>
      <c r="E295" s="246">
        <v>0.0</v>
      </c>
      <c r="F295" s="246" t="s">
        <v>343</v>
      </c>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244" t="s">
        <v>798</v>
      </c>
      <c r="B296" s="245" t="s">
        <v>181</v>
      </c>
      <c r="C296" s="246">
        <v>0.0</v>
      </c>
      <c r="D296" s="246" t="s">
        <v>347</v>
      </c>
      <c r="E296" s="246" t="s">
        <v>343</v>
      </c>
      <c r="F296" s="246" t="s">
        <v>347</v>
      </c>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244" t="s">
        <v>799</v>
      </c>
      <c r="B297" s="245" t="s">
        <v>181</v>
      </c>
      <c r="C297" s="246" t="s">
        <v>343</v>
      </c>
      <c r="D297" s="246" t="s">
        <v>351</v>
      </c>
      <c r="E297" s="246">
        <v>0.0</v>
      </c>
      <c r="F297" s="246" t="s">
        <v>343</v>
      </c>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247" t="s">
        <v>800</v>
      </c>
      <c r="B298" s="245" t="s">
        <v>181</v>
      </c>
      <c r="C298" s="246">
        <v>0.0</v>
      </c>
      <c r="D298" s="246" t="s">
        <v>343</v>
      </c>
      <c r="E298" s="246" t="s">
        <v>343</v>
      </c>
      <c r="F298" s="246" t="s">
        <v>343</v>
      </c>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244" t="s">
        <v>801</v>
      </c>
      <c r="B299" s="245" t="s">
        <v>181</v>
      </c>
      <c r="C299" s="246" t="s">
        <v>343</v>
      </c>
      <c r="D299" s="246" t="s">
        <v>347</v>
      </c>
      <c r="E299" s="246">
        <v>0.0</v>
      </c>
      <c r="F299" s="246" t="s">
        <v>343</v>
      </c>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244" t="s">
        <v>802</v>
      </c>
      <c r="B300" s="245" t="s">
        <v>181</v>
      </c>
      <c r="C300" s="246" t="s">
        <v>343</v>
      </c>
      <c r="D300" s="246" t="s">
        <v>347</v>
      </c>
      <c r="E300" s="246">
        <v>0.0</v>
      </c>
      <c r="F300" s="246">
        <v>0.0</v>
      </c>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244" t="s">
        <v>803</v>
      </c>
      <c r="B301" s="245" t="s">
        <v>181</v>
      </c>
      <c r="C301" s="246" t="s">
        <v>343</v>
      </c>
      <c r="D301" s="246" t="s">
        <v>345</v>
      </c>
      <c r="E301" s="246" t="s">
        <v>343</v>
      </c>
      <c r="F301" s="246" t="s">
        <v>343</v>
      </c>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244" t="s">
        <v>804</v>
      </c>
      <c r="B302" s="245" t="s">
        <v>181</v>
      </c>
      <c r="C302" s="246">
        <v>0.0</v>
      </c>
      <c r="D302" s="246" t="s">
        <v>343</v>
      </c>
      <c r="E302" s="246" t="s">
        <v>343</v>
      </c>
      <c r="F302" s="246" t="s">
        <v>343</v>
      </c>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247" t="s">
        <v>805</v>
      </c>
      <c r="B303" s="245" t="s">
        <v>181</v>
      </c>
      <c r="C303" s="246">
        <v>0.0</v>
      </c>
      <c r="D303" s="246" t="s">
        <v>347</v>
      </c>
      <c r="E303" s="246" t="s">
        <v>343</v>
      </c>
      <c r="F303" s="246" t="s">
        <v>343</v>
      </c>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244" t="s">
        <v>806</v>
      </c>
      <c r="B304" s="245" t="s">
        <v>181</v>
      </c>
      <c r="C304" s="246" t="s">
        <v>343</v>
      </c>
      <c r="D304" s="246" t="s">
        <v>347</v>
      </c>
      <c r="E304" s="246" t="s">
        <v>343</v>
      </c>
      <c r="F304" s="246" t="s">
        <v>343</v>
      </c>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244" t="s">
        <v>807</v>
      </c>
      <c r="B305" s="245" t="s">
        <v>181</v>
      </c>
      <c r="C305" s="246">
        <v>0.0</v>
      </c>
      <c r="D305" s="246" t="s">
        <v>347</v>
      </c>
      <c r="E305" s="246" t="s">
        <v>343</v>
      </c>
      <c r="F305" s="246" t="s">
        <v>347</v>
      </c>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244" t="s">
        <v>808</v>
      </c>
      <c r="B306" s="245" t="s">
        <v>181</v>
      </c>
      <c r="C306" s="246">
        <v>0.0</v>
      </c>
      <c r="D306" s="246" t="s">
        <v>343</v>
      </c>
      <c r="E306" s="246">
        <v>0.0</v>
      </c>
      <c r="F306" s="246" t="s">
        <v>343</v>
      </c>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244" t="s">
        <v>809</v>
      </c>
      <c r="B307" s="245" t="s">
        <v>181</v>
      </c>
      <c r="C307" s="246">
        <v>0.0</v>
      </c>
      <c r="D307" s="246" t="s">
        <v>347</v>
      </c>
      <c r="E307" s="246" t="s">
        <v>343</v>
      </c>
      <c r="F307" s="246" t="s">
        <v>347</v>
      </c>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244" t="s">
        <v>810</v>
      </c>
      <c r="B308" s="245" t="s">
        <v>181</v>
      </c>
      <c r="C308" s="246">
        <v>0.0</v>
      </c>
      <c r="D308" s="246" t="s">
        <v>347</v>
      </c>
      <c r="E308" s="246">
        <v>0.0</v>
      </c>
      <c r="F308" s="246" t="s">
        <v>347</v>
      </c>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244" t="s">
        <v>811</v>
      </c>
      <c r="B309" s="245" t="s">
        <v>181</v>
      </c>
      <c r="C309" s="246">
        <v>0.0</v>
      </c>
      <c r="D309" s="246" t="s">
        <v>347</v>
      </c>
      <c r="E309" s="246">
        <v>0.0</v>
      </c>
      <c r="F309" s="246" t="s">
        <v>343</v>
      </c>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247" t="s">
        <v>812</v>
      </c>
      <c r="B310" s="245" t="s">
        <v>181</v>
      </c>
      <c r="C310" s="246">
        <v>0.0</v>
      </c>
      <c r="D310" s="246" t="s">
        <v>347</v>
      </c>
      <c r="E310" s="246">
        <v>0.0</v>
      </c>
      <c r="F310" s="246" t="s">
        <v>347</v>
      </c>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244" t="s">
        <v>813</v>
      </c>
      <c r="B311" s="245" t="s">
        <v>181</v>
      </c>
      <c r="C311" s="246" t="s">
        <v>343</v>
      </c>
      <c r="D311" s="246" t="s">
        <v>347</v>
      </c>
      <c r="E311" s="246">
        <v>0.0</v>
      </c>
      <c r="F311" s="246" t="s">
        <v>343</v>
      </c>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244" t="s">
        <v>814</v>
      </c>
      <c r="B312" s="245" t="s">
        <v>815</v>
      </c>
      <c r="C312" s="246" t="s">
        <v>343</v>
      </c>
      <c r="D312" s="246" t="s">
        <v>343</v>
      </c>
      <c r="E312" s="246">
        <v>0.0</v>
      </c>
      <c r="F312" s="246" t="s">
        <v>343</v>
      </c>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244" t="s">
        <v>816</v>
      </c>
      <c r="B313" s="245" t="s">
        <v>817</v>
      </c>
      <c r="C313" s="246" t="s">
        <v>343</v>
      </c>
      <c r="D313" s="246" t="s">
        <v>343</v>
      </c>
      <c r="E313" s="246">
        <v>0.0</v>
      </c>
      <c r="F313" s="246" t="s">
        <v>343</v>
      </c>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244" t="s">
        <v>818</v>
      </c>
      <c r="B314" s="245" t="s">
        <v>819</v>
      </c>
      <c r="C314" s="246">
        <v>0.0</v>
      </c>
      <c r="D314" s="246" t="s">
        <v>343</v>
      </c>
      <c r="E314" s="246">
        <v>0.0</v>
      </c>
      <c r="F314" s="246">
        <v>0.0</v>
      </c>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244" t="s">
        <v>820</v>
      </c>
      <c r="B315" s="245" t="s">
        <v>183</v>
      </c>
      <c r="C315" s="246" t="s">
        <v>343</v>
      </c>
      <c r="D315" s="246" t="s">
        <v>347</v>
      </c>
      <c r="E315" s="246">
        <v>0.0</v>
      </c>
      <c r="F315" s="246">
        <v>0.0</v>
      </c>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244" t="s">
        <v>821</v>
      </c>
      <c r="B316" s="245" t="s">
        <v>183</v>
      </c>
      <c r="C316" s="246" t="s">
        <v>343</v>
      </c>
      <c r="D316" s="246" t="s">
        <v>343</v>
      </c>
      <c r="E316" s="246">
        <v>0.0</v>
      </c>
      <c r="F316" s="246">
        <v>0.0</v>
      </c>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244" t="s">
        <v>822</v>
      </c>
      <c r="B317" s="245" t="s">
        <v>183</v>
      </c>
      <c r="C317" s="246" t="s">
        <v>343</v>
      </c>
      <c r="D317" s="246" t="s">
        <v>347</v>
      </c>
      <c r="E317" s="246">
        <v>0.0</v>
      </c>
      <c r="F317" s="246">
        <v>0.0</v>
      </c>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244" t="s">
        <v>823</v>
      </c>
      <c r="B318" s="245" t="s">
        <v>183</v>
      </c>
      <c r="C318" s="246" t="s">
        <v>343</v>
      </c>
      <c r="D318" s="246" t="s">
        <v>343</v>
      </c>
      <c r="E318" s="246">
        <v>0.0</v>
      </c>
      <c r="F318" s="246" t="s">
        <v>343</v>
      </c>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244" t="s">
        <v>824</v>
      </c>
      <c r="B319" s="245" t="s">
        <v>824</v>
      </c>
      <c r="C319" s="246" t="s">
        <v>343</v>
      </c>
      <c r="D319" s="246" t="s">
        <v>345</v>
      </c>
      <c r="E319" s="246">
        <v>0.0</v>
      </c>
      <c r="F319" s="246" t="s">
        <v>343</v>
      </c>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244" t="s">
        <v>825</v>
      </c>
      <c r="B320" s="245" t="s">
        <v>826</v>
      </c>
      <c r="C320" s="246">
        <v>0.0</v>
      </c>
      <c r="D320" s="246" t="s">
        <v>343</v>
      </c>
      <c r="E320" s="246">
        <v>0.0</v>
      </c>
      <c r="F320" s="246">
        <v>0.0</v>
      </c>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244" t="s">
        <v>827</v>
      </c>
      <c r="B321" s="245" t="s">
        <v>184</v>
      </c>
      <c r="C321" s="246">
        <v>0.0</v>
      </c>
      <c r="D321" s="246" t="s">
        <v>343</v>
      </c>
      <c r="E321" s="246">
        <v>0.0</v>
      </c>
      <c r="F321" s="246" t="s">
        <v>343</v>
      </c>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244" t="s">
        <v>828</v>
      </c>
      <c r="B322" s="245" t="s">
        <v>184</v>
      </c>
      <c r="C322" s="246">
        <v>0.0</v>
      </c>
      <c r="D322" s="246" t="s">
        <v>343</v>
      </c>
      <c r="E322" s="246">
        <v>0.0</v>
      </c>
      <c r="F322" s="246">
        <v>0.0</v>
      </c>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244" t="s">
        <v>829</v>
      </c>
      <c r="B323" s="245" t="s">
        <v>184</v>
      </c>
      <c r="C323" s="246">
        <v>0.0</v>
      </c>
      <c r="D323" s="246" t="s">
        <v>343</v>
      </c>
      <c r="E323" s="246">
        <v>0.0</v>
      </c>
      <c r="F323" s="246">
        <v>0.0</v>
      </c>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244" t="s">
        <v>830</v>
      </c>
      <c r="B324" s="245" t="s">
        <v>184</v>
      </c>
      <c r="C324" s="246">
        <v>0.0</v>
      </c>
      <c r="D324" s="246" t="s">
        <v>343</v>
      </c>
      <c r="E324" s="246">
        <v>0.0</v>
      </c>
      <c r="F324" s="246" t="s">
        <v>343</v>
      </c>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244" t="s">
        <v>831</v>
      </c>
      <c r="B325" s="245" t="s">
        <v>184</v>
      </c>
      <c r="C325" s="246" t="s">
        <v>343</v>
      </c>
      <c r="D325" s="246" t="s">
        <v>379</v>
      </c>
      <c r="E325" s="246" t="s">
        <v>343</v>
      </c>
      <c r="F325" s="246" t="s">
        <v>343</v>
      </c>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244" t="s">
        <v>832</v>
      </c>
      <c r="B326" s="245" t="s">
        <v>184</v>
      </c>
      <c r="C326" s="246" t="s">
        <v>343</v>
      </c>
      <c r="D326" s="246" t="s">
        <v>347</v>
      </c>
      <c r="E326" s="246" t="s">
        <v>343</v>
      </c>
      <c r="F326" s="246" t="s">
        <v>347</v>
      </c>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244" t="s">
        <v>833</v>
      </c>
      <c r="B327" s="245" t="s">
        <v>184</v>
      </c>
      <c r="C327" s="246">
        <v>0.0</v>
      </c>
      <c r="D327" s="246" t="s">
        <v>347</v>
      </c>
      <c r="E327" s="246">
        <v>0.0</v>
      </c>
      <c r="F327" s="246">
        <v>0.0</v>
      </c>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244" t="s">
        <v>834</v>
      </c>
      <c r="B328" s="245" t="s">
        <v>185</v>
      </c>
      <c r="C328" s="246" t="s">
        <v>343</v>
      </c>
      <c r="D328" s="246" t="s">
        <v>347</v>
      </c>
      <c r="E328" s="246">
        <v>0.0</v>
      </c>
      <c r="F328" s="246" t="s">
        <v>343</v>
      </c>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244" t="s">
        <v>835</v>
      </c>
      <c r="B329" s="245" t="s">
        <v>185</v>
      </c>
      <c r="C329" s="246" t="s">
        <v>343</v>
      </c>
      <c r="D329" s="246" t="s">
        <v>343</v>
      </c>
      <c r="E329" s="246">
        <v>0.0</v>
      </c>
      <c r="F329" s="246">
        <v>0.0</v>
      </c>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244" t="s">
        <v>836</v>
      </c>
      <c r="B330" s="245" t="s">
        <v>185</v>
      </c>
      <c r="C330" s="246">
        <v>0.0</v>
      </c>
      <c r="D330" s="246" t="s">
        <v>343</v>
      </c>
      <c r="E330" s="246" t="s">
        <v>343</v>
      </c>
      <c r="F330" s="246" t="s">
        <v>343</v>
      </c>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244" t="s">
        <v>837</v>
      </c>
      <c r="B331" s="245" t="s">
        <v>185</v>
      </c>
      <c r="C331" s="246">
        <v>0.0</v>
      </c>
      <c r="D331" s="246">
        <v>0.0</v>
      </c>
      <c r="E331" s="246" t="s">
        <v>343</v>
      </c>
      <c r="F331" s="246" t="s">
        <v>343</v>
      </c>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244" t="s">
        <v>838</v>
      </c>
      <c r="B332" s="245" t="s">
        <v>185</v>
      </c>
      <c r="C332" s="246" t="s">
        <v>343</v>
      </c>
      <c r="D332" s="246" t="s">
        <v>347</v>
      </c>
      <c r="E332" s="246">
        <v>0.0</v>
      </c>
      <c r="F332" s="246" t="s">
        <v>343</v>
      </c>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244" t="s">
        <v>839</v>
      </c>
      <c r="B333" s="245" t="s">
        <v>185</v>
      </c>
      <c r="C333" s="246">
        <v>0.0</v>
      </c>
      <c r="D333" s="246">
        <v>0.0</v>
      </c>
      <c r="E333" s="246">
        <v>0.0</v>
      </c>
      <c r="F333" s="246" t="s">
        <v>343</v>
      </c>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244" t="s">
        <v>840</v>
      </c>
      <c r="B334" s="245" t="s">
        <v>841</v>
      </c>
      <c r="C334" s="246">
        <v>0.0</v>
      </c>
      <c r="D334" s="246" t="s">
        <v>343</v>
      </c>
      <c r="E334" s="246" t="s">
        <v>343</v>
      </c>
      <c r="F334" s="246" t="s">
        <v>343</v>
      </c>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244" t="s">
        <v>842</v>
      </c>
      <c r="B335" s="245" t="s">
        <v>842</v>
      </c>
      <c r="C335" s="246" t="s">
        <v>343</v>
      </c>
      <c r="D335" s="246" t="s">
        <v>343</v>
      </c>
      <c r="E335" s="246">
        <v>0.0</v>
      </c>
      <c r="F335" s="246">
        <v>0.0</v>
      </c>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244" t="s">
        <v>843</v>
      </c>
      <c r="B336" s="245" t="s">
        <v>843</v>
      </c>
      <c r="C336" s="246">
        <v>0.0</v>
      </c>
      <c r="D336" s="246" t="s">
        <v>343</v>
      </c>
      <c r="E336" s="246">
        <v>0.0</v>
      </c>
      <c r="F336" s="246">
        <v>0.0</v>
      </c>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244" t="s">
        <v>844</v>
      </c>
      <c r="B337" s="245" t="s">
        <v>844</v>
      </c>
      <c r="C337" s="246">
        <v>0.0</v>
      </c>
      <c r="D337" s="246" t="s">
        <v>347</v>
      </c>
      <c r="E337" s="246">
        <v>0.0</v>
      </c>
      <c r="F337" s="246" t="s">
        <v>343</v>
      </c>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244" t="s">
        <v>845</v>
      </c>
      <c r="B338" s="245" t="s">
        <v>186</v>
      </c>
      <c r="C338" s="246" t="s">
        <v>343</v>
      </c>
      <c r="D338" s="246" t="s">
        <v>343</v>
      </c>
      <c r="E338" s="246">
        <v>0.0</v>
      </c>
      <c r="F338" s="246">
        <v>0.0</v>
      </c>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244" t="s">
        <v>846</v>
      </c>
      <c r="B339" s="245" t="s">
        <v>186</v>
      </c>
      <c r="C339" s="246" t="s">
        <v>343</v>
      </c>
      <c r="D339" s="246" t="s">
        <v>343</v>
      </c>
      <c r="E339" s="246">
        <v>0.0</v>
      </c>
      <c r="F339" s="246">
        <v>0.0</v>
      </c>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244" t="s">
        <v>847</v>
      </c>
      <c r="B340" s="245" t="s">
        <v>186</v>
      </c>
      <c r="C340" s="246">
        <v>0.0</v>
      </c>
      <c r="D340" s="246" t="s">
        <v>347</v>
      </c>
      <c r="E340" s="246">
        <v>0.0</v>
      </c>
      <c r="F340" s="246">
        <v>0.0</v>
      </c>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244" t="s">
        <v>848</v>
      </c>
      <c r="B341" s="245" t="s">
        <v>186</v>
      </c>
      <c r="C341" s="246">
        <v>0.0</v>
      </c>
      <c r="D341" s="246" t="s">
        <v>343</v>
      </c>
      <c r="E341" s="246" t="s">
        <v>343</v>
      </c>
      <c r="F341" s="246" t="s">
        <v>343</v>
      </c>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244" t="s">
        <v>849</v>
      </c>
      <c r="B342" s="245" t="s">
        <v>849</v>
      </c>
      <c r="C342" s="246">
        <v>0.0</v>
      </c>
      <c r="D342" s="246">
        <v>0.0</v>
      </c>
      <c r="E342" s="246">
        <v>0.0</v>
      </c>
      <c r="F342" s="246" t="s">
        <v>343</v>
      </c>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244" t="s">
        <v>850</v>
      </c>
      <c r="B343" s="245" t="s">
        <v>851</v>
      </c>
      <c r="C343" s="246">
        <v>0.0</v>
      </c>
      <c r="D343" s="246" t="s">
        <v>343</v>
      </c>
      <c r="E343" s="246">
        <v>0.0</v>
      </c>
      <c r="F343" s="246">
        <v>0.0</v>
      </c>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244" t="s">
        <v>852</v>
      </c>
      <c r="B344" s="245" t="s">
        <v>853</v>
      </c>
      <c r="C344" s="246">
        <v>0.0</v>
      </c>
      <c r="D344" s="246" t="s">
        <v>343</v>
      </c>
      <c r="E344" s="246">
        <v>0.0</v>
      </c>
      <c r="F344" s="246" t="s">
        <v>343</v>
      </c>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244" t="s">
        <v>854</v>
      </c>
      <c r="B345" s="245" t="s">
        <v>188</v>
      </c>
      <c r="C345" s="246">
        <v>0.0</v>
      </c>
      <c r="D345" s="246" t="s">
        <v>343</v>
      </c>
      <c r="E345" s="246">
        <v>0.0</v>
      </c>
      <c r="F345" s="246" t="s">
        <v>343</v>
      </c>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244" t="s">
        <v>855</v>
      </c>
      <c r="B346" s="245" t="s">
        <v>188</v>
      </c>
      <c r="C346" s="246" t="s">
        <v>343</v>
      </c>
      <c r="D346" s="246" t="s">
        <v>347</v>
      </c>
      <c r="E346" s="246">
        <v>0.0</v>
      </c>
      <c r="F346" s="246" t="s">
        <v>343</v>
      </c>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244" t="s">
        <v>856</v>
      </c>
      <c r="B347" s="245" t="s">
        <v>188</v>
      </c>
      <c r="C347" s="246">
        <v>0.0</v>
      </c>
      <c r="D347" s="246" t="s">
        <v>343</v>
      </c>
      <c r="E347" s="246">
        <v>0.0</v>
      </c>
      <c r="F347" s="246" t="s">
        <v>343</v>
      </c>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244" t="s">
        <v>857</v>
      </c>
      <c r="B348" s="245" t="s">
        <v>188</v>
      </c>
      <c r="C348" s="246">
        <v>0.0</v>
      </c>
      <c r="D348" s="246" t="s">
        <v>343</v>
      </c>
      <c r="E348" s="246">
        <v>0.0</v>
      </c>
      <c r="F348" s="246" t="s">
        <v>343</v>
      </c>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244" t="s">
        <v>858</v>
      </c>
      <c r="B349" s="245" t="s">
        <v>188</v>
      </c>
      <c r="C349" s="246">
        <v>0.0</v>
      </c>
      <c r="D349" s="246" t="s">
        <v>343</v>
      </c>
      <c r="E349" s="246">
        <v>0.0</v>
      </c>
      <c r="F349" s="246">
        <v>0.0</v>
      </c>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244" t="s">
        <v>859</v>
      </c>
      <c r="B350" s="245" t="s">
        <v>188</v>
      </c>
      <c r="C350" s="246">
        <v>0.0</v>
      </c>
      <c r="D350" s="246" t="s">
        <v>343</v>
      </c>
      <c r="E350" s="246">
        <v>0.0</v>
      </c>
      <c r="F350" s="246" t="s">
        <v>343</v>
      </c>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244" t="s">
        <v>860</v>
      </c>
      <c r="B351" s="245" t="s">
        <v>188</v>
      </c>
      <c r="C351" s="246">
        <v>0.0</v>
      </c>
      <c r="D351" s="246">
        <v>0.0</v>
      </c>
      <c r="E351" s="246" t="s">
        <v>343</v>
      </c>
      <c r="F351" s="246" t="s">
        <v>343</v>
      </c>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244" t="s">
        <v>861</v>
      </c>
      <c r="B352" s="245" t="s">
        <v>188</v>
      </c>
      <c r="C352" s="246">
        <v>0.0</v>
      </c>
      <c r="D352" s="246">
        <v>0.0</v>
      </c>
      <c r="E352" s="246" t="s">
        <v>343</v>
      </c>
      <c r="F352" s="246" t="s">
        <v>343</v>
      </c>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244" t="s">
        <v>862</v>
      </c>
      <c r="B353" s="245" t="s">
        <v>188</v>
      </c>
      <c r="C353" s="246">
        <v>0.0</v>
      </c>
      <c r="D353" s="246" t="s">
        <v>343</v>
      </c>
      <c r="E353" s="246">
        <v>0.0</v>
      </c>
      <c r="F353" s="246" t="s">
        <v>343</v>
      </c>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244" t="s">
        <v>863</v>
      </c>
      <c r="B354" s="245" t="s">
        <v>188</v>
      </c>
      <c r="C354" s="246" t="s">
        <v>343</v>
      </c>
      <c r="D354" s="246" t="s">
        <v>343</v>
      </c>
      <c r="E354" s="246" t="s">
        <v>343</v>
      </c>
      <c r="F354" s="246" t="s">
        <v>343</v>
      </c>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244" t="s">
        <v>864</v>
      </c>
      <c r="B355" s="245" t="s">
        <v>188</v>
      </c>
      <c r="C355" s="246" t="s">
        <v>343</v>
      </c>
      <c r="D355" s="246" t="s">
        <v>345</v>
      </c>
      <c r="E355" s="246">
        <v>0.0</v>
      </c>
      <c r="F355" s="246">
        <v>0.0</v>
      </c>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244" t="s">
        <v>865</v>
      </c>
      <c r="B356" s="245" t="s">
        <v>188</v>
      </c>
      <c r="C356" s="246">
        <v>0.0</v>
      </c>
      <c r="D356" s="246" t="s">
        <v>343</v>
      </c>
      <c r="E356" s="246">
        <v>0.0</v>
      </c>
      <c r="F356" s="246" t="s">
        <v>343</v>
      </c>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244" t="s">
        <v>866</v>
      </c>
      <c r="B357" s="245" t="s">
        <v>188</v>
      </c>
      <c r="C357" s="246" t="s">
        <v>343</v>
      </c>
      <c r="D357" s="246" t="s">
        <v>343</v>
      </c>
      <c r="E357" s="246" t="s">
        <v>343</v>
      </c>
      <c r="F357" s="246" t="s">
        <v>343</v>
      </c>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244" t="s">
        <v>867</v>
      </c>
      <c r="B358" s="245" t="s">
        <v>188</v>
      </c>
      <c r="C358" s="246" t="s">
        <v>343</v>
      </c>
      <c r="D358" s="246" t="s">
        <v>343</v>
      </c>
      <c r="E358" s="246">
        <v>0.0</v>
      </c>
      <c r="F358" s="246" t="s">
        <v>343</v>
      </c>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244" t="s">
        <v>868</v>
      </c>
      <c r="B359" s="245" t="s">
        <v>188</v>
      </c>
      <c r="C359" s="246">
        <v>0.0</v>
      </c>
      <c r="D359" s="246" t="s">
        <v>343</v>
      </c>
      <c r="E359" s="246" t="s">
        <v>343</v>
      </c>
      <c r="F359" s="246" t="s">
        <v>347</v>
      </c>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244" t="s">
        <v>869</v>
      </c>
      <c r="B360" s="245" t="s">
        <v>188</v>
      </c>
      <c r="C360" s="246" t="s">
        <v>343</v>
      </c>
      <c r="D360" s="246" t="s">
        <v>343</v>
      </c>
      <c r="E360" s="246" t="s">
        <v>343</v>
      </c>
      <c r="F360" s="246" t="s">
        <v>343</v>
      </c>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244" t="s">
        <v>870</v>
      </c>
      <c r="B361" s="245" t="s">
        <v>870</v>
      </c>
      <c r="C361" s="246">
        <v>0.0</v>
      </c>
      <c r="D361" s="246">
        <v>0.0</v>
      </c>
      <c r="E361" s="246">
        <v>0.0</v>
      </c>
      <c r="F361" s="246" t="s">
        <v>343</v>
      </c>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244" t="s">
        <v>871</v>
      </c>
      <c r="B362" s="245" t="s">
        <v>190</v>
      </c>
      <c r="C362" s="246" t="s">
        <v>343</v>
      </c>
      <c r="D362" s="246" t="s">
        <v>345</v>
      </c>
      <c r="E362" s="246">
        <v>0.0</v>
      </c>
      <c r="F362" s="246" t="s">
        <v>343</v>
      </c>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244" t="s">
        <v>872</v>
      </c>
      <c r="B363" s="245" t="s">
        <v>190</v>
      </c>
      <c r="C363" s="246">
        <v>0.0</v>
      </c>
      <c r="D363" s="246">
        <v>0.0</v>
      </c>
      <c r="E363" s="246" t="s">
        <v>343</v>
      </c>
      <c r="F363" s="246" t="s">
        <v>343</v>
      </c>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244" t="s">
        <v>873</v>
      </c>
      <c r="B364" s="245" t="s">
        <v>190</v>
      </c>
      <c r="C364" s="246" t="s">
        <v>343</v>
      </c>
      <c r="D364" s="246" t="s">
        <v>343</v>
      </c>
      <c r="E364" s="246">
        <v>0.0</v>
      </c>
      <c r="F364" s="246" t="s">
        <v>343</v>
      </c>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244" t="s">
        <v>874</v>
      </c>
      <c r="B365" s="245" t="s">
        <v>190</v>
      </c>
      <c r="C365" s="246">
        <v>0.0</v>
      </c>
      <c r="D365" s="246" t="s">
        <v>343</v>
      </c>
      <c r="E365" s="246" t="s">
        <v>343</v>
      </c>
      <c r="F365" s="246" t="s">
        <v>343</v>
      </c>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244" t="s">
        <v>875</v>
      </c>
      <c r="B366" s="245" t="s">
        <v>190</v>
      </c>
      <c r="C366" s="246" t="s">
        <v>343</v>
      </c>
      <c r="D366" s="246" t="s">
        <v>345</v>
      </c>
      <c r="E366" s="246" t="s">
        <v>343</v>
      </c>
      <c r="F366" s="246" t="s">
        <v>343</v>
      </c>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244" t="s">
        <v>876</v>
      </c>
      <c r="B367" s="245" t="s">
        <v>191</v>
      </c>
      <c r="C367" s="246">
        <v>0.0</v>
      </c>
      <c r="D367" s="246">
        <v>0.0</v>
      </c>
      <c r="E367" s="246">
        <v>0.0</v>
      </c>
      <c r="F367" s="246" t="s">
        <v>343</v>
      </c>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244" t="s">
        <v>877</v>
      </c>
      <c r="B368" s="245" t="s">
        <v>191</v>
      </c>
      <c r="C368" s="246" t="s">
        <v>343</v>
      </c>
      <c r="D368" s="246" t="s">
        <v>343</v>
      </c>
      <c r="E368" s="246">
        <v>0.0</v>
      </c>
      <c r="F368" s="246" t="s">
        <v>343</v>
      </c>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244" t="s">
        <v>878</v>
      </c>
      <c r="B369" s="245" t="s">
        <v>191</v>
      </c>
      <c r="C369" s="246" t="s">
        <v>343</v>
      </c>
      <c r="D369" s="246" t="s">
        <v>347</v>
      </c>
      <c r="E369" s="246" t="s">
        <v>343</v>
      </c>
      <c r="F369" s="246" t="s">
        <v>343</v>
      </c>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244" t="s">
        <v>879</v>
      </c>
      <c r="B370" s="245" t="s">
        <v>191</v>
      </c>
      <c r="C370" s="246" t="s">
        <v>343</v>
      </c>
      <c r="D370" s="246" t="s">
        <v>343</v>
      </c>
      <c r="E370" s="246">
        <v>0.0</v>
      </c>
      <c r="F370" s="246" t="s">
        <v>343</v>
      </c>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244" t="s">
        <v>880</v>
      </c>
      <c r="B371" s="245" t="s">
        <v>191</v>
      </c>
      <c r="C371" s="246" t="s">
        <v>343</v>
      </c>
      <c r="D371" s="246" t="s">
        <v>347</v>
      </c>
      <c r="E371" s="246">
        <v>0.0</v>
      </c>
      <c r="F371" s="246" t="s">
        <v>343</v>
      </c>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244" t="s">
        <v>881</v>
      </c>
      <c r="B372" s="245" t="s">
        <v>192</v>
      </c>
      <c r="C372" s="246">
        <v>0.0</v>
      </c>
      <c r="D372" s="246" t="s">
        <v>343</v>
      </c>
      <c r="E372" s="246">
        <v>0.0</v>
      </c>
      <c r="F372" s="246" t="s">
        <v>343</v>
      </c>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244" t="s">
        <v>882</v>
      </c>
      <c r="B373" s="245" t="s">
        <v>192</v>
      </c>
      <c r="C373" s="246">
        <v>0.0</v>
      </c>
      <c r="D373" s="246" t="s">
        <v>343</v>
      </c>
      <c r="E373" s="246">
        <v>0.0</v>
      </c>
      <c r="F373" s="246" t="s">
        <v>343</v>
      </c>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244" t="s">
        <v>883</v>
      </c>
      <c r="B374" s="245" t="s">
        <v>192</v>
      </c>
      <c r="C374" s="246">
        <v>0.0</v>
      </c>
      <c r="D374" s="246" t="s">
        <v>343</v>
      </c>
      <c r="E374" s="246">
        <v>0.0</v>
      </c>
      <c r="F374" s="246" t="s">
        <v>343</v>
      </c>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244" t="s">
        <v>884</v>
      </c>
      <c r="B375" s="245" t="s">
        <v>192</v>
      </c>
      <c r="C375" s="246">
        <v>0.0</v>
      </c>
      <c r="D375" s="246" t="s">
        <v>343</v>
      </c>
      <c r="E375" s="246">
        <v>0.0</v>
      </c>
      <c r="F375" s="246" t="s">
        <v>343</v>
      </c>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244" t="s">
        <v>885</v>
      </c>
      <c r="B376" s="245" t="s">
        <v>192</v>
      </c>
      <c r="C376" s="246" t="s">
        <v>343</v>
      </c>
      <c r="D376" s="246" t="s">
        <v>343</v>
      </c>
      <c r="E376" s="246">
        <v>0.0</v>
      </c>
      <c r="F376" s="246" t="s">
        <v>343</v>
      </c>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244" t="s">
        <v>886</v>
      </c>
      <c r="B377" s="245" t="s">
        <v>192</v>
      </c>
      <c r="C377" s="246">
        <v>0.0</v>
      </c>
      <c r="D377" s="246" t="s">
        <v>343</v>
      </c>
      <c r="E377" s="246">
        <v>0.0</v>
      </c>
      <c r="F377" s="246" t="s">
        <v>343</v>
      </c>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244" t="s">
        <v>887</v>
      </c>
      <c r="B378" s="245" t="s">
        <v>192</v>
      </c>
      <c r="C378" s="246">
        <v>0.0</v>
      </c>
      <c r="D378" s="246" t="s">
        <v>343</v>
      </c>
      <c r="E378" s="246" t="s">
        <v>343</v>
      </c>
      <c r="F378" s="246" t="s">
        <v>343</v>
      </c>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244" t="s">
        <v>888</v>
      </c>
      <c r="B379" s="245" t="s">
        <v>192</v>
      </c>
      <c r="C379" s="246">
        <v>0.0</v>
      </c>
      <c r="D379" s="246" t="s">
        <v>343</v>
      </c>
      <c r="E379" s="246">
        <v>0.0</v>
      </c>
      <c r="F379" s="246" t="s">
        <v>345</v>
      </c>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244" t="s">
        <v>889</v>
      </c>
      <c r="B380" s="245" t="s">
        <v>192</v>
      </c>
      <c r="C380" s="246">
        <v>0.0</v>
      </c>
      <c r="D380" s="246" t="s">
        <v>343</v>
      </c>
      <c r="E380" s="246">
        <v>0.0</v>
      </c>
      <c r="F380" s="246" t="s">
        <v>343</v>
      </c>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244" t="s">
        <v>890</v>
      </c>
      <c r="B381" s="245" t="s">
        <v>891</v>
      </c>
      <c r="C381" s="246" t="s">
        <v>343</v>
      </c>
      <c r="D381" s="246" t="s">
        <v>379</v>
      </c>
      <c r="E381" s="246" t="s">
        <v>351</v>
      </c>
      <c r="F381" s="246">
        <v>110.0</v>
      </c>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248"/>
      <c r="B382" s="249" t="s">
        <v>892</v>
      </c>
      <c r="C382" s="250" t="s">
        <v>893</v>
      </c>
      <c r="D382" s="250" t="s">
        <v>894</v>
      </c>
      <c r="E382" s="250" t="s">
        <v>382</v>
      </c>
      <c r="F382" s="250" t="s">
        <v>895</v>
      </c>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251" t="s">
        <v>896</v>
      </c>
      <c r="B383" s="94"/>
      <c r="C383" s="94"/>
      <c r="D383" s="94"/>
      <c r="E383" s="94"/>
      <c r="F383" s="37"/>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244" t="s">
        <v>897</v>
      </c>
      <c r="B384" s="245" t="s">
        <v>491</v>
      </c>
      <c r="C384" s="246">
        <v>0.0</v>
      </c>
      <c r="D384" s="246" t="s">
        <v>343</v>
      </c>
      <c r="E384" s="246">
        <v>0.0</v>
      </c>
      <c r="F384" s="246">
        <v>0.0</v>
      </c>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244" t="s">
        <v>492</v>
      </c>
      <c r="B385" s="245" t="s">
        <v>491</v>
      </c>
      <c r="C385" s="246" t="s">
        <v>343</v>
      </c>
      <c r="D385" s="246" t="s">
        <v>347</v>
      </c>
      <c r="E385" s="246" t="s">
        <v>343</v>
      </c>
      <c r="F385" s="246" t="s">
        <v>343</v>
      </c>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244" t="s">
        <v>493</v>
      </c>
      <c r="B386" s="245" t="s">
        <v>491</v>
      </c>
      <c r="C386" s="246">
        <v>0.0</v>
      </c>
      <c r="D386" s="246" t="s">
        <v>343</v>
      </c>
      <c r="E386" s="246">
        <v>0.0</v>
      </c>
      <c r="F386" s="246">
        <v>0.0</v>
      </c>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244" t="s">
        <v>494</v>
      </c>
      <c r="B387" s="245" t="s">
        <v>491</v>
      </c>
      <c r="C387" s="246" t="s">
        <v>343</v>
      </c>
      <c r="D387" s="246" t="s">
        <v>345</v>
      </c>
      <c r="E387" s="246">
        <v>0.0</v>
      </c>
      <c r="F387" s="246">
        <v>0.0</v>
      </c>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244" t="s">
        <v>495</v>
      </c>
      <c r="B388" s="245" t="s">
        <v>154</v>
      </c>
      <c r="C388" s="246" t="s">
        <v>343</v>
      </c>
      <c r="D388" s="246" t="s">
        <v>343</v>
      </c>
      <c r="E388" s="246">
        <v>0.0</v>
      </c>
      <c r="F388" s="246">
        <v>0.0</v>
      </c>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244" t="s">
        <v>496</v>
      </c>
      <c r="B389" s="245" t="s">
        <v>154</v>
      </c>
      <c r="C389" s="246" t="s">
        <v>343</v>
      </c>
      <c r="D389" s="246" t="s">
        <v>343</v>
      </c>
      <c r="E389" s="246">
        <v>0.0</v>
      </c>
      <c r="F389" s="246">
        <v>0.0</v>
      </c>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244" t="s">
        <v>500</v>
      </c>
      <c r="B390" s="245" t="s">
        <v>501</v>
      </c>
      <c r="C390" s="246">
        <v>0.0</v>
      </c>
      <c r="D390" s="246" t="s">
        <v>343</v>
      </c>
      <c r="E390" s="246">
        <v>0.0</v>
      </c>
      <c r="F390" s="246">
        <v>0.0</v>
      </c>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244" t="s">
        <v>502</v>
      </c>
      <c r="B391" s="245" t="s">
        <v>503</v>
      </c>
      <c r="C391" s="246" t="s">
        <v>343</v>
      </c>
      <c r="D391" s="246" t="s">
        <v>345</v>
      </c>
      <c r="E391" s="246">
        <v>0.0</v>
      </c>
      <c r="F391" s="246">
        <v>0.0</v>
      </c>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244" t="s">
        <v>504</v>
      </c>
      <c r="B392" s="245" t="s">
        <v>505</v>
      </c>
      <c r="C392" s="246">
        <v>0.0</v>
      </c>
      <c r="D392" s="246" t="s">
        <v>343</v>
      </c>
      <c r="E392" s="246">
        <v>0.0</v>
      </c>
      <c r="F392" s="246">
        <v>0.0</v>
      </c>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244" t="s">
        <v>506</v>
      </c>
      <c r="B393" s="245" t="s">
        <v>505</v>
      </c>
      <c r="C393" s="246">
        <v>0.0</v>
      </c>
      <c r="D393" s="246" t="s">
        <v>347</v>
      </c>
      <c r="E393" s="246">
        <v>0.0</v>
      </c>
      <c r="F393" s="246">
        <v>0.0</v>
      </c>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244" t="s">
        <v>507</v>
      </c>
      <c r="B394" s="245" t="s">
        <v>505</v>
      </c>
      <c r="C394" s="246" t="s">
        <v>343</v>
      </c>
      <c r="D394" s="246" t="s">
        <v>351</v>
      </c>
      <c r="E394" s="246">
        <v>0.0</v>
      </c>
      <c r="F394" s="246">
        <v>0.0</v>
      </c>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244" t="s">
        <v>508</v>
      </c>
      <c r="B395" s="245" t="s">
        <v>505</v>
      </c>
      <c r="C395" s="246">
        <v>0.0</v>
      </c>
      <c r="D395" s="246" t="s">
        <v>351</v>
      </c>
      <c r="E395" s="246">
        <v>0.0</v>
      </c>
      <c r="F395" s="246">
        <v>0.0</v>
      </c>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244" t="s">
        <v>898</v>
      </c>
      <c r="B396" s="245" t="s">
        <v>505</v>
      </c>
      <c r="C396" s="246">
        <v>0.0</v>
      </c>
      <c r="D396" s="246" t="s">
        <v>343</v>
      </c>
      <c r="E396" s="246">
        <v>0.0</v>
      </c>
      <c r="F396" s="246">
        <v>0.0</v>
      </c>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244" t="s">
        <v>509</v>
      </c>
      <c r="B397" s="245" t="s">
        <v>505</v>
      </c>
      <c r="C397" s="246" t="s">
        <v>343</v>
      </c>
      <c r="D397" s="246" t="s">
        <v>343</v>
      </c>
      <c r="E397" s="246">
        <v>0.0</v>
      </c>
      <c r="F397" s="246">
        <v>0.0</v>
      </c>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244" t="s">
        <v>512</v>
      </c>
      <c r="B398" s="245" t="s">
        <v>511</v>
      </c>
      <c r="C398" s="246">
        <v>0.0</v>
      </c>
      <c r="D398" s="246" t="s">
        <v>343</v>
      </c>
      <c r="E398" s="246">
        <v>0.0</v>
      </c>
      <c r="F398" s="246" t="s">
        <v>343</v>
      </c>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244" t="s">
        <v>513</v>
      </c>
      <c r="B399" s="245" t="s">
        <v>511</v>
      </c>
      <c r="C399" s="246">
        <v>0.0</v>
      </c>
      <c r="D399" s="246" t="s">
        <v>343</v>
      </c>
      <c r="E399" s="246">
        <v>0.0</v>
      </c>
      <c r="F399" s="246">
        <v>0.0</v>
      </c>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244" t="s">
        <v>514</v>
      </c>
      <c r="B400" s="245" t="s">
        <v>511</v>
      </c>
      <c r="C400" s="246" t="s">
        <v>343</v>
      </c>
      <c r="D400" s="246" t="s">
        <v>343</v>
      </c>
      <c r="E400" s="246" t="s">
        <v>343</v>
      </c>
      <c r="F400" s="246" t="s">
        <v>343</v>
      </c>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244" t="s">
        <v>515</v>
      </c>
      <c r="B401" s="245" t="s">
        <v>511</v>
      </c>
      <c r="C401" s="246" t="s">
        <v>343</v>
      </c>
      <c r="D401" s="246" t="s">
        <v>347</v>
      </c>
      <c r="E401" s="246">
        <v>0.0</v>
      </c>
      <c r="F401" s="246">
        <v>0.0</v>
      </c>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244" t="s">
        <v>518</v>
      </c>
      <c r="B402" s="245" t="s">
        <v>156</v>
      </c>
      <c r="C402" s="246">
        <v>0.0</v>
      </c>
      <c r="D402" s="246" t="s">
        <v>343</v>
      </c>
      <c r="E402" s="246">
        <v>0.0</v>
      </c>
      <c r="F402" s="246" t="s">
        <v>343</v>
      </c>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244" t="s">
        <v>519</v>
      </c>
      <c r="B403" s="245" t="s">
        <v>156</v>
      </c>
      <c r="C403" s="246" t="s">
        <v>343</v>
      </c>
      <c r="D403" s="246" t="s">
        <v>343</v>
      </c>
      <c r="E403" s="246" t="s">
        <v>343</v>
      </c>
      <c r="F403" s="246" t="s">
        <v>343</v>
      </c>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244" t="s">
        <v>520</v>
      </c>
      <c r="B404" s="245" t="s">
        <v>156</v>
      </c>
      <c r="C404" s="246" t="s">
        <v>343</v>
      </c>
      <c r="D404" s="246" t="s">
        <v>343</v>
      </c>
      <c r="E404" s="246">
        <v>0.0</v>
      </c>
      <c r="F404" s="246">
        <v>0.0</v>
      </c>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244" t="s">
        <v>524</v>
      </c>
      <c r="B405" s="245" t="s">
        <v>523</v>
      </c>
      <c r="C405" s="246" t="s">
        <v>343</v>
      </c>
      <c r="D405" s="246" t="s">
        <v>347</v>
      </c>
      <c r="E405" s="246">
        <v>0.0</v>
      </c>
      <c r="F405" s="246">
        <v>0.0</v>
      </c>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244" t="s">
        <v>528</v>
      </c>
      <c r="B406" s="245" t="s">
        <v>523</v>
      </c>
      <c r="C406" s="246" t="s">
        <v>343</v>
      </c>
      <c r="D406" s="246" t="s">
        <v>343</v>
      </c>
      <c r="E406" s="246">
        <v>0.0</v>
      </c>
      <c r="F406" s="246">
        <v>0.0</v>
      </c>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244" t="s">
        <v>531</v>
      </c>
      <c r="B407" s="245" t="s">
        <v>523</v>
      </c>
      <c r="C407" s="246" t="s">
        <v>343</v>
      </c>
      <c r="D407" s="246" t="s">
        <v>347</v>
      </c>
      <c r="E407" s="246">
        <v>0.0</v>
      </c>
      <c r="F407" s="246">
        <v>0.0</v>
      </c>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244" t="s">
        <v>533</v>
      </c>
      <c r="B408" s="245" t="s">
        <v>523</v>
      </c>
      <c r="C408" s="246" t="s">
        <v>343</v>
      </c>
      <c r="D408" s="246" t="s">
        <v>347</v>
      </c>
      <c r="E408" s="246">
        <v>0.0</v>
      </c>
      <c r="F408" s="246" t="s">
        <v>343</v>
      </c>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244" t="s">
        <v>539</v>
      </c>
      <c r="B409" s="245" t="s">
        <v>523</v>
      </c>
      <c r="C409" s="246">
        <v>0.0</v>
      </c>
      <c r="D409" s="246" t="s">
        <v>343</v>
      </c>
      <c r="E409" s="246">
        <v>0.0</v>
      </c>
      <c r="F409" s="246">
        <v>0.0</v>
      </c>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244" t="s">
        <v>540</v>
      </c>
      <c r="B410" s="245" t="s">
        <v>523</v>
      </c>
      <c r="C410" s="246">
        <v>0.0</v>
      </c>
      <c r="D410" s="246">
        <v>0.0</v>
      </c>
      <c r="E410" s="246">
        <v>0.0</v>
      </c>
      <c r="F410" s="246" t="s">
        <v>343</v>
      </c>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244" t="s">
        <v>543</v>
      </c>
      <c r="B411" s="245" t="s">
        <v>523</v>
      </c>
      <c r="C411" s="246">
        <v>0.0</v>
      </c>
      <c r="D411" s="246" t="s">
        <v>343</v>
      </c>
      <c r="E411" s="246">
        <v>0.0</v>
      </c>
      <c r="F411" s="246">
        <v>0.0</v>
      </c>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244" t="s">
        <v>899</v>
      </c>
      <c r="B412" s="245" t="s">
        <v>523</v>
      </c>
      <c r="C412" s="246">
        <v>0.0</v>
      </c>
      <c r="D412" s="246" t="s">
        <v>343</v>
      </c>
      <c r="E412" s="246">
        <v>0.0</v>
      </c>
      <c r="F412" s="246">
        <v>0.0</v>
      </c>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244" t="s">
        <v>546</v>
      </c>
      <c r="B413" s="245" t="s">
        <v>523</v>
      </c>
      <c r="C413" s="246" t="s">
        <v>343</v>
      </c>
      <c r="D413" s="246" t="s">
        <v>343</v>
      </c>
      <c r="E413" s="246">
        <v>0.0</v>
      </c>
      <c r="F413" s="246">
        <v>0.0</v>
      </c>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244" t="s">
        <v>548</v>
      </c>
      <c r="B414" s="245" t="s">
        <v>523</v>
      </c>
      <c r="C414" s="246">
        <v>0.0</v>
      </c>
      <c r="D414" s="246" t="s">
        <v>343</v>
      </c>
      <c r="E414" s="246">
        <v>0.0</v>
      </c>
      <c r="F414" s="246">
        <v>0.0</v>
      </c>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244" t="s">
        <v>549</v>
      </c>
      <c r="B415" s="245" t="s">
        <v>523</v>
      </c>
      <c r="C415" s="246">
        <v>0.0</v>
      </c>
      <c r="D415" s="246" t="s">
        <v>343</v>
      </c>
      <c r="E415" s="246">
        <v>0.0</v>
      </c>
      <c r="F415" s="246">
        <v>0.0</v>
      </c>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244" t="s">
        <v>551</v>
      </c>
      <c r="B416" s="245" t="s">
        <v>523</v>
      </c>
      <c r="C416" s="246" t="s">
        <v>343</v>
      </c>
      <c r="D416" s="246" t="s">
        <v>343</v>
      </c>
      <c r="E416" s="246">
        <v>0.0</v>
      </c>
      <c r="F416" s="246">
        <v>0.0</v>
      </c>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244" t="s">
        <v>552</v>
      </c>
      <c r="B417" s="245" t="s">
        <v>523</v>
      </c>
      <c r="C417" s="246">
        <v>0.0</v>
      </c>
      <c r="D417" s="246" t="s">
        <v>343</v>
      </c>
      <c r="E417" s="246">
        <v>0.0</v>
      </c>
      <c r="F417" s="246">
        <v>0.0</v>
      </c>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244" t="s">
        <v>553</v>
      </c>
      <c r="B418" s="245" t="s">
        <v>523</v>
      </c>
      <c r="C418" s="246" t="s">
        <v>343</v>
      </c>
      <c r="D418" s="246" t="s">
        <v>343</v>
      </c>
      <c r="E418" s="246">
        <v>0.0</v>
      </c>
      <c r="F418" s="246">
        <v>0.0</v>
      </c>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244" t="s">
        <v>555</v>
      </c>
      <c r="B419" s="245" t="s">
        <v>157</v>
      </c>
      <c r="C419" s="246" t="s">
        <v>347</v>
      </c>
      <c r="D419" s="246" t="s">
        <v>355</v>
      </c>
      <c r="E419" s="246">
        <v>0.0</v>
      </c>
      <c r="F419" s="246" t="s">
        <v>343</v>
      </c>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244" t="s">
        <v>556</v>
      </c>
      <c r="B420" s="245" t="s">
        <v>157</v>
      </c>
      <c r="C420" s="246" t="s">
        <v>343</v>
      </c>
      <c r="D420" s="246" t="s">
        <v>345</v>
      </c>
      <c r="E420" s="246">
        <v>0.0</v>
      </c>
      <c r="F420" s="246">
        <v>0.0</v>
      </c>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244" t="s">
        <v>557</v>
      </c>
      <c r="B421" s="245" t="s">
        <v>157</v>
      </c>
      <c r="C421" s="246" t="s">
        <v>343</v>
      </c>
      <c r="D421" s="246" t="s">
        <v>343</v>
      </c>
      <c r="E421" s="246">
        <v>0.0</v>
      </c>
      <c r="F421" s="246">
        <v>0.0</v>
      </c>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244" t="s">
        <v>559</v>
      </c>
      <c r="B422" s="245" t="s">
        <v>157</v>
      </c>
      <c r="C422" s="246">
        <v>0.0</v>
      </c>
      <c r="D422" s="246" t="s">
        <v>347</v>
      </c>
      <c r="E422" s="246">
        <v>0.0</v>
      </c>
      <c r="F422" s="246">
        <v>0.0</v>
      </c>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244" t="s">
        <v>560</v>
      </c>
      <c r="B423" s="245" t="s">
        <v>157</v>
      </c>
      <c r="C423" s="246">
        <v>0.0</v>
      </c>
      <c r="D423" s="246" t="s">
        <v>347</v>
      </c>
      <c r="E423" s="246">
        <v>0.0</v>
      </c>
      <c r="F423" s="246">
        <v>0.0</v>
      </c>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244" t="s">
        <v>561</v>
      </c>
      <c r="B424" s="245" t="s">
        <v>562</v>
      </c>
      <c r="C424" s="246" t="s">
        <v>343</v>
      </c>
      <c r="D424" s="246" t="s">
        <v>347</v>
      </c>
      <c r="E424" s="246">
        <v>0.0</v>
      </c>
      <c r="F424" s="246">
        <v>0.0</v>
      </c>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244" t="s">
        <v>900</v>
      </c>
      <c r="B425" s="245" t="s">
        <v>564</v>
      </c>
      <c r="C425" s="246">
        <v>0.0</v>
      </c>
      <c r="D425" s="246" t="s">
        <v>343</v>
      </c>
      <c r="E425" s="246">
        <v>0.0</v>
      </c>
      <c r="F425" s="246">
        <v>0.0</v>
      </c>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244" t="s">
        <v>566</v>
      </c>
      <c r="B426" s="245" t="s">
        <v>564</v>
      </c>
      <c r="C426" s="246" t="s">
        <v>343</v>
      </c>
      <c r="D426" s="246" t="s">
        <v>343</v>
      </c>
      <c r="E426" s="246">
        <v>0.0</v>
      </c>
      <c r="F426" s="246">
        <v>0.0</v>
      </c>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244" t="s">
        <v>569</v>
      </c>
      <c r="B427" s="245" t="s">
        <v>564</v>
      </c>
      <c r="C427" s="246">
        <v>0.0</v>
      </c>
      <c r="D427" s="246" t="s">
        <v>343</v>
      </c>
      <c r="E427" s="246">
        <v>0.0</v>
      </c>
      <c r="F427" s="246">
        <v>0.0</v>
      </c>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244" t="s">
        <v>570</v>
      </c>
      <c r="B428" s="245" t="s">
        <v>159</v>
      </c>
      <c r="C428" s="246">
        <v>0.0</v>
      </c>
      <c r="D428" s="246" t="s">
        <v>347</v>
      </c>
      <c r="E428" s="246" t="s">
        <v>343</v>
      </c>
      <c r="F428" s="246" t="s">
        <v>343</v>
      </c>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244" t="s">
        <v>571</v>
      </c>
      <c r="B429" s="245" t="s">
        <v>159</v>
      </c>
      <c r="C429" s="246">
        <v>0.0</v>
      </c>
      <c r="D429" s="246" t="s">
        <v>343</v>
      </c>
      <c r="E429" s="246">
        <v>0.0</v>
      </c>
      <c r="F429" s="246">
        <v>0.0</v>
      </c>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244" t="s">
        <v>572</v>
      </c>
      <c r="B430" s="245" t="s">
        <v>159</v>
      </c>
      <c r="C430" s="246" t="s">
        <v>343</v>
      </c>
      <c r="D430" s="246" t="s">
        <v>347</v>
      </c>
      <c r="E430" s="246" t="s">
        <v>343</v>
      </c>
      <c r="F430" s="246" t="s">
        <v>343</v>
      </c>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244" t="s">
        <v>573</v>
      </c>
      <c r="B431" s="245" t="s">
        <v>159</v>
      </c>
      <c r="C431" s="246" t="s">
        <v>343</v>
      </c>
      <c r="D431" s="246" t="s">
        <v>343</v>
      </c>
      <c r="E431" s="246">
        <v>0.0</v>
      </c>
      <c r="F431" s="246">
        <v>0.0</v>
      </c>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244" t="s">
        <v>576</v>
      </c>
      <c r="B432" s="245" t="s">
        <v>159</v>
      </c>
      <c r="C432" s="246">
        <v>0.0</v>
      </c>
      <c r="D432" s="246" t="s">
        <v>343</v>
      </c>
      <c r="E432" s="246">
        <v>0.0</v>
      </c>
      <c r="F432" s="246">
        <v>0.0</v>
      </c>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244" t="s">
        <v>579</v>
      </c>
      <c r="B433" s="245" t="s">
        <v>160</v>
      </c>
      <c r="C433" s="246" t="s">
        <v>343</v>
      </c>
      <c r="D433" s="246" t="s">
        <v>343</v>
      </c>
      <c r="E433" s="246">
        <v>0.0</v>
      </c>
      <c r="F433" s="246">
        <v>0.0</v>
      </c>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244" t="s">
        <v>581</v>
      </c>
      <c r="B434" s="245" t="s">
        <v>160</v>
      </c>
      <c r="C434" s="246" t="s">
        <v>343</v>
      </c>
      <c r="D434" s="246" t="s">
        <v>361</v>
      </c>
      <c r="E434" s="246" t="s">
        <v>343</v>
      </c>
      <c r="F434" s="246" t="s">
        <v>343</v>
      </c>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244" t="s">
        <v>582</v>
      </c>
      <c r="B435" s="245" t="s">
        <v>160</v>
      </c>
      <c r="C435" s="246" t="s">
        <v>347</v>
      </c>
      <c r="D435" s="246" t="s">
        <v>379</v>
      </c>
      <c r="E435" s="246">
        <v>0.0</v>
      </c>
      <c r="F435" s="246">
        <v>0.0</v>
      </c>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244" t="s">
        <v>583</v>
      </c>
      <c r="B436" s="245" t="s">
        <v>160</v>
      </c>
      <c r="C436" s="246" t="s">
        <v>343</v>
      </c>
      <c r="D436" s="246" t="s">
        <v>347</v>
      </c>
      <c r="E436" s="246">
        <v>0.0</v>
      </c>
      <c r="F436" s="246" t="s">
        <v>343</v>
      </c>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244" t="s">
        <v>584</v>
      </c>
      <c r="B437" s="245" t="s">
        <v>160</v>
      </c>
      <c r="C437" s="246">
        <v>0.0</v>
      </c>
      <c r="D437" s="246" t="s">
        <v>343</v>
      </c>
      <c r="E437" s="246" t="s">
        <v>343</v>
      </c>
      <c r="F437" s="246" t="s">
        <v>343</v>
      </c>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244" t="s">
        <v>585</v>
      </c>
      <c r="B438" s="245" t="s">
        <v>160</v>
      </c>
      <c r="C438" s="246" t="s">
        <v>343</v>
      </c>
      <c r="D438" s="246" t="s">
        <v>343</v>
      </c>
      <c r="E438" s="246">
        <v>0.0</v>
      </c>
      <c r="F438" s="246">
        <v>0.0</v>
      </c>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244" t="s">
        <v>586</v>
      </c>
      <c r="B439" s="245" t="s">
        <v>160</v>
      </c>
      <c r="C439" s="246">
        <v>0.0</v>
      </c>
      <c r="D439" s="246" t="s">
        <v>343</v>
      </c>
      <c r="E439" s="246">
        <v>0.0</v>
      </c>
      <c r="F439" s="246">
        <v>0.0</v>
      </c>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244" t="s">
        <v>587</v>
      </c>
      <c r="B440" s="245" t="s">
        <v>160</v>
      </c>
      <c r="C440" s="246">
        <v>0.0</v>
      </c>
      <c r="D440" s="246" t="s">
        <v>343</v>
      </c>
      <c r="E440" s="246">
        <v>0.0</v>
      </c>
      <c r="F440" s="246">
        <v>0.0</v>
      </c>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244" t="s">
        <v>588</v>
      </c>
      <c r="B441" s="245" t="s">
        <v>160</v>
      </c>
      <c r="C441" s="246" t="s">
        <v>343</v>
      </c>
      <c r="D441" s="246" t="s">
        <v>343</v>
      </c>
      <c r="E441" s="246">
        <v>0.0</v>
      </c>
      <c r="F441" s="246">
        <v>0.0</v>
      </c>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244" t="s">
        <v>589</v>
      </c>
      <c r="B442" s="245" t="s">
        <v>160</v>
      </c>
      <c r="C442" s="246">
        <v>0.0</v>
      </c>
      <c r="D442" s="246" t="s">
        <v>347</v>
      </c>
      <c r="E442" s="246">
        <v>0.0</v>
      </c>
      <c r="F442" s="246">
        <v>0.0</v>
      </c>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244" t="s">
        <v>591</v>
      </c>
      <c r="B443" s="245" t="s">
        <v>160</v>
      </c>
      <c r="C443" s="246" t="s">
        <v>343</v>
      </c>
      <c r="D443" s="246" t="s">
        <v>343</v>
      </c>
      <c r="E443" s="246">
        <v>0.0</v>
      </c>
      <c r="F443" s="246">
        <v>0.0</v>
      </c>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244" t="s">
        <v>592</v>
      </c>
      <c r="B444" s="245" t="s">
        <v>160</v>
      </c>
      <c r="C444" s="246" t="s">
        <v>343</v>
      </c>
      <c r="D444" s="246" t="s">
        <v>347</v>
      </c>
      <c r="E444" s="246">
        <v>0.0</v>
      </c>
      <c r="F444" s="246" t="s">
        <v>343</v>
      </c>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244" t="s">
        <v>594</v>
      </c>
      <c r="B445" s="245" t="s">
        <v>160</v>
      </c>
      <c r="C445" s="246" t="s">
        <v>343</v>
      </c>
      <c r="D445" s="246" t="s">
        <v>343</v>
      </c>
      <c r="E445" s="246">
        <v>0.0</v>
      </c>
      <c r="F445" s="246">
        <v>0.0</v>
      </c>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244" t="s">
        <v>595</v>
      </c>
      <c r="B446" s="245" t="s">
        <v>160</v>
      </c>
      <c r="C446" s="246" t="s">
        <v>343</v>
      </c>
      <c r="D446" s="246" t="s">
        <v>347</v>
      </c>
      <c r="E446" s="246">
        <v>0.0</v>
      </c>
      <c r="F446" s="246">
        <v>0.0</v>
      </c>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244" t="s">
        <v>596</v>
      </c>
      <c r="B447" s="245" t="s">
        <v>160</v>
      </c>
      <c r="C447" s="246" t="s">
        <v>343</v>
      </c>
      <c r="D447" s="246" t="s">
        <v>347</v>
      </c>
      <c r="E447" s="246">
        <v>0.0</v>
      </c>
      <c r="F447" s="246" t="s">
        <v>343</v>
      </c>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244" t="s">
        <v>598</v>
      </c>
      <c r="B448" s="245" t="s">
        <v>160</v>
      </c>
      <c r="C448" s="246" t="s">
        <v>343</v>
      </c>
      <c r="D448" s="246" t="s">
        <v>343</v>
      </c>
      <c r="E448" s="246">
        <v>0.0</v>
      </c>
      <c r="F448" s="246" t="s">
        <v>343</v>
      </c>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244" t="s">
        <v>599</v>
      </c>
      <c r="B449" s="245" t="s">
        <v>160</v>
      </c>
      <c r="C449" s="246" t="s">
        <v>343</v>
      </c>
      <c r="D449" s="246" t="s">
        <v>343</v>
      </c>
      <c r="E449" s="246">
        <v>0.0</v>
      </c>
      <c r="F449" s="246">
        <v>0.0</v>
      </c>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244" t="s">
        <v>600</v>
      </c>
      <c r="B450" s="245" t="s">
        <v>160</v>
      </c>
      <c r="C450" s="246" t="s">
        <v>347</v>
      </c>
      <c r="D450" s="246" t="s">
        <v>345</v>
      </c>
      <c r="E450" s="246">
        <v>0.0</v>
      </c>
      <c r="F450" s="246">
        <v>0.0</v>
      </c>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244" t="s">
        <v>601</v>
      </c>
      <c r="B451" s="245" t="s">
        <v>160</v>
      </c>
      <c r="C451" s="246">
        <v>0.0</v>
      </c>
      <c r="D451" s="246" t="s">
        <v>343</v>
      </c>
      <c r="E451" s="246">
        <v>0.0</v>
      </c>
      <c r="F451" s="246">
        <v>0.0</v>
      </c>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244" t="s">
        <v>602</v>
      </c>
      <c r="B452" s="245" t="s">
        <v>160</v>
      </c>
      <c r="C452" s="246" t="s">
        <v>343</v>
      </c>
      <c r="D452" s="246" t="s">
        <v>347</v>
      </c>
      <c r="E452" s="246">
        <v>0.0</v>
      </c>
      <c r="F452" s="246">
        <v>0.0</v>
      </c>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244" t="s">
        <v>603</v>
      </c>
      <c r="B453" s="245" t="s">
        <v>161</v>
      </c>
      <c r="C453" s="246">
        <v>0.0</v>
      </c>
      <c r="D453" s="246" t="s">
        <v>343</v>
      </c>
      <c r="E453" s="246">
        <v>0.0</v>
      </c>
      <c r="F453" s="246">
        <v>0.0</v>
      </c>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244" t="s">
        <v>605</v>
      </c>
      <c r="B454" s="245" t="s">
        <v>161</v>
      </c>
      <c r="C454" s="246">
        <v>0.0</v>
      </c>
      <c r="D454" s="246" t="s">
        <v>343</v>
      </c>
      <c r="E454" s="246">
        <v>0.0</v>
      </c>
      <c r="F454" s="246">
        <v>0.0</v>
      </c>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244" t="s">
        <v>606</v>
      </c>
      <c r="B455" s="245" t="s">
        <v>161</v>
      </c>
      <c r="C455" s="246" t="s">
        <v>343</v>
      </c>
      <c r="D455" s="246" t="s">
        <v>345</v>
      </c>
      <c r="E455" s="246">
        <v>0.0</v>
      </c>
      <c r="F455" s="246">
        <v>0.0</v>
      </c>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244" t="s">
        <v>607</v>
      </c>
      <c r="B456" s="245" t="s">
        <v>161</v>
      </c>
      <c r="C456" s="246" t="s">
        <v>343</v>
      </c>
      <c r="D456" s="246" t="s">
        <v>343</v>
      </c>
      <c r="E456" s="246">
        <v>0.0</v>
      </c>
      <c r="F456" s="246">
        <v>0.0</v>
      </c>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244" t="s">
        <v>608</v>
      </c>
      <c r="B457" s="245" t="s">
        <v>161</v>
      </c>
      <c r="C457" s="246">
        <v>0.0</v>
      </c>
      <c r="D457" s="246" t="s">
        <v>343</v>
      </c>
      <c r="E457" s="246">
        <v>0.0</v>
      </c>
      <c r="F457" s="246">
        <v>0.0</v>
      </c>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244" t="s">
        <v>609</v>
      </c>
      <c r="B458" s="245" t="s">
        <v>161</v>
      </c>
      <c r="C458" s="246" t="s">
        <v>343</v>
      </c>
      <c r="D458" s="246" t="s">
        <v>343</v>
      </c>
      <c r="E458" s="246">
        <v>0.0</v>
      </c>
      <c r="F458" s="246">
        <v>0.0</v>
      </c>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244" t="s">
        <v>610</v>
      </c>
      <c r="B459" s="245" t="s">
        <v>161</v>
      </c>
      <c r="C459" s="246">
        <v>0.0</v>
      </c>
      <c r="D459" s="246">
        <v>0.0</v>
      </c>
      <c r="E459" s="246">
        <v>0.0</v>
      </c>
      <c r="F459" s="246" t="s">
        <v>343</v>
      </c>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244" t="s">
        <v>613</v>
      </c>
      <c r="B460" s="245" t="s">
        <v>614</v>
      </c>
      <c r="C460" s="246">
        <v>0.0</v>
      </c>
      <c r="D460" s="246" t="s">
        <v>347</v>
      </c>
      <c r="E460" s="246">
        <v>0.0</v>
      </c>
      <c r="F460" s="246" t="s">
        <v>343</v>
      </c>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244" t="s">
        <v>616</v>
      </c>
      <c r="B461" s="245" t="s">
        <v>162</v>
      </c>
      <c r="C461" s="246">
        <v>0.0</v>
      </c>
      <c r="D461" s="246" t="s">
        <v>343</v>
      </c>
      <c r="E461" s="246">
        <v>0.0</v>
      </c>
      <c r="F461" s="246">
        <v>0.0</v>
      </c>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244" t="s">
        <v>617</v>
      </c>
      <c r="B462" s="245" t="s">
        <v>162</v>
      </c>
      <c r="C462" s="246">
        <v>0.0</v>
      </c>
      <c r="D462" s="246" t="s">
        <v>343</v>
      </c>
      <c r="E462" s="246">
        <v>0.0</v>
      </c>
      <c r="F462" s="246" t="s">
        <v>343</v>
      </c>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244" t="s">
        <v>618</v>
      </c>
      <c r="B463" s="245" t="s">
        <v>162</v>
      </c>
      <c r="C463" s="246">
        <v>0.0</v>
      </c>
      <c r="D463" s="246" t="s">
        <v>343</v>
      </c>
      <c r="E463" s="246">
        <v>0.0</v>
      </c>
      <c r="F463" s="246">
        <v>0.0</v>
      </c>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244" t="s">
        <v>623</v>
      </c>
      <c r="B464" s="245" t="s">
        <v>163</v>
      </c>
      <c r="C464" s="246" t="s">
        <v>343</v>
      </c>
      <c r="D464" s="246" t="s">
        <v>343</v>
      </c>
      <c r="E464" s="246">
        <v>0.0</v>
      </c>
      <c r="F464" s="246">
        <v>0.0</v>
      </c>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244" t="s">
        <v>624</v>
      </c>
      <c r="B465" s="245" t="s">
        <v>163</v>
      </c>
      <c r="C465" s="246" t="s">
        <v>347</v>
      </c>
      <c r="D465" s="246" t="s">
        <v>351</v>
      </c>
      <c r="E465" s="246">
        <v>0.0</v>
      </c>
      <c r="F465" s="246">
        <v>0.0</v>
      </c>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244" t="s">
        <v>625</v>
      </c>
      <c r="B466" s="245" t="s">
        <v>163</v>
      </c>
      <c r="C466" s="246">
        <v>0.0</v>
      </c>
      <c r="D466" s="246" t="s">
        <v>343</v>
      </c>
      <c r="E466" s="246">
        <v>0.0</v>
      </c>
      <c r="F466" s="246">
        <v>0.0</v>
      </c>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244" t="s">
        <v>630</v>
      </c>
      <c r="B467" s="245" t="s">
        <v>163</v>
      </c>
      <c r="C467" s="246">
        <v>0.0</v>
      </c>
      <c r="D467" s="246" t="s">
        <v>343</v>
      </c>
      <c r="E467" s="246">
        <v>0.0</v>
      </c>
      <c r="F467" s="246">
        <v>0.0</v>
      </c>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244" t="s">
        <v>631</v>
      </c>
      <c r="B468" s="245" t="s">
        <v>163</v>
      </c>
      <c r="C468" s="246" t="s">
        <v>343</v>
      </c>
      <c r="D468" s="246" t="s">
        <v>343</v>
      </c>
      <c r="E468" s="246">
        <v>0.0</v>
      </c>
      <c r="F468" s="246">
        <v>0.0</v>
      </c>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244" t="s">
        <v>632</v>
      </c>
      <c r="B469" s="245" t="s">
        <v>163</v>
      </c>
      <c r="C469" s="246">
        <v>0.0</v>
      </c>
      <c r="D469" s="246" t="s">
        <v>343</v>
      </c>
      <c r="E469" s="246">
        <v>0.0</v>
      </c>
      <c r="F469" s="246">
        <v>0.0</v>
      </c>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244" t="s">
        <v>633</v>
      </c>
      <c r="B470" s="245" t="s">
        <v>163</v>
      </c>
      <c r="C470" s="246">
        <v>0.0</v>
      </c>
      <c r="D470" s="246">
        <v>0.0</v>
      </c>
      <c r="E470" s="246">
        <v>0.0</v>
      </c>
      <c r="F470" s="246" t="s">
        <v>343</v>
      </c>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244" t="s">
        <v>636</v>
      </c>
      <c r="B471" s="245" t="s">
        <v>635</v>
      </c>
      <c r="C471" s="246">
        <v>0.0</v>
      </c>
      <c r="D471" s="246" t="s">
        <v>343</v>
      </c>
      <c r="E471" s="246">
        <v>0.0</v>
      </c>
      <c r="F471" s="246">
        <v>0.0</v>
      </c>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244" t="s">
        <v>637</v>
      </c>
      <c r="B472" s="245" t="s">
        <v>635</v>
      </c>
      <c r="C472" s="246">
        <v>0.0</v>
      </c>
      <c r="D472" s="246" t="s">
        <v>343</v>
      </c>
      <c r="E472" s="246">
        <v>0.0</v>
      </c>
      <c r="F472" s="246">
        <v>0.0</v>
      </c>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244" t="s">
        <v>638</v>
      </c>
      <c r="B473" s="245" t="s">
        <v>635</v>
      </c>
      <c r="C473" s="246" t="s">
        <v>343</v>
      </c>
      <c r="D473" s="246" t="s">
        <v>343</v>
      </c>
      <c r="E473" s="246">
        <v>0.0</v>
      </c>
      <c r="F473" s="246">
        <v>0.0</v>
      </c>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244" t="s">
        <v>640</v>
      </c>
      <c r="B474" s="245" t="s">
        <v>641</v>
      </c>
      <c r="C474" s="246">
        <v>0.0</v>
      </c>
      <c r="D474" s="246" t="s">
        <v>343</v>
      </c>
      <c r="E474" s="246">
        <v>0.0</v>
      </c>
      <c r="F474" s="246">
        <v>0.0</v>
      </c>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244" t="s">
        <v>642</v>
      </c>
      <c r="B475" s="245" t="s">
        <v>641</v>
      </c>
      <c r="C475" s="246">
        <v>0.0</v>
      </c>
      <c r="D475" s="246">
        <v>0.0</v>
      </c>
      <c r="E475" s="246" t="s">
        <v>343</v>
      </c>
      <c r="F475" s="246" t="s">
        <v>343</v>
      </c>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244" t="s">
        <v>645</v>
      </c>
      <c r="B476" s="245" t="s">
        <v>646</v>
      </c>
      <c r="C476" s="246">
        <v>0.0</v>
      </c>
      <c r="D476" s="246" t="s">
        <v>347</v>
      </c>
      <c r="E476" s="246">
        <v>0.0</v>
      </c>
      <c r="F476" s="246" t="s">
        <v>343</v>
      </c>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244" t="s">
        <v>647</v>
      </c>
      <c r="B477" s="245" t="s">
        <v>646</v>
      </c>
      <c r="C477" s="246" t="s">
        <v>343</v>
      </c>
      <c r="D477" s="246" t="s">
        <v>347</v>
      </c>
      <c r="E477" s="246">
        <v>0.0</v>
      </c>
      <c r="F477" s="246">
        <v>0.0</v>
      </c>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244" t="s">
        <v>648</v>
      </c>
      <c r="B478" s="245" t="s">
        <v>649</v>
      </c>
      <c r="C478" s="246">
        <v>0.0</v>
      </c>
      <c r="D478" s="246" t="s">
        <v>343</v>
      </c>
      <c r="E478" s="246">
        <v>0.0</v>
      </c>
      <c r="F478" s="246">
        <v>0.0</v>
      </c>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244" t="s">
        <v>652</v>
      </c>
      <c r="B479" s="245" t="s">
        <v>169</v>
      </c>
      <c r="C479" s="246" t="s">
        <v>343</v>
      </c>
      <c r="D479" s="246" t="s">
        <v>343</v>
      </c>
      <c r="E479" s="246">
        <v>0.0</v>
      </c>
      <c r="F479" s="246">
        <v>0.0</v>
      </c>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244" t="s">
        <v>653</v>
      </c>
      <c r="B480" s="245" t="s">
        <v>169</v>
      </c>
      <c r="C480" s="246">
        <v>0.0</v>
      </c>
      <c r="D480" s="246" t="s">
        <v>343</v>
      </c>
      <c r="E480" s="246">
        <v>0.0</v>
      </c>
      <c r="F480" s="246">
        <v>0.0</v>
      </c>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244" t="s">
        <v>654</v>
      </c>
      <c r="B481" s="245" t="s">
        <v>169</v>
      </c>
      <c r="C481" s="246" t="s">
        <v>343</v>
      </c>
      <c r="D481" s="246" t="s">
        <v>345</v>
      </c>
      <c r="E481" s="246">
        <v>0.0</v>
      </c>
      <c r="F481" s="246">
        <v>0.0</v>
      </c>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244" t="s">
        <v>655</v>
      </c>
      <c r="B482" s="245" t="s">
        <v>169</v>
      </c>
      <c r="C482" s="246" t="s">
        <v>343</v>
      </c>
      <c r="D482" s="246" t="s">
        <v>345</v>
      </c>
      <c r="E482" s="246">
        <v>0.0</v>
      </c>
      <c r="F482" s="246" t="s">
        <v>343</v>
      </c>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244" t="s">
        <v>656</v>
      </c>
      <c r="B483" s="245" t="s">
        <v>169</v>
      </c>
      <c r="C483" s="246">
        <v>0.0</v>
      </c>
      <c r="D483" s="246" t="s">
        <v>343</v>
      </c>
      <c r="E483" s="246">
        <v>0.0</v>
      </c>
      <c r="F483" s="246" t="s">
        <v>343</v>
      </c>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244" t="s">
        <v>657</v>
      </c>
      <c r="B484" s="245" t="s">
        <v>169</v>
      </c>
      <c r="C484" s="246">
        <v>0.0</v>
      </c>
      <c r="D484" s="246" t="s">
        <v>343</v>
      </c>
      <c r="E484" s="246">
        <v>0.0</v>
      </c>
      <c r="F484" s="246">
        <v>0.0</v>
      </c>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244" t="s">
        <v>658</v>
      </c>
      <c r="B485" s="245" t="s">
        <v>169</v>
      </c>
      <c r="C485" s="246">
        <v>0.0</v>
      </c>
      <c r="D485" s="246" t="s">
        <v>343</v>
      </c>
      <c r="E485" s="246">
        <v>0.0</v>
      </c>
      <c r="F485" s="246">
        <v>0.0</v>
      </c>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244" t="s">
        <v>660</v>
      </c>
      <c r="B486" s="245" t="s">
        <v>661</v>
      </c>
      <c r="C486" s="246" t="s">
        <v>343</v>
      </c>
      <c r="D486" s="246" t="s">
        <v>351</v>
      </c>
      <c r="E486" s="246">
        <v>0.0</v>
      </c>
      <c r="F486" s="246" t="s">
        <v>343</v>
      </c>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244" t="s">
        <v>663</v>
      </c>
      <c r="B487" s="245" t="s">
        <v>170</v>
      </c>
      <c r="C487" s="246">
        <v>0.0</v>
      </c>
      <c r="D487" s="246" t="s">
        <v>343</v>
      </c>
      <c r="E487" s="246">
        <v>0.0</v>
      </c>
      <c r="F487" s="246">
        <v>0.0</v>
      </c>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244" t="s">
        <v>664</v>
      </c>
      <c r="B488" s="245" t="s">
        <v>170</v>
      </c>
      <c r="C488" s="246">
        <v>0.0</v>
      </c>
      <c r="D488" s="246" t="s">
        <v>347</v>
      </c>
      <c r="E488" s="246" t="s">
        <v>343</v>
      </c>
      <c r="F488" s="246" t="s">
        <v>343</v>
      </c>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244" t="s">
        <v>667</v>
      </c>
      <c r="B489" s="245" t="s">
        <v>170</v>
      </c>
      <c r="C489" s="246">
        <v>0.0</v>
      </c>
      <c r="D489" s="246" t="s">
        <v>343</v>
      </c>
      <c r="E489" s="246">
        <v>0.0</v>
      </c>
      <c r="F489" s="246">
        <v>0.0</v>
      </c>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244" t="s">
        <v>669</v>
      </c>
      <c r="B490" s="245" t="s">
        <v>670</v>
      </c>
      <c r="C490" s="246" t="s">
        <v>343</v>
      </c>
      <c r="D490" s="246" t="s">
        <v>351</v>
      </c>
      <c r="E490" s="246">
        <v>0.0</v>
      </c>
      <c r="F490" s="246" t="s">
        <v>343</v>
      </c>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244" t="s">
        <v>674</v>
      </c>
      <c r="B491" s="245" t="s">
        <v>172</v>
      </c>
      <c r="C491" s="246">
        <v>0.0</v>
      </c>
      <c r="D491" s="246" t="s">
        <v>343</v>
      </c>
      <c r="E491" s="246">
        <v>0.0</v>
      </c>
      <c r="F491" s="246">
        <v>0.0</v>
      </c>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244" t="s">
        <v>901</v>
      </c>
      <c r="B492" s="245" t="s">
        <v>175</v>
      </c>
      <c r="C492" s="246" t="s">
        <v>343</v>
      </c>
      <c r="D492" s="246" t="s">
        <v>343</v>
      </c>
      <c r="E492" s="246">
        <v>0.0</v>
      </c>
      <c r="F492" s="246">
        <v>0.0</v>
      </c>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244" t="s">
        <v>679</v>
      </c>
      <c r="B493" s="245" t="s">
        <v>175</v>
      </c>
      <c r="C493" s="246" t="s">
        <v>343</v>
      </c>
      <c r="D493" s="246" t="s">
        <v>343</v>
      </c>
      <c r="E493" s="246" t="s">
        <v>343</v>
      </c>
      <c r="F493" s="246" t="s">
        <v>343</v>
      </c>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244" t="s">
        <v>680</v>
      </c>
      <c r="B494" s="245" t="s">
        <v>175</v>
      </c>
      <c r="C494" s="246" t="s">
        <v>343</v>
      </c>
      <c r="D494" s="246" t="s">
        <v>343</v>
      </c>
      <c r="E494" s="246" t="s">
        <v>343</v>
      </c>
      <c r="F494" s="246" t="s">
        <v>343</v>
      </c>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244" t="s">
        <v>682</v>
      </c>
      <c r="B495" s="245" t="s">
        <v>176</v>
      </c>
      <c r="C495" s="246">
        <v>0.0</v>
      </c>
      <c r="D495" s="246" t="s">
        <v>343</v>
      </c>
      <c r="E495" s="246">
        <v>0.0</v>
      </c>
      <c r="F495" s="246">
        <v>0.0</v>
      </c>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244" t="s">
        <v>684</v>
      </c>
      <c r="B496" s="245" t="s">
        <v>176</v>
      </c>
      <c r="C496" s="246">
        <v>0.0</v>
      </c>
      <c r="D496" s="246" t="s">
        <v>343</v>
      </c>
      <c r="E496" s="246">
        <v>0.0</v>
      </c>
      <c r="F496" s="246">
        <v>0.0</v>
      </c>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244" t="s">
        <v>689</v>
      </c>
      <c r="B497" s="245" t="s">
        <v>177</v>
      </c>
      <c r="C497" s="246">
        <v>0.0</v>
      </c>
      <c r="D497" s="246" t="s">
        <v>343</v>
      </c>
      <c r="E497" s="246">
        <v>0.0</v>
      </c>
      <c r="F497" s="246">
        <v>0.0</v>
      </c>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244" t="s">
        <v>690</v>
      </c>
      <c r="B498" s="245" t="s">
        <v>177</v>
      </c>
      <c r="C498" s="246">
        <v>0.0</v>
      </c>
      <c r="D498" s="246" t="s">
        <v>343</v>
      </c>
      <c r="E498" s="246">
        <v>0.0</v>
      </c>
      <c r="F498" s="246">
        <v>0.0</v>
      </c>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244" t="s">
        <v>691</v>
      </c>
      <c r="B499" s="245" t="s">
        <v>177</v>
      </c>
      <c r="C499" s="246">
        <v>0.0</v>
      </c>
      <c r="D499" s="246" t="s">
        <v>343</v>
      </c>
      <c r="E499" s="246">
        <v>0.0</v>
      </c>
      <c r="F499" s="246">
        <v>0.0</v>
      </c>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244" t="s">
        <v>692</v>
      </c>
      <c r="B500" s="245" t="s">
        <v>177</v>
      </c>
      <c r="C500" s="246" t="s">
        <v>343</v>
      </c>
      <c r="D500" s="246" t="s">
        <v>343</v>
      </c>
      <c r="E500" s="246">
        <v>0.0</v>
      </c>
      <c r="F500" s="246">
        <v>0.0</v>
      </c>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244" t="s">
        <v>693</v>
      </c>
      <c r="B501" s="245" t="s">
        <v>177</v>
      </c>
      <c r="C501" s="246">
        <v>0.0</v>
      </c>
      <c r="D501" s="246" t="s">
        <v>343</v>
      </c>
      <c r="E501" s="246">
        <v>0.0</v>
      </c>
      <c r="F501" s="246">
        <v>0.0</v>
      </c>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244" t="s">
        <v>694</v>
      </c>
      <c r="B502" s="245" t="s">
        <v>177</v>
      </c>
      <c r="C502" s="246">
        <v>0.0</v>
      </c>
      <c r="D502" s="246" t="s">
        <v>343</v>
      </c>
      <c r="E502" s="246">
        <v>0.0</v>
      </c>
      <c r="F502" s="246">
        <v>0.0</v>
      </c>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244" t="s">
        <v>695</v>
      </c>
      <c r="B503" s="245" t="s">
        <v>177</v>
      </c>
      <c r="C503" s="246" t="s">
        <v>343</v>
      </c>
      <c r="D503" s="246" t="s">
        <v>347</v>
      </c>
      <c r="E503" s="246">
        <v>0.0</v>
      </c>
      <c r="F503" s="246">
        <v>0.0</v>
      </c>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244" t="s">
        <v>696</v>
      </c>
      <c r="B504" s="245" t="s">
        <v>177</v>
      </c>
      <c r="C504" s="246">
        <v>0.0</v>
      </c>
      <c r="D504" s="246" t="s">
        <v>343</v>
      </c>
      <c r="E504" s="246">
        <v>0.0</v>
      </c>
      <c r="F504" s="246">
        <v>0.0</v>
      </c>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244" t="s">
        <v>697</v>
      </c>
      <c r="B505" s="245" t="s">
        <v>178</v>
      </c>
      <c r="C505" s="246">
        <v>0.0</v>
      </c>
      <c r="D505" s="246" t="s">
        <v>343</v>
      </c>
      <c r="E505" s="246">
        <v>0.0</v>
      </c>
      <c r="F505" s="246">
        <v>0.0</v>
      </c>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244" t="s">
        <v>698</v>
      </c>
      <c r="B506" s="245" t="s">
        <v>178</v>
      </c>
      <c r="C506" s="246">
        <v>0.0</v>
      </c>
      <c r="D506" s="246" t="s">
        <v>343</v>
      </c>
      <c r="E506" s="246">
        <v>0.0</v>
      </c>
      <c r="F506" s="246">
        <v>0.0</v>
      </c>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244" t="s">
        <v>699</v>
      </c>
      <c r="B507" s="245" t="s">
        <v>178</v>
      </c>
      <c r="C507" s="246">
        <v>0.0</v>
      </c>
      <c r="D507" s="246" t="s">
        <v>343</v>
      </c>
      <c r="E507" s="246" t="s">
        <v>343</v>
      </c>
      <c r="F507" s="246" t="s">
        <v>343</v>
      </c>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244" t="s">
        <v>701</v>
      </c>
      <c r="B508" s="245" t="s">
        <v>702</v>
      </c>
      <c r="C508" s="246">
        <v>0.0</v>
      </c>
      <c r="D508" s="246" t="s">
        <v>343</v>
      </c>
      <c r="E508" s="246">
        <v>0.0</v>
      </c>
      <c r="F508" s="246" t="s">
        <v>343</v>
      </c>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244" t="s">
        <v>703</v>
      </c>
      <c r="B509" s="245" t="s">
        <v>702</v>
      </c>
      <c r="C509" s="246">
        <v>0.0</v>
      </c>
      <c r="D509" s="246" t="s">
        <v>343</v>
      </c>
      <c r="E509" s="246">
        <v>0.0</v>
      </c>
      <c r="F509" s="246">
        <v>0.0</v>
      </c>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244" t="s">
        <v>704</v>
      </c>
      <c r="B510" s="245" t="s">
        <v>702</v>
      </c>
      <c r="C510" s="246" t="s">
        <v>343</v>
      </c>
      <c r="D510" s="246" t="s">
        <v>347</v>
      </c>
      <c r="E510" s="246">
        <v>0.0</v>
      </c>
      <c r="F510" s="246">
        <v>0.0</v>
      </c>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244" t="s">
        <v>902</v>
      </c>
      <c r="B511" s="245" t="s">
        <v>179</v>
      </c>
      <c r="C511" s="246" t="s">
        <v>343</v>
      </c>
      <c r="D511" s="246" t="s">
        <v>343</v>
      </c>
      <c r="E511" s="246">
        <v>0.0</v>
      </c>
      <c r="F511" s="246">
        <v>0.0</v>
      </c>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244" t="s">
        <v>705</v>
      </c>
      <c r="B512" s="245" t="s">
        <v>179</v>
      </c>
      <c r="C512" s="246" t="s">
        <v>347</v>
      </c>
      <c r="D512" s="246" t="s">
        <v>361</v>
      </c>
      <c r="E512" s="246">
        <v>0.0</v>
      </c>
      <c r="F512" s="246">
        <v>0.0</v>
      </c>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244" t="s">
        <v>706</v>
      </c>
      <c r="B513" s="245" t="s">
        <v>179</v>
      </c>
      <c r="C513" s="246">
        <v>0.0</v>
      </c>
      <c r="D513" s="246" t="s">
        <v>347</v>
      </c>
      <c r="E513" s="246">
        <v>0.0</v>
      </c>
      <c r="F513" s="246">
        <v>0.0</v>
      </c>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244" t="s">
        <v>707</v>
      </c>
      <c r="B514" s="245" t="s">
        <v>179</v>
      </c>
      <c r="C514" s="246" t="s">
        <v>343</v>
      </c>
      <c r="D514" s="246" t="s">
        <v>347</v>
      </c>
      <c r="E514" s="246" t="s">
        <v>343</v>
      </c>
      <c r="F514" s="246" t="s">
        <v>343</v>
      </c>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244" t="s">
        <v>708</v>
      </c>
      <c r="B515" s="245" t="s">
        <v>179</v>
      </c>
      <c r="C515" s="246" t="s">
        <v>343</v>
      </c>
      <c r="D515" s="246" t="s">
        <v>347</v>
      </c>
      <c r="E515" s="246">
        <v>0.0</v>
      </c>
      <c r="F515" s="246" t="s">
        <v>343</v>
      </c>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244" t="s">
        <v>709</v>
      </c>
      <c r="B516" s="245" t="s">
        <v>179</v>
      </c>
      <c r="C516" s="246" t="s">
        <v>343</v>
      </c>
      <c r="D516" s="246" t="s">
        <v>343</v>
      </c>
      <c r="E516" s="246">
        <v>0.0</v>
      </c>
      <c r="F516" s="246">
        <v>0.0</v>
      </c>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244" t="s">
        <v>710</v>
      </c>
      <c r="B517" s="245" t="s">
        <v>179</v>
      </c>
      <c r="C517" s="246">
        <v>0.0</v>
      </c>
      <c r="D517" s="246" t="s">
        <v>343</v>
      </c>
      <c r="E517" s="246">
        <v>0.0</v>
      </c>
      <c r="F517" s="246">
        <v>0.0</v>
      </c>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244" t="s">
        <v>711</v>
      </c>
      <c r="B518" s="245" t="s">
        <v>179</v>
      </c>
      <c r="C518" s="246" t="s">
        <v>343</v>
      </c>
      <c r="D518" s="246" t="s">
        <v>347</v>
      </c>
      <c r="E518" s="246">
        <v>0.0</v>
      </c>
      <c r="F518" s="246">
        <v>0.0</v>
      </c>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244" t="s">
        <v>903</v>
      </c>
      <c r="B519" s="245" t="s">
        <v>179</v>
      </c>
      <c r="C519" s="246">
        <v>0.0</v>
      </c>
      <c r="D519" s="246" t="s">
        <v>343</v>
      </c>
      <c r="E519" s="246">
        <v>0.0</v>
      </c>
      <c r="F519" s="246">
        <v>0.0</v>
      </c>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244" t="s">
        <v>712</v>
      </c>
      <c r="B520" s="245" t="s">
        <v>179</v>
      </c>
      <c r="C520" s="246" t="s">
        <v>343</v>
      </c>
      <c r="D520" s="246" t="s">
        <v>351</v>
      </c>
      <c r="E520" s="246">
        <v>0.0</v>
      </c>
      <c r="F520" s="246">
        <v>0.0</v>
      </c>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244" t="s">
        <v>713</v>
      </c>
      <c r="B521" s="245" t="s">
        <v>179</v>
      </c>
      <c r="C521" s="246" t="s">
        <v>343</v>
      </c>
      <c r="D521" s="246" t="s">
        <v>347</v>
      </c>
      <c r="E521" s="246">
        <v>0.0</v>
      </c>
      <c r="F521" s="246">
        <v>0.0</v>
      </c>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244" t="s">
        <v>904</v>
      </c>
      <c r="B522" s="245" t="s">
        <v>179</v>
      </c>
      <c r="C522" s="246" t="s">
        <v>343</v>
      </c>
      <c r="D522" s="246" t="s">
        <v>347</v>
      </c>
      <c r="E522" s="246">
        <v>0.0</v>
      </c>
      <c r="F522" s="246" t="s">
        <v>343</v>
      </c>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244" t="s">
        <v>714</v>
      </c>
      <c r="B523" s="245" t="s">
        <v>179</v>
      </c>
      <c r="C523" s="246" t="s">
        <v>343</v>
      </c>
      <c r="D523" s="246" t="s">
        <v>347</v>
      </c>
      <c r="E523" s="246">
        <v>0.0</v>
      </c>
      <c r="F523" s="246" t="s">
        <v>343</v>
      </c>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244" t="s">
        <v>715</v>
      </c>
      <c r="B524" s="245" t="s">
        <v>179</v>
      </c>
      <c r="C524" s="246">
        <v>0.0</v>
      </c>
      <c r="D524" s="246" t="s">
        <v>343</v>
      </c>
      <c r="E524" s="246">
        <v>0.0</v>
      </c>
      <c r="F524" s="246">
        <v>0.0</v>
      </c>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244" t="s">
        <v>905</v>
      </c>
      <c r="B525" s="245" t="s">
        <v>179</v>
      </c>
      <c r="C525" s="246">
        <v>0.0</v>
      </c>
      <c r="D525" s="246" t="s">
        <v>347</v>
      </c>
      <c r="E525" s="246">
        <v>0.0</v>
      </c>
      <c r="F525" s="246">
        <v>0.0</v>
      </c>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244" t="s">
        <v>717</v>
      </c>
      <c r="B526" s="245" t="s">
        <v>179</v>
      </c>
      <c r="C526" s="246" t="s">
        <v>343</v>
      </c>
      <c r="D526" s="246" t="s">
        <v>379</v>
      </c>
      <c r="E526" s="246">
        <v>0.0</v>
      </c>
      <c r="F526" s="246">
        <v>0.0</v>
      </c>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244" t="s">
        <v>720</v>
      </c>
      <c r="B527" s="245" t="s">
        <v>180</v>
      </c>
      <c r="C527" s="246">
        <v>0.0</v>
      </c>
      <c r="D527" s="246" t="s">
        <v>343</v>
      </c>
      <c r="E527" s="246">
        <v>0.0</v>
      </c>
      <c r="F527" s="246">
        <v>0.0</v>
      </c>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244" t="s">
        <v>721</v>
      </c>
      <c r="B528" s="245" t="s">
        <v>180</v>
      </c>
      <c r="C528" s="246">
        <v>0.0</v>
      </c>
      <c r="D528" s="246" t="s">
        <v>343</v>
      </c>
      <c r="E528" s="246">
        <v>0.0</v>
      </c>
      <c r="F528" s="246">
        <v>0.0</v>
      </c>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244" t="s">
        <v>906</v>
      </c>
      <c r="B529" s="245" t="s">
        <v>723</v>
      </c>
      <c r="C529" s="246">
        <v>0.0</v>
      </c>
      <c r="D529" s="246">
        <v>0.0</v>
      </c>
      <c r="E529" s="246">
        <v>0.0</v>
      </c>
      <c r="F529" s="246" t="s">
        <v>343</v>
      </c>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244" t="s">
        <v>731</v>
      </c>
      <c r="B530" s="245" t="s">
        <v>723</v>
      </c>
      <c r="C530" s="246">
        <v>0.0</v>
      </c>
      <c r="D530" s="246" t="s">
        <v>343</v>
      </c>
      <c r="E530" s="246">
        <v>0.0</v>
      </c>
      <c r="F530" s="246">
        <v>0.0</v>
      </c>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244" t="s">
        <v>907</v>
      </c>
      <c r="B531" s="245" t="s">
        <v>723</v>
      </c>
      <c r="C531" s="246">
        <v>0.0</v>
      </c>
      <c r="D531" s="246" t="s">
        <v>343</v>
      </c>
      <c r="E531" s="246">
        <v>0.0</v>
      </c>
      <c r="F531" s="246">
        <v>0.0</v>
      </c>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244" t="s">
        <v>739</v>
      </c>
      <c r="B532" s="245" t="s">
        <v>723</v>
      </c>
      <c r="C532" s="246">
        <v>0.0</v>
      </c>
      <c r="D532" s="246" t="s">
        <v>343</v>
      </c>
      <c r="E532" s="246">
        <v>0.0</v>
      </c>
      <c r="F532" s="246">
        <v>0.0</v>
      </c>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244" t="s">
        <v>741</v>
      </c>
      <c r="B533" s="245" t="s">
        <v>723</v>
      </c>
      <c r="C533" s="246">
        <v>0.0</v>
      </c>
      <c r="D533" s="246" t="s">
        <v>343</v>
      </c>
      <c r="E533" s="246">
        <v>0.0</v>
      </c>
      <c r="F533" s="246">
        <v>0.0</v>
      </c>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244" t="s">
        <v>744</v>
      </c>
      <c r="B534" s="245" t="s">
        <v>723</v>
      </c>
      <c r="C534" s="246">
        <v>0.0</v>
      </c>
      <c r="D534" s="246" t="s">
        <v>343</v>
      </c>
      <c r="E534" s="246">
        <v>0.0</v>
      </c>
      <c r="F534" s="246">
        <v>0.0</v>
      </c>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244" t="s">
        <v>745</v>
      </c>
      <c r="B535" s="245" t="s">
        <v>723</v>
      </c>
      <c r="C535" s="246">
        <v>0.0</v>
      </c>
      <c r="D535" s="246" t="s">
        <v>343</v>
      </c>
      <c r="E535" s="246">
        <v>0.0</v>
      </c>
      <c r="F535" s="246">
        <v>0.0</v>
      </c>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244" t="s">
        <v>746</v>
      </c>
      <c r="B536" s="245" t="s">
        <v>723</v>
      </c>
      <c r="C536" s="246">
        <v>0.0</v>
      </c>
      <c r="D536" s="246" t="s">
        <v>343</v>
      </c>
      <c r="E536" s="246">
        <v>0.0</v>
      </c>
      <c r="F536" s="246">
        <v>0.0</v>
      </c>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244" t="s">
        <v>749</v>
      </c>
      <c r="B537" s="245" t="s">
        <v>723</v>
      </c>
      <c r="C537" s="246">
        <v>0.0</v>
      </c>
      <c r="D537" s="246">
        <v>0.0</v>
      </c>
      <c r="E537" s="246">
        <v>0.0</v>
      </c>
      <c r="F537" s="246" t="s">
        <v>343</v>
      </c>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244" t="s">
        <v>753</v>
      </c>
      <c r="B538" s="245" t="s">
        <v>723</v>
      </c>
      <c r="C538" s="246" t="s">
        <v>343</v>
      </c>
      <c r="D538" s="246" t="s">
        <v>343</v>
      </c>
      <c r="E538" s="246">
        <v>0.0</v>
      </c>
      <c r="F538" s="246">
        <v>0.0</v>
      </c>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244" t="s">
        <v>756</v>
      </c>
      <c r="B539" s="245" t="s">
        <v>723</v>
      </c>
      <c r="C539" s="246">
        <v>0.0</v>
      </c>
      <c r="D539" s="246" t="s">
        <v>343</v>
      </c>
      <c r="E539" s="246">
        <v>0.0</v>
      </c>
      <c r="F539" s="246">
        <v>0.0</v>
      </c>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244" t="s">
        <v>757</v>
      </c>
      <c r="B540" s="245" t="s">
        <v>723</v>
      </c>
      <c r="C540" s="246">
        <v>0.0</v>
      </c>
      <c r="D540" s="246">
        <v>0.0</v>
      </c>
      <c r="E540" s="246">
        <v>0.0</v>
      </c>
      <c r="F540" s="246" t="s">
        <v>343</v>
      </c>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244" t="s">
        <v>759</v>
      </c>
      <c r="B541" s="245" t="s">
        <v>723</v>
      </c>
      <c r="C541" s="246">
        <v>0.0</v>
      </c>
      <c r="D541" s="246" t="s">
        <v>343</v>
      </c>
      <c r="E541" s="246">
        <v>0.0</v>
      </c>
      <c r="F541" s="246">
        <v>0.0</v>
      </c>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244" t="s">
        <v>765</v>
      </c>
      <c r="B542" s="245" t="s">
        <v>723</v>
      </c>
      <c r="C542" s="246" t="s">
        <v>343</v>
      </c>
      <c r="D542" s="246" t="s">
        <v>343</v>
      </c>
      <c r="E542" s="246">
        <v>0.0</v>
      </c>
      <c r="F542" s="246">
        <v>0.0</v>
      </c>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244" t="s">
        <v>766</v>
      </c>
      <c r="B543" s="245" t="s">
        <v>723</v>
      </c>
      <c r="C543" s="246" t="s">
        <v>343</v>
      </c>
      <c r="D543" s="246" t="s">
        <v>343</v>
      </c>
      <c r="E543" s="246">
        <v>0.0</v>
      </c>
      <c r="F543" s="246">
        <v>0.0</v>
      </c>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244" t="s">
        <v>767</v>
      </c>
      <c r="B544" s="245" t="s">
        <v>723</v>
      </c>
      <c r="C544" s="246">
        <v>0.0</v>
      </c>
      <c r="D544" s="246" t="s">
        <v>343</v>
      </c>
      <c r="E544" s="246">
        <v>0.0</v>
      </c>
      <c r="F544" s="246">
        <v>0.0</v>
      </c>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244" t="s">
        <v>769</v>
      </c>
      <c r="B545" s="245" t="s">
        <v>723</v>
      </c>
      <c r="C545" s="246">
        <v>0.0</v>
      </c>
      <c r="D545" s="246" t="s">
        <v>343</v>
      </c>
      <c r="E545" s="246">
        <v>0.0</v>
      </c>
      <c r="F545" s="246">
        <v>0.0</v>
      </c>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244" t="s">
        <v>771</v>
      </c>
      <c r="B546" s="245" t="s">
        <v>181</v>
      </c>
      <c r="C546" s="246" t="s">
        <v>343</v>
      </c>
      <c r="D546" s="246" t="s">
        <v>347</v>
      </c>
      <c r="E546" s="246">
        <v>0.0</v>
      </c>
      <c r="F546" s="246">
        <v>0.0</v>
      </c>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244" t="s">
        <v>772</v>
      </c>
      <c r="B547" s="245" t="s">
        <v>181</v>
      </c>
      <c r="C547" s="246">
        <v>0.0</v>
      </c>
      <c r="D547" s="246" t="s">
        <v>347</v>
      </c>
      <c r="E547" s="246" t="s">
        <v>343</v>
      </c>
      <c r="F547" s="246" t="s">
        <v>343</v>
      </c>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244" t="s">
        <v>773</v>
      </c>
      <c r="B548" s="245" t="s">
        <v>181</v>
      </c>
      <c r="C548" s="246">
        <v>0.0</v>
      </c>
      <c r="D548" s="246" t="s">
        <v>343</v>
      </c>
      <c r="E548" s="246">
        <v>0.0</v>
      </c>
      <c r="F548" s="246">
        <v>0.0</v>
      </c>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244" t="s">
        <v>774</v>
      </c>
      <c r="B549" s="245" t="s">
        <v>181</v>
      </c>
      <c r="C549" s="246" t="s">
        <v>343</v>
      </c>
      <c r="D549" s="246" t="s">
        <v>343</v>
      </c>
      <c r="E549" s="246">
        <v>0.0</v>
      </c>
      <c r="F549" s="246">
        <v>0.0</v>
      </c>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244" t="s">
        <v>775</v>
      </c>
      <c r="B550" s="245" t="s">
        <v>181</v>
      </c>
      <c r="C550" s="246" t="s">
        <v>343</v>
      </c>
      <c r="D550" s="246" t="s">
        <v>347</v>
      </c>
      <c r="E550" s="246">
        <v>0.0</v>
      </c>
      <c r="F550" s="246">
        <v>0.0</v>
      </c>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244" t="s">
        <v>776</v>
      </c>
      <c r="B551" s="245" t="s">
        <v>181</v>
      </c>
      <c r="C551" s="246">
        <v>0.0</v>
      </c>
      <c r="D551" s="246" t="s">
        <v>347</v>
      </c>
      <c r="E551" s="246">
        <v>0.0</v>
      </c>
      <c r="F551" s="246">
        <v>0.0</v>
      </c>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244" t="s">
        <v>777</v>
      </c>
      <c r="B552" s="245" t="s">
        <v>181</v>
      </c>
      <c r="C552" s="246" t="s">
        <v>343</v>
      </c>
      <c r="D552" s="246" t="s">
        <v>345</v>
      </c>
      <c r="E552" s="246">
        <v>0.0</v>
      </c>
      <c r="F552" s="246" t="s">
        <v>343</v>
      </c>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244" t="s">
        <v>779</v>
      </c>
      <c r="B553" s="245" t="s">
        <v>181</v>
      </c>
      <c r="C553" s="246" t="s">
        <v>343</v>
      </c>
      <c r="D553" s="246" t="s">
        <v>345</v>
      </c>
      <c r="E553" s="246">
        <v>0.0</v>
      </c>
      <c r="F553" s="246" t="s">
        <v>343</v>
      </c>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244" t="s">
        <v>780</v>
      </c>
      <c r="B554" s="245" t="s">
        <v>181</v>
      </c>
      <c r="C554" s="246">
        <v>0.0</v>
      </c>
      <c r="D554" s="246" t="s">
        <v>347</v>
      </c>
      <c r="E554" s="246">
        <v>0.0</v>
      </c>
      <c r="F554" s="246">
        <v>0.0</v>
      </c>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244" t="s">
        <v>781</v>
      </c>
      <c r="B555" s="245" t="s">
        <v>181</v>
      </c>
      <c r="C555" s="246" t="s">
        <v>343</v>
      </c>
      <c r="D555" s="246" t="s">
        <v>343</v>
      </c>
      <c r="E555" s="246">
        <v>0.0</v>
      </c>
      <c r="F555" s="246">
        <v>0.0</v>
      </c>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244" t="s">
        <v>782</v>
      </c>
      <c r="B556" s="245" t="s">
        <v>181</v>
      </c>
      <c r="C556" s="246" t="s">
        <v>343</v>
      </c>
      <c r="D556" s="246" t="s">
        <v>347</v>
      </c>
      <c r="E556" s="246">
        <v>0.0</v>
      </c>
      <c r="F556" s="246">
        <v>0.0</v>
      </c>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244" t="s">
        <v>783</v>
      </c>
      <c r="B557" s="245" t="s">
        <v>181</v>
      </c>
      <c r="C557" s="246">
        <v>0.0</v>
      </c>
      <c r="D557" s="246" t="s">
        <v>347</v>
      </c>
      <c r="E557" s="246">
        <v>0.0</v>
      </c>
      <c r="F557" s="246">
        <v>0.0</v>
      </c>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244" t="s">
        <v>784</v>
      </c>
      <c r="B558" s="245" t="s">
        <v>181</v>
      </c>
      <c r="C558" s="246" t="s">
        <v>343</v>
      </c>
      <c r="D558" s="246" t="s">
        <v>343</v>
      </c>
      <c r="E558" s="246">
        <v>0.0</v>
      </c>
      <c r="F558" s="246">
        <v>0.0</v>
      </c>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244" t="s">
        <v>786</v>
      </c>
      <c r="B559" s="245" t="s">
        <v>181</v>
      </c>
      <c r="C559" s="246">
        <v>0.0</v>
      </c>
      <c r="D559" s="246" t="s">
        <v>347</v>
      </c>
      <c r="E559" s="246">
        <v>0.0</v>
      </c>
      <c r="F559" s="246">
        <v>0.0</v>
      </c>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244" t="s">
        <v>787</v>
      </c>
      <c r="B560" s="245" t="s">
        <v>181</v>
      </c>
      <c r="C560" s="246" t="s">
        <v>343</v>
      </c>
      <c r="D560" s="246" t="s">
        <v>347</v>
      </c>
      <c r="E560" s="246">
        <v>0.0</v>
      </c>
      <c r="F560" s="246">
        <v>0.0</v>
      </c>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244" t="s">
        <v>788</v>
      </c>
      <c r="B561" s="245" t="s">
        <v>181</v>
      </c>
      <c r="C561" s="246" t="s">
        <v>343</v>
      </c>
      <c r="D561" s="246" t="s">
        <v>345</v>
      </c>
      <c r="E561" s="246">
        <v>0.0</v>
      </c>
      <c r="F561" s="246">
        <v>0.0</v>
      </c>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244" t="s">
        <v>789</v>
      </c>
      <c r="B562" s="245" t="s">
        <v>181</v>
      </c>
      <c r="C562" s="246">
        <v>0.0</v>
      </c>
      <c r="D562" s="246" t="s">
        <v>343</v>
      </c>
      <c r="E562" s="246">
        <v>0.0</v>
      </c>
      <c r="F562" s="246">
        <v>0.0</v>
      </c>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244" t="s">
        <v>908</v>
      </c>
      <c r="B563" s="245" t="s">
        <v>181</v>
      </c>
      <c r="C563" s="246" t="s">
        <v>343</v>
      </c>
      <c r="D563" s="246" t="s">
        <v>343</v>
      </c>
      <c r="E563" s="246">
        <v>0.0</v>
      </c>
      <c r="F563" s="246">
        <v>0.0</v>
      </c>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244" t="s">
        <v>790</v>
      </c>
      <c r="B564" s="245" t="s">
        <v>181</v>
      </c>
      <c r="C564" s="246">
        <v>0.0</v>
      </c>
      <c r="D564" s="246" t="s">
        <v>345</v>
      </c>
      <c r="E564" s="246">
        <v>0.0</v>
      </c>
      <c r="F564" s="246" t="s">
        <v>343</v>
      </c>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244" t="s">
        <v>791</v>
      </c>
      <c r="B565" s="245" t="s">
        <v>181</v>
      </c>
      <c r="C565" s="246" t="s">
        <v>343</v>
      </c>
      <c r="D565" s="246" t="s">
        <v>343</v>
      </c>
      <c r="E565" s="246">
        <v>0.0</v>
      </c>
      <c r="F565" s="246">
        <v>0.0</v>
      </c>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244" t="s">
        <v>792</v>
      </c>
      <c r="B566" s="245" t="s">
        <v>181</v>
      </c>
      <c r="C566" s="246">
        <v>0.0</v>
      </c>
      <c r="D566" s="246" t="s">
        <v>343</v>
      </c>
      <c r="E566" s="246">
        <v>0.0</v>
      </c>
      <c r="F566" s="246">
        <v>0.0</v>
      </c>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244" t="s">
        <v>794</v>
      </c>
      <c r="B567" s="245" t="s">
        <v>181</v>
      </c>
      <c r="C567" s="246">
        <v>0.0</v>
      </c>
      <c r="D567" s="246" t="s">
        <v>343</v>
      </c>
      <c r="E567" s="246">
        <v>0.0</v>
      </c>
      <c r="F567" s="246">
        <v>0.0</v>
      </c>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244" t="s">
        <v>795</v>
      </c>
      <c r="B568" s="245" t="s">
        <v>181</v>
      </c>
      <c r="C568" s="246" t="s">
        <v>343</v>
      </c>
      <c r="D568" s="246" t="s">
        <v>351</v>
      </c>
      <c r="E568" s="246">
        <v>0.0</v>
      </c>
      <c r="F568" s="246">
        <v>0.0</v>
      </c>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244" t="s">
        <v>796</v>
      </c>
      <c r="B569" s="245" t="s">
        <v>181</v>
      </c>
      <c r="C569" s="246">
        <v>0.0</v>
      </c>
      <c r="D569" s="246" t="s">
        <v>343</v>
      </c>
      <c r="E569" s="246">
        <v>0.0</v>
      </c>
      <c r="F569" s="246" t="s">
        <v>343</v>
      </c>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244" t="s">
        <v>797</v>
      </c>
      <c r="B570" s="245" t="s">
        <v>181</v>
      </c>
      <c r="C570" s="246" t="s">
        <v>343</v>
      </c>
      <c r="D570" s="246" t="s">
        <v>347</v>
      </c>
      <c r="E570" s="246">
        <v>0.0</v>
      </c>
      <c r="F570" s="246">
        <v>0.0</v>
      </c>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244" t="s">
        <v>798</v>
      </c>
      <c r="B571" s="245" t="s">
        <v>181</v>
      </c>
      <c r="C571" s="246">
        <v>0.0</v>
      </c>
      <c r="D571" s="246" t="s">
        <v>347</v>
      </c>
      <c r="E571" s="246">
        <v>0.0</v>
      </c>
      <c r="F571" s="246">
        <v>0.0</v>
      </c>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244" t="s">
        <v>799</v>
      </c>
      <c r="B572" s="245" t="s">
        <v>181</v>
      </c>
      <c r="C572" s="246">
        <v>0.0</v>
      </c>
      <c r="D572" s="246" t="s">
        <v>347</v>
      </c>
      <c r="E572" s="246">
        <v>0.0</v>
      </c>
      <c r="F572" s="246">
        <v>0.0</v>
      </c>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244" t="s">
        <v>909</v>
      </c>
      <c r="B573" s="245" t="s">
        <v>181</v>
      </c>
      <c r="C573" s="246">
        <v>0.0</v>
      </c>
      <c r="D573" s="246" t="s">
        <v>343</v>
      </c>
      <c r="E573" s="246" t="s">
        <v>343</v>
      </c>
      <c r="F573" s="246" t="s">
        <v>343</v>
      </c>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244" t="s">
        <v>801</v>
      </c>
      <c r="B574" s="245" t="s">
        <v>181</v>
      </c>
      <c r="C574" s="246">
        <v>0.0</v>
      </c>
      <c r="D574" s="246" t="s">
        <v>343</v>
      </c>
      <c r="E574" s="246">
        <v>0.0</v>
      </c>
      <c r="F574" s="246">
        <v>0.0</v>
      </c>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244" t="s">
        <v>802</v>
      </c>
      <c r="B575" s="245" t="s">
        <v>181</v>
      </c>
      <c r="C575" s="246" t="s">
        <v>343</v>
      </c>
      <c r="D575" s="246" t="s">
        <v>347</v>
      </c>
      <c r="E575" s="246">
        <v>0.0</v>
      </c>
      <c r="F575" s="246">
        <v>0.0</v>
      </c>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244" t="s">
        <v>804</v>
      </c>
      <c r="B576" s="245" t="s">
        <v>181</v>
      </c>
      <c r="C576" s="246" t="s">
        <v>343</v>
      </c>
      <c r="D576" s="246" t="s">
        <v>345</v>
      </c>
      <c r="E576" s="246">
        <v>0.0</v>
      </c>
      <c r="F576" s="246" t="s">
        <v>343</v>
      </c>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247" t="s">
        <v>805</v>
      </c>
      <c r="B577" s="245" t="s">
        <v>181</v>
      </c>
      <c r="C577" s="246">
        <v>0.0</v>
      </c>
      <c r="D577" s="246" t="s">
        <v>343</v>
      </c>
      <c r="E577" s="246">
        <v>0.0</v>
      </c>
      <c r="F577" s="246">
        <v>0.0</v>
      </c>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244" t="s">
        <v>806</v>
      </c>
      <c r="B578" s="245" t="s">
        <v>181</v>
      </c>
      <c r="C578" s="246">
        <v>0.0</v>
      </c>
      <c r="D578" s="246" t="s">
        <v>347</v>
      </c>
      <c r="E578" s="246">
        <v>0.0</v>
      </c>
      <c r="F578" s="246" t="s">
        <v>343</v>
      </c>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244" t="s">
        <v>807</v>
      </c>
      <c r="B579" s="245" t="s">
        <v>181</v>
      </c>
      <c r="C579" s="246" t="s">
        <v>343</v>
      </c>
      <c r="D579" s="246" t="s">
        <v>343</v>
      </c>
      <c r="E579" s="246">
        <v>0.0</v>
      </c>
      <c r="F579" s="246" t="s">
        <v>343</v>
      </c>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244" t="s">
        <v>808</v>
      </c>
      <c r="B580" s="245" t="s">
        <v>181</v>
      </c>
      <c r="C580" s="246">
        <v>0.0</v>
      </c>
      <c r="D580" s="246" t="s">
        <v>343</v>
      </c>
      <c r="E580" s="246">
        <v>0.0</v>
      </c>
      <c r="F580" s="246">
        <v>0.0</v>
      </c>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244" t="s">
        <v>809</v>
      </c>
      <c r="B581" s="245" t="s">
        <v>181</v>
      </c>
      <c r="C581" s="246" t="s">
        <v>343</v>
      </c>
      <c r="D581" s="246" t="s">
        <v>347</v>
      </c>
      <c r="E581" s="246">
        <v>0.0</v>
      </c>
      <c r="F581" s="246">
        <v>0.0</v>
      </c>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244" t="s">
        <v>810</v>
      </c>
      <c r="B582" s="245" t="s">
        <v>181</v>
      </c>
      <c r="C582" s="246">
        <v>0.0</v>
      </c>
      <c r="D582" s="246" t="s">
        <v>343</v>
      </c>
      <c r="E582" s="246">
        <v>0.0</v>
      </c>
      <c r="F582" s="246">
        <v>0.0</v>
      </c>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244" t="s">
        <v>811</v>
      </c>
      <c r="B583" s="245" t="s">
        <v>181</v>
      </c>
      <c r="C583" s="246">
        <v>0.0</v>
      </c>
      <c r="D583" s="246" t="s">
        <v>347</v>
      </c>
      <c r="E583" s="246">
        <v>0.0</v>
      </c>
      <c r="F583" s="246">
        <v>0.0</v>
      </c>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247" t="s">
        <v>812</v>
      </c>
      <c r="B584" s="245" t="s">
        <v>181</v>
      </c>
      <c r="C584" s="246" t="s">
        <v>343</v>
      </c>
      <c r="D584" s="246" t="s">
        <v>347</v>
      </c>
      <c r="E584" s="246">
        <v>0.0</v>
      </c>
      <c r="F584" s="246">
        <v>0.0</v>
      </c>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244" t="s">
        <v>813</v>
      </c>
      <c r="B585" s="245" t="s">
        <v>181</v>
      </c>
      <c r="C585" s="246">
        <v>0.0</v>
      </c>
      <c r="D585" s="246" t="s">
        <v>343</v>
      </c>
      <c r="E585" s="246">
        <v>0.0</v>
      </c>
      <c r="F585" s="246">
        <v>0.0</v>
      </c>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244" t="s">
        <v>818</v>
      </c>
      <c r="B586" s="245" t="s">
        <v>819</v>
      </c>
      <c r="C586" s="246">
        <v>0.0</v>
      </c>
      <c r="D586" s="246" t="s">
        <v>347</v>
      </c>
      <c r="E586" s="246">
        <v>0.0</v>
      </c>
      <c r="F586" s="246">
        <v>0.0</v>
      </c>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244" t="s">
        <v>910</v>
      </c>
      <c r="B587" s="245" t="s">
        <v>183</v>
      </c>
      <c r="C587" s="246">
        <v>0.0</v>
      </c>
      <c r="D587" s="246">
        <v>0.0</v>
      </c>
      <c r="E587" s="246">
        <v>0.0</v>
      </c>
      <c r="F587" s="246" t="s">
        <v>343</v>
      </c>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244" t="s">
        <v>820</v>
      </c>
      <c r="B588" s="245" t="s">
        <v>183</v>
      </c>
      <c r="C588" s="246" t="s">
        <v>343</v>
      </c>
      <c r="D588" s="246" t="s">
        <v>343</v>
      </c>
      <c r="E588" s="246">
        <v>0.0</v>
      </c>
      <c r="F588" s="246">
        <v>0.0</v>
      </c>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244" t="s">
        <v>822</v>
      </c>
      <c r="B589" s="245" t="s">
        <v>183</v>
      </c>
      <c r="C589" s="246" t="s">
        <v>343</v>
      </c>
      <c r="D589" s="246" t="s">
        <v>343</v>
      </c>
      <c r="E589" s="246">
        <v>0.0</v>
      </c>
      <c r="F589" s="246">
        <v>0.0</v>
      </c>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244" t="s">
        <v>823</v>
      </c>
      <c r="B590" s="245" t="s">
        <v>183</v>
      </c>
      <c r="C590" s="246">
        <v>0.0</v>
      </c>
      <c r="D590" s="246" t="s">
        <v>343</v>
      </c>
      <c r="E590" s="246">
        <v>0.0</v>
      </c>
      <c r="F590" s="246">
        <v>0.0</v>
      </c>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244" t="s">
        <v>824</v>
      </c>
      <c r="B591" s="245" t="s">
        <v>824</v>
      </c>
      <c r="C591" s="246">
        <v>0.0</v>
      </c>
      <c r="D591" s="246" t="s">
        <v>343</v>
      </c>
      <c r="E591" s="246">
        <v>0.0</v>
      </c>
      <c r="F591" s="246">
        <v>0.0</v>
      </c>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244" t="s">
        <v>825</v>
      </c>
      <c r="B592" s="245" t="s">
        <v>826</v>
      </c>
      <c r="C592" s="246">
        <v>0.0</v>
      </c>
      <c r="D592" s="246" t="s">
        <v>343</v>
      </c>
      <c r="E592" s="246">
        <v>0.0</v>
      </c>
      <c r="F592" s="246">
        <v>0.0</v>
      </c>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244" t="s">
        <v>911</v>
      </c>
      <c r="B593" s="245" t="s">
        <v>826</v>
      </c>
      <c r="C593" s="246">
        <v>0.0</v>
      </c>
      <c r="D593" s="246" t="s">
        <v>343</v>
      </c>
      <c r="E593" s="246">
        <v>0.0</v>
      </c>
      <c r="F593" s="246">
        <v>0.0</v>
      </c>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244" t="s">
        <v>827</v>
      </c>
      <c r="B594" s="245" t="s">
        <v>184</v>
      </c>
      <c r="C594" s="246">
        <v>0.0</v>
      </c>
      <c r="D594" s="246">
        <v>0.0</v>
      </c>
      <c r="E594" s="246">
        <v>0.0</v>
      </c>
      <c r="F594" s="246" t="s">
        <v>343</v>
      </c>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244" t="s">
        <v>829</v>
      </c>
      <c r="B595" s="245" t="s">
        <v>184</v>
      </c>
      <c r="C595" s="246">
        <v>0.0</v>
      </c>
      <c r="D595" s="246" t="s">
        <v>343</v>
      </c>
      <c r="E595" s="246">
        <v>0.0</v>
      </c>
      <c r="F595" s="246">
        <v>0.0</v>
      </c>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244" t="s">
        <v>830</v>
      </c>
      <c r="B596" s="245" t="s">
        <v>184</v>
      </c>
      <c r="C596" s="246" t="s">
        <v>343</v>
      </c>
      <c r="D596" s="246" t="s">
        <v>343</v>
      </c>
      <c r="E596" s="246">
        <v>0.0</v>
      </c>
      <c r="F596" s="246">
        <v>0.0</v>
      </c>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244" t="s">
        <v>831</v>
      </c>
      <c r="B597" s="245" t="s">
        <v>184</v>
      </c>
      <c r="C597" s="246">
        <v>0.0</v>
      </c>
      <c r="D597" s="246" t="s">
        <v>347</v>
      </c>
      <c r="E597" s="246">
        <v>0.0</v>
      </c>
      <c r="F597" s="246">
        <v>0.0</v>
      </c>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244" t="s">
        <v>832</v>
      </c>
      <c r="B598" s="245" t="s">
        <v>184</v>
      </c>
      <c r="C598" s="246">
        <v>0.0</v>
      </c>
      <c r="D598" s="246" t="s">
        <v>343</v>
      </c>
      <c r="E598" s="246">
        <v>0.0</v>
      </c>
      <c r="F598" s="246">
        <v>0.0</v>
      </c>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244" t="s">
        <v>833</v>
      </c>
      <c r="B599" s="245" t="s">
        <v>184</v>
      </c>
      <c r="C599" s="246" t="s">
        <v>343</v>
      </c>
      <c r="D599" s="246" t="s">
        <v>343</v>
      </c>
      <c r="E599" s="246">
        <v>0.0</v>
      </c>
      <c r="F599" s="246">
        <v>0.0</v>
      </c>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244" t="s">
        <v>835</v>
      </c>
      <c r="B600" s="245" t="s">
        <v>185</v>
      </c>
      <c r="C600" s="246" t="s">
        <v>343</v>
      </c>
      <c r="D600" s="246" t="s">
        <v>343</v>
      </c>
      <c r="E600" s="246">
        <v>0.0</v>
      </c>
      <c r="F600" s="246">
        <v>0.0</v>
      </c>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244" t="s">
        <v>838</v>
      </c>
      <c r="B601" s="245" t="s">
        <v>185</v>
      </c>
      <c r="C601" s="246">
        <v>0.0</v>
      </c>
      <c r="D601" s="246" t="s">
        <v>343</v>
      </c>
      <c r="E601" s="246">
        <v>0.0</v>
      </c>
      <c r="F601" s="246">
        <v>0.0</v>
      </c>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244" t="s">
        <v>840</v>
      </c>
      <c r="B602" s="245" t="s">
        <v>841</v>
      </c>
      <c r="C602" s="246">
        <v>0.0</v>
      </c>
      <c r="D602" s="246" t="s">
        <v>343</v>
      </c>
      <c r="E602" s="246">
        <v>0.0</v>
      </c>
      <c r="F602" s="246">
        <v>0.0</v>
      </c>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244" t="s">
        <v>843</v>
      </c>
      <c r="B603" s="245" t="s">
        <v>843</v>
      </c>
      <c r="C603" s="246">
        <v>0.0</v>
      </c>
      <c r="D603" s="246" t="s">
        <v>343</v>
      </c>
      <c r="E603" s="246">
        <v>0.0</v>
      </c>
      <c r="F603" s="246">
        <v>0.0</v>
      </c>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244" t="s">
        <v>844</v>
      </c>
      <c r="B604" s="245" t="s">
        <v>844</v>
      </c>
      <c r="C604" s="246">
        <v>0.0</v>
      </c>
      <c r="D604" s="246" t="s">
        <v>343</v>
      </c>
      <c r="E604" s="246">
        <v>0.0</v>
      </c>
      <c r="F604" s="246">
        <v>0.0</v>
      </c>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244" t="s">
        <v>847</v>
      </c>
      <c r="B605" s="245" t="s">
        <v>186</v>
      </c>
      <c r="C605" s="246" t="s">
        <v>343</v>
      </c>
      <c r="D605" s="246" t="s">
        <v>343</v>
      </c>
      <c r="E605" s="246">
        <v>0.0</v>
      </c>
      <c r="F605" s="246">
        <v>0.0</v>
      </c>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244" t="s">
        <v>849</v>
      </c>
      <c r="B606" s="245" t="s">
        <v>849</v>
      </c>
      <c r="C606" s="246" t="s">
        <v>347</v>
      </c>
      <c r="D606" s="246" t="s">
        <v>345</v>
      </c>
      <c r="E606" s="246">
        <v>0.0</v>
      </c>
      <c r="F606" s="246" t="s">
        <v>343</v>
      </c>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244" t="s">
        <v>850</v>
      </c>
      <c r="B607" s="245" t="s">
        <v>851</v>
      </c>
      <c r="C607" s="246">
        <v>0.0</v>
      </c>
      <c r="D607" s="246" t="s">
        <v>343</v>
      </c>
      <c r="E607" s="246">
        <v>0.0</v>
      </c>
      <c r="F607" s="246">
        <v>0.0</v>
      </c>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244" t="s">
        <v>852</v>
      </c>
      <c r="B608" s="245" t="s">
        <v>853</v>
      </c>
      <c r="C608" s="246" t="s">
        <v>343</v>
      </c>
      <c r="D608" s="246" t="s">
        <v>345</v>
      </c>
      <c r="E608" s="246">
        <v>0.0</v>
      </c>
      <c r="F608" s="246">
        <v>0.0</v>
      </c>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244" t="s">
        <v>854</v>
      </c>
      <c r="B609" s="245" t="s">
        <v>188</v>
      </c>
      <c r="C609" s="246">
        <v>0.0</v>
      </c>
      <c r="D609" s="246" t="s">
        <v>343</v>
      </c>
      <c r="E609" s="246">
        <v>0.0</v>
      </c>
      <c r="F609" s="246">
        <v>0.0</v>
      </c>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244" t="s">
        <v>855</v>
      </c>
      <c r="B610" s="245" t="s">
        <v>188</v>
      </c>
      <c r="C610" s="246">
        <v>0.0</v>
      </c>
      <c r="D610" s="246" t="s">
        <v>343</v>
      </c>
      <c r="E610" s="246">
        <v>0.0</v>
      </c>
      <c r="F610" s="246">
        <v>0.0</v>
      </c>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244" t="s">
        <v>857</v>
      </c>
      <c r="B611" s="245" t="s">
        <v>188</v>
      </c>
      <c r="C611" s="246">
        <v>0.0</v>
      </c>
      <c r="D611" s="246" t="s">
        <v>343</v>
      </c>
      <c r="E611" s="246">
        <v>0.0</v>
      </c>
      <c r="F611" s="246">
        <v>0.0</v>
      </c>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244" t="s">
        <v>858</v>
      </c>
      <c r="B612" s="245" t="s">
        <v>188</v>
      </c>
      <c r="C612" s="246">
        <v>0.0</v>
      </c>
      <c r="D612" s="246" t="s">
        <v>343</v>
      </c>
      <c r="E612" s="246">
        <v>0.0</v>
      </c>
      <c r="F612" s="246">
        <v>0.0</v>
      </c>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244" t="s">
        <v>859</v>
      </c>
      <c r="B613" s="245" t="s">
        <v>188</v>
      </c>
      <c r="C613" s="246">
        <v>0.0</v>
      </c>
      <c r="D613" s="246" t="s">
        <v>343</v>
      </c>
      <c r="E613" s="246">
        <v>0.0</v>
      </c>
      <c r="F613" s="246">
        <v>0.0</v>
      </c>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244" t="s">
        <v>912</v>
      </c>
      <c r="B614" s="245" t="s">
        <v>188</v>
      </c>
      <c r="C614" s="246">
        <v>0.0</v>
      </c>
      <c r="D614" s="246" t="s">
        <v>343</v>
      </c>
      <c r="E614" s="246">
        <v>0.0</v>
      </c>
      <c r="F614" s="246">
        <v>0.0</v>
      </c>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244" t="s">
        <v>861</v>
      </c>
      <c r="B615" s="245" t="s">
        <v>188</v>
      </c>
      <c r="C615" s="246">
        <v>0.0</v>
      </c>
      <c r="D615" s="246">
        <v>0.0</v>
      </c>
      <c r="E615" s="246" t="s">
        <v>343</v>
      </c>
      <c r="F615" s="246" t="s">
        <v>343</v>
      </c>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244" t="s">
        <v>913</v>
      </c>
      <c r="B616" s="245" t="s">
        <v>188</v>
      </c>
      <c r="C616" s="246" t="s">
        <v>343</v>
      </c>
      <c r="D616" s="246" t="s">
        <v>351</v>
      </c>
      <c r="E616" s="246">
        <v>0.0</v>
      </c>
      <c r="F616" s="246" t="s">
        <v>343</v>
      </c>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244" t="s">
        <v>863</v>
      </c>
      <c r="B617" s="245" t="s">
        <v>188</v>
      </c>
      <c r="C617" s="246" t="s">
        <v>343</v>
      </c>
      <c r="D617" s="246" t="s">
        <v>343</v>
      </c>
      <c r="E617" s="246">
        <v>0.0</v>
      </c>
      <c r="F617" s="246">
        <v>0.0</v>
      </c>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244" t="s">
        <v>864</v>
      </c>
      <c r="B618" s="245" t="s">
        <v>188</v>
      </c>
      <c r="C618" s="246" t="s">
        <v>343</v>
      </c>
      <c r="D618" s="246" t="s">
        <v>345</v>
      </c>
      <c r="E618" s="246">
        <v>0.0</v>
      </c>
      <c r="F618" s="246">
        <v>0.0</v>
      </c>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244" t="s">
        <v>867</v>
      </c>
      <c r="B619" s="245" t="s">
        <v>188</v>
      </c>
      <c r="C619" s="246">
        <v>0.0</v>
      </c>
      <c r="D619" s="246" t="s">
        <v>343</v>
      </c>
      <c r="E619" s="246">
        <v>0.0</v>
      </c>
      <c r="F619" s="246">
        <v>0.0</v>
      </c>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244" t="s">
        <v>868</v>
      </c>
      <c r="B620" s="245" t="s">
        <v>188</v>
      </c>
      <c r="C620" s="246" t="s">
        <v>343</v>
      </c>
      <c r="D620" s="246" t="s">
        <v>345</v>
      </c>
      <c r="E620" s="246" t="s">
        <v>343</v>
      </c>
      <c r="F620" s="246" t="s">
        <v>343</v>
      </c>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244" t="s">
        <v>914</v>
      </c>
      <c r="B621" s="245" t="s">
        <v>188</v>
      </c>
      <c r="C621" s="246">
        <v>0.0</v>
      </c>
      <c r="D621" s="246" t="s">
        <v>347</v>
      </c>
      <c r="E621" s="246">
        <v>0.0</v>
      </c>
      <c r="F621" s="246" t="s">
        <v>343</v>
      </c>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244" t="s">
        <v>869</v>
      </c>
      <c r="B622" s="245" t="s">
        <v>188</v>
      </c>
      <c r="C622" s="246">
        <v>0.0</v>
      </c>
      <c r="D622" s="246" t="s">
        <v>343</v>
      </c>
      <c r="E622" s="246">
        <v>0.0</v>
      </c>
      <c r="F622" s="246">
        <v>0.0</v>
      </c>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244" t="s">
        <v>915</v>
      </c>
      <c r="B623" s="245" t="s">
        <v>190</v>
      </c>
      <c r="C623" s="246">
        <v>0.0</v>
      </c>
      <c r="D623" s="246" t="s">
        <v>343</v>
      </c>
      <c r="E623" s="246">
        <v>0.0</v>
      </c>
      <c r="F623" s="246">
        <v>0.0</v>
      </c>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244" t="s">
        <v>871</v>
      </c>
      <c r="B624" s="245" t="s">
        <v>190</v>
      </c>
      <c r="C624" s="246" t="s">
        <v>343</v>
      </c>
      <c r="D624" s="246" t="s">
        <v>347</v>
      </c>
      <c r="E624" s="246">
        <v>0.0</v>
      </c>
      <c r="F624" s="246">
        <v>0.0</v>
      </c>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244" t="s">
        <v>872</v>
      </c>
      <c r="B625" s="245" t="s">
        <v>190</v>
      </c>
      <c r="C625" s="246" t="s">
        <v>343</v>
      </c>
      <c r="D625" s="246" t="s">
        <v>343</v>
      </c>
      <c r="E625" s="246">
        <v>0.0</v>
      </c>
      <c r="F625" s="246">
        <v>0.0</v>
      </c>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244" t="s">
        <v>874</v>
      </c>
      <c r="B626" s="245" t="s">
        <v>190</v>
      </c>
      <c r="C626" s="246" t="s">
        <v>343</v>
      </c>
      <c r="D626" s="246" t="s">
        <v>343</v>
      </c>
      <c r="E626" s="246">
        <v>0.0</v>
      </c>
      <c r="F626" s="246">
        <v>0.0</v>
      </c>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244" t="s">
        <v>875</v>
      </c>
      <c r="B627" s="245" t="s">
        <v>190</v>
      </c>
      <c r="C627" s="246" t="s">
        <v>343</v>
      </c>
      <c r="D627" s="246" t="s">
        <v>347</v>
      </c>
      <c r="E627" s="246">
        <v>0.0</v>
      </c>
      <c r="F627" s="246" t="s">
        <v>343</v>
      </c>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244" t="s">
        <v>876</v>
      </c>
      <c r="B628" s="245" t="s">
        <v>191</v>
      </c>
      <c r="C628" s="246" t="s">
        <v>343</v>
      </c>
      <c r="D628" s="246" t="s">
        <v>343</v>
      </c>
      <c r="E628" s="246">
        <v>0.0</v>
      </c>
      <c r="F628" s="246">
        <v>0.0</v>
      </c>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244" t="s">
        <v>877</v>
      </c>
      <c r="B629" s="245" t="s">
        <v>191</v>
      </c>
      <c r="C629" s="246">
        <v>0.0</v>
      </c>
      <c r="D629" s="246" t="s">
        <v>343</v>
      </c>
      <c r="E629" s="246">
        <v>0.0</v>
      </c>
      <c r="F629" s="246">
        <v>0.0</v>
      </c>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244" t="s">
        <v>878</v>
      </c>
      <c r="B630" s="245" t="s">
        <v>191</v>
      </c>
      <c r="C630" s="246" t="s">
        <v>343</v>
      </c>
      <c r="D630" s="246" t="s">
        <v>343</v>
      </c>
      <c r="E630" s="246">
        <v>0.0</v>
      </c>
      <c r="F630" s="246">
        <v>0.0</v>
      </c>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244" t="s">
        <v>879</v>
      </c>
      <c r="B631" s="245" t="s">
        <v>191</v>
      </c>
      <c r="C631" s="246" t="s">
        <v>343</v>
      </c>
      <c r="D631" s="246" t="s">
        <v>343</v>
      </c>
      <c r="E631" s="246">
        <v>0.0</v>
      </c>
      <c r="F631" s="246">
        <v>0.0</v>
      </c>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244" t="s">
        <v>880</v>
      </c>
      <c r="B632" s="245" t="s">
        <v>191</v>
      </c>
      <c r="C632" s="246">
        <v>0.0</v>
      </c>
      <c r="D632" s="246" t="s">
        <v>343</v>
      </c>
      <c r="E632" s="246">
        <v>0.0</v>
      </c>
      <c r="F632" s="246">
        <v>0.0</v>
      </c>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244" t="s">
        <v>881</v>
      </c>
      <c r="B633" s="245" t="s">
        <v>192</v>
      </c>
      <c r="C633" s="246">
        <v>0.0</v>
      </c>
      <c r="D633" s="246" t="s">
        <v>343</v>
      </c>
      <c r="E633" s="246">
        <v>0.0</v>
      </c>
      <c r="F633" s="246">
        <v>0.0</v>
      </c>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244" t="s">
        <v>882</v>
      </c>
      <c r="B634" s="245" t="s">
        <v>192</v>
      </c>
      <c r="C634" s="246">
        <v>0.0</v>
      </c>
      <c r="D634" s="246" t="s">
        <v>343</v>
      </c>
      <c r="E634" s="246">
        <v>0.0</v>
      </c>
      <c r="F634" s="246">
        <v>0.0</v>
      </c>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244" t="s">
        <v>883</v>
      </c>
      <c r="B635" s="245" t="s">
        <v>192</v>
      </c>
      <c r="C635" s="246">
        <v>0.0</v>
      </c>
      <c r="D635" s="246" t="s">
        <v>343</v>
      </c>
      <c r="E635" s="246">
        <v>0.0</v>
      </c>
      <c r="F635" s="246">
        <v>0.0</v>
      </c>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244" t="s">
        <v>884</v>
      </c>
      <c r="B636" s="245" t="s">
        <v>192</v>
      </c>
      <c r="C636" s="246" t="s">
        <v>343</v>
      </c>
      <c r="D636" s="246" t="s">
        <v>347</v>
      </c>
      <c r="E636" s="246">
        <v>0.0</v>
      </c>
      <c r="F636" s="246">
        <v>0.0</v>
      </c>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244" t="s">
        <v>886</v>
      </c>
      <c r="B637" s="245" t="s">
        <v>192</v>
      </c>
      <c r="C637" s="246">
        <v>0.0</v>
      </c>
      <c r="D637" s="246" t="s">
        <v>343</v>
      </c>
      <c r="E637" s="246">
        <v>0.0</v>
      </c>
      <c r="F637" s="246">
        <v>0.0</v>
      </c>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244" t="s">
        <v>887</v>
      </c>
      <c r="B638" s="245" t="s">
        <v>192</v>
      </c>
      <c r="C638" s="246" t="s">
        <v>343</v>
      </c>
      <c r="D638" s="246" t="s">
        <v>345</v>
      </c>
      <c r="E638" s="246" t="s">
        <v>343</v>
      </c>
      <c r="F638" s="246" t="s">
        <v>343</v>
      </c>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244" t="s">
        <v>888</v>
      </c>
      <c r="B639" s="245" t="s">
        <v>192</v>
      </c>
      <c r="C639" s="246" t="s">
        <v>343</v>
      </c>
      <c r="D639" s="246" t="s">
        <v>347</v>
      </c>
      <c r="E639" s="246">
        <v>0.0</v>
      </c>
      <c r="F639" s="246">
        <v>0.0</v>
      </c>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244" t="s">
        <v>889</v>
      </c>
      <c r="B640" s="245" t="s">
        <v>192</v>
      </c>
      <c r="C640" s="246">
        <v>0.0</v>
      </c>
      <c r="D640" s="246" t="s">
        <v>343</v>
      </c>
      <c r="E640" s="246">
        <v>0.0</v>
      </c>
      <c r="F640" s="246">
        <v>0.0</v>
      </c>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244" t="s">
        <v>890</v>
      </c>
      <c r="B641" s="245" t="s">
        <v>891</v>
      </c>
      <c r="C641" s="246" t="s">
        <v>347</v>
      </c>
      <c r="D641" s="246" t="s">
        <v>351</v>
      </c>
      <c r="E641" s="246" t="s">
        <v>343</v>
      </c>
      <c r="F641" s="246" t="s">
        <v>347</v>
      </c>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248"/>
      <c r="B642" s="249" t="s">
        <v>892</v>
      </c>
      <c r="C642" s="250" t="s">
        <v>916</v>
      </c>
      <c r="D642" s="250" t="s">
        <v>917</v>
      </c>
      <c r="E642" s="250" t="s">
        <v>379</v>
      </c>
      <c r="F642" s="250" t="s">
        <v>368</v>
      </c>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252" t="s">
        <v>918</v>
      </c>
      <c r="B643" s="94"/>
      <c r="C643" s="94"/>
      <c r="D643" s="94"/>
      <c r="E643" s="94"/>
      <c r="F643" s="37"/>
      <c r="G643" s="240"/>
      <c r="H643" s="240"/>
      <c r="I643" s="240"/>
      <c r="J643" s="240"/>
      <c r="K643" s="240"/>
      <c r="L643" s="240"/>
      <c r="M643" s="240"/>
      <c r="N643" s="240"/>
      <c r="O643" s="240"/>
      <c r="P643" s="240"/>
      <c r="Q643" s="240"/>
      <c r="R643" s="240"/>
      <c r="S643" s="240"/>
      <c r="T643" s="240"/>
      <c r="U643" s="240"/>
      <c r="V643" s="240"/>
      <c r="W643" s="240"/>
      <c r="X643" s="240"/>
      <c r="Y643" s="240"/>
      <c r="Z643" s="240"/>
    </row>
  </sheetData>
  <mergeCells count="6">
    <mergeCell ref="A1:F1"/>
    <mergeCell ref="A2:F2"/>
    <mergeCell ref="A3:F3"/>
    <mergeCell ref="A5:F5"/>
    <mergeCell ref="A383:F383"/>
    <mergeCell ref="A643:F64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3">
        <f>IFERROR(__xludf.DUMMYFUNCTION("filter( Trends!A1:AO1000, row(Trends!A1:A1000) &gt; counta(Trends!A1:A1000) - 199 )"),43974.0)</f>
        <v>43974</v>
      </c>
      <c r="B1" s="185">
        <f>IFERROR(__xludf.DUMMYFUNCTION("""COMPUTED_VALUE"""),253.0)</f>
        <v>253</v>
      </c>
      <c r="C1" s="185">
        <f>IFERROR(__xludf.DUMMYFUNCTION("""COMPUTED_VALUE"""),326.0)</f>
        <v>326</v>
      </c>
      <c r="D1" s="185">
        <f>IFERROR(__xludf.DUMMYFUNCTION("""COMPUTED_VALUE"""),18177.0)</f>
        <v>18177</v>
      </c>
      <c r="E1" s="185">
        <f>IFERROR(__xludf.DUMMYFUNCTION("""COMPUTED_VALUE"""),2742.0)</f>
        <v>2742</v>
      </c>
      <c r="F1" s="185">
        <f>IFERROR(__xludf.DUMMYFUNCTION("""COMPUTED_VALUE"""),125062.0)</f>
        <v>125062</v>
      </c>
      <c r="G1" s="185">
        <f>IFERROR(__xludf.DUMMYFUNCTION("""COMPUTED_VALUE"""),2995.0)</f>
        <v>2995</v>
      </c>
      <c r="H1" s="185">
        <f>IFERROR(__xludf.DUMMYFUNCTION("""COMPUTED_VALUE"""),143239.0)</f>
        <v>143239</v>
      </c>
      <c r="I1" s="185">
        <f>IFERROR(__xludf.DUMMYFUNCTION("""COMPUTED_VALUE"""),109.0)</f>
        <v>109</v>
      </c>
      <c r="J1" s="185">
        <f>IFERROR(__xludf.DUMMYFUNCTION("""COMPUTED_VALUE"""),161.0)</f>
        <v>161</v>
      </c>
      <c r="K1" s="185">
        <f>IFERROR(__xludf.DUMMYFUNCTION("""COMPUTED_VALUE"""),14026.0)</f>
        <v>14026</v>
      </c>
      <c r="L1" s="185">
        <f>IFERROR(__xludf.DUMMYFUNCTION("""COMPUTED_VALUE"""),1214.0)</f>
        <v>1214</v>
      </c>
      <c r="M1" s="185">
        <f>IFERROR(__xludf.DUMMYFUNCTION("""COMPUTED_VALUE"""),83913.0)</f>
        <v>83913</v>
      </c>
      <c r="N1" s="185">
        <f>IFERROR(__xludf.DUMMYFUNCTION("""COMPUTED_VALUE"""),97939.0)</f>
        <v>97939</v>
      </c>
      <c r="O1" s="185">
        <f>IFERROR(__xludf.DUMMYFUNCTION("""COMPUTED_VALUE"""),19.0)</f>
        <v>19</v>
      </c>
      <c r="P1" s="185">
        <f>IFERROR(__xludf.DUMMYFUNCTION("""COMPUTED_VALUE"""),1642.0)</f>
        <v>1642</v>
      </c>
      <c r="Q1" s="185">
        <f>IFERROR(__xludf.DUMMYFUNCTION("""COMPUTED_VALUE"""),11.0)</f>
        <v>11</v>
      </c>
      <c r="R1" s="185">
        <f>IFERROR(__xludf.DUMMYFUNCTION("""COMPUTED_VALUE"""),1175.0)</f>
        <v>1175</v>
      </c>
      <c r="S1" s="185">
        <f>IFERROR(__xludf.DUMMYFUNCTION("""COMPUTED_VALUE"""),3.0)</f>
        <v>3</v>
      </c>
      <c r="T1" s="185">
        <f>IFERROR(__xludf.DUMMYFUNCTION("""COMPUTED_VALUE"""),231.0)</f>
        <v>231</v>
      </c>
      <c r="U1" s="185">
        <f>IFERROR(__xludf.DUMMYFUNCTION("""COMPUTED_VALUE"""),236.0)</f>
        <v>236</v>
      </c>
      <c r="V1" s="185">
        <f>IFERROR(__xludf.DUMMYFUNCTION("""COMPUTED_VALUE"""),237.0)</f>
        <v>237</v>
      </c>
      <c r="W1" s="185">
        <f>IFERROR(__xludf.DUMMYFUNCTION("""COMPUTED_VALUE"""),53.0)</f>
        <v>53</v>
      </c>
      <c r="X1" s="185">
        <f>IFERROR(__xludf.DUMMYFUNCTION("""COMPUTED_VALUE"""),33.0)</f>
        <v>33</v>
      </c>
      <c r="Y1" s="185">
        <f>IFERROR(__xludf.DUMMYFUNCTION("""COMPUTED_VALUE"""),13.0)</f>
        <v>13</v>
      </c>
      <c r="Z1" s="185">
        <f>IFERROR(__xludf.DUMMYFUNCTION("""COMPUTED_VALUE"""),749.0)</f>
        <v>749</v>
      </c>
    </row>
    <row r="2">
      <c r="A2" s="253">
        <f>IFERROR(__xludf.DUMMYFUNCTION("""COMPUTED_VALUE"""),43975.0)</f>
        <v>43975</v>
      </c>
      <c r="B2" s="185">
        <f>IFERROR(__xludf.DUMMYFUNCTION("""COMPUTED_VALUE"""),163.0)</f>
        <v>163</v>
      </c>
      <c r="C2" s="185">
        <f>IFERROR(__xludf.DUMMYFUNCTION("""COMPUTED_VALUE"""),256.0)</f>
        <v>256</v>
      </c>
      <c r="D2" s="185">
        <f>IFERROR(__xludf.DUMMYFUNCTION("""COMPUTED_VALUE"""),18340.0)</f>
        <v>18340</v>
      </c>
      <c r="E2" s="185">
        <f>IFERROR(__xludf.DUMMYFUNCTION("""COMPUTED_VALUE"""),1370.0)</f>
        <v>1370</v>
      </c>
      <c r="F2" s="185">
        <f>IFERROR(__xludf.DUMMYFUNCTION("""COMPUTED_VALUE"""),126432.0)</f>
        <v>126432</v>
      </c>
      <c r="G2" s="185">
        <f>IFERROR(__xludf.DUMMYFUNCTION("""COMPUTED_VALUE"""),1533.0)</f>
        <v>1533</v>
      </c>
      <c r="H2" s="185">
        <f>IFERROR(__xludf.DUMMYFUNCTION("""COMPUTED_VALUE"""),144772.0)</f>
        <v>144772</v>
      </c>
      <c r="I2" s="185">
        <f>IFERROR(__xludf.DUMMYFUNCTION("""COMPUTED_VALUE"""),83.0)</f>
        <v>83</v>
      </c>
      <c r="J2" s="185">
        <f>IFERROR(__xludf.DUMMYFUNCTION("""COMPUTED_VALUE"""),133.0)</f>
        <v>133</v>
      </c>
      <c r="K2" s="185">
        <f>IFERROR(__xludf.DUMMYFUNCTION("""COMPUTED_VALUE"""),14109.0)</f>
        <v>14109</v>
      </c>
      <c r="L2" s="185">
        <f>IFERROR(__xludf.DUMMYFUNCTION("""COMPUTED_VALUE"""),742.0)</f>
        <v>742</v>
      </c>
      <c r="M2" s="185">
        <f>IFERROR(__xludf.DUMMYFUNCTION("""COMPUTED_VALUE"""),84655.0)</f>
        <v>84655</v>
      </c>
      <c r="N2" s="185">
        <f>IFERROR(__xludf.DUMMYFUNCTION("""COMPUTED_VALUE"""),98764.0)</f>
        <v>98764</v>
      </c>
      <c r="O2" s="185">
        <f>IFERROR(__xludf.DUMMYFUNCTION("""COMPUTED_VALUE"""),13.0)</f>
        <v>13</v>
      </c>
      <c r="P2" s="185">
        <f>IFERROR(__xludf.DUMMYFUNCTION("""COMPUTED_VALUE"""),1655.0)</f>
        <v>1655</v>
      </c>
      <c r="Q2" s="185">
        <f>IFERROR(__xludf.DUMMYFUNCTION("""COMPUTED_VALUE"""),14.0)</f>
        <v>14</v>
      </c>
      <c r="R2" s="185">
        <f>IFERROR(__xludf.DUMMYFUNCTION("""COMPUTED_VALUE"""),1189.0)</f>
        <v>1189</v>
      </c>
      <c r="S2" s="185">
        <f>IFERROR(__xludf.DUMMYFUNCTION("""COMPUTED_VALUE"""),2.0)</f>
        <v>2</v>
      </c>
      <c r="T2" s="185">
        <f>IFERROR(__xludf.DUMMYFUNCTION("""COMPUTED_VALUE"""),233.0)</f>
        <v>233</v>
      </c>
      <c r="U2" s="185">
        <f>IFERROR(__xludf.DUMMYFUNCTION("""COMPUTED_VALUE"""),233.0)</f>
        <v>233</v>
      </c>
      <c r="V2" s="185">
        <f>IFERROR(__xludf.DUMMYFUNCTION("""COMPUTED_VALUE"""),233.0)</f>
        <v>233</v>
      </c>
      <c r="W2" s="185">
        <f>IFERROR(__xludf.DUMMYFUNCTION("""COMPUTED_VALUE"""),54.0)</f>
        <v>54</v>
      </c>
      <c r="X2" s="185">
        <f>IFERROR(__xludf.DUMMYFUNCTION("""COMPUTED_VALUE"""),36.0)</f>
        <v>36</v>
      </c>
      <c r="Y2" s="185">
        <f>IFERROR(__xludf.DUMMYFUNCTION("""COMPUTED_VALUE"""),8.0)</f>
        <v>8</v>
      </c>
      <c r="Z2" s="185">
        <f>IFERROR(__xludf.DUMMYFUNCTION("""COMPUTED_VALUE"""),757.0)</f>
        <v>757</v>
      </c>
    </row>
    <row r="3">
      <c r="A3" s="253">
        <f>IFERROR(__xludf.DUMMYFUNCTION("""COMPUTED_VALUE"""),43976.0)</f>
        <v>43976</v>
      </c>
      <c r="B3" s="185">
        <f>IFERROR(__xludf.DUMMYFUNCTION("""COMPUTED_VALUE"""),147.0)</f>
        <v>147</v>
      </c>
      <c r="C3" s="185">
        <f>IFERROR(__xludf.DUMMYFUNCTION("""COMPUTED_VALUE"""),188.0)</f>
        <v>188</v>
      </c>
      <c r="D3" s="185">
        <f>IFERROR(__xludf.DUMMYFUNCTION("""COMPUTED_VALUE"""),18487.0)</f>
        <v>18487</v>
      </c>
      <c r="E3" s="185">
        <f>IFERROR(__xludf.DUMMYFUNCTION("""COMPUTED_VALUE"""),1385.0)</f>
        <v>1385</v>
      </c>
      <c r="F3" s="185">
        <f>IFERROR(__xludf.DUMMYFUNCTION("""COMPUTED_VALUE"""),127817.0)</f>
        <v>127817</v>
      </c>
      <c r="G3" s="185">
        <f>IFERROR(__xludf.DUMMYFUNCTION("""COMPUTED_VALUE"""),1532.0)</f>
        <v>1532</v>
      </c>
      <c r="H3" s="185">
        <f>IFERROR(__xludf.DUMMYFUNCTION("""COMPUTED_VALUE"""),146304.0)</f>
        <v>146304</v>
      </c>
      <c r="I3" s="185">
        <f>IFERROR(__xludf.DUMMYFUNCTION("""COMPUTED_VALUE"""),76.0)</f>
        <v>76</v>
      </c>
      <c r="J3" s="185">
        <f>IFERROR(__xludf.DUMMYFUNCTION("""COMPUTED_VALUE"""),89.0)</f>
        <v>89</v>
      </c>
      <c r="K3" s="185">
        <f>IFERROR(__xludf.DUMMYFUNCTION("""COMPUTED_VALUE"""),14185.0)</f>
        <v>14185</v>
      </c>
      <c r="L3" s="185">
        <f>IFERROR(__xludf.DUMMYFUNCTION("""COMPUTED_VALUE"""),701.0)</f>
        <v>701</v>
      </c>
      <c r="M3" s="185">
        <f>IFERROR(__xludf.DUMMYFUNCTION("""COMPUTED_VALUE"""),85356.0)</f>
        <v>85356</v>
      </c>
      <c r="N3" s="185">
        <f>IFERROR(__xludf.DUMMYFUNCTION("""COMPUTED_VALUE"""),99541.0)</f>
        <v>99541</v>
      </c>
      <c r="O3" s="185">
        <f>IFERROR(__xludf.DUMMYFUNCTION("""COMPUTED_VALUE"""),14.0)</f>
        <v>14</v>
      </c>
      <c r="P3" s="185">
        <f>IFERROR(__xludf.DUMMYFUNCTION("""COMPUTED_VALUE"""),1669.0)</f>
        <v>1669</v>
      </c>
      <c r="Q3" s="185">
        <f>IFERROR(__xludf.DUMMYFUNCTION("""COMPUTED_VALUE"""),14.0)</f>
        <v>14</v>
      </c>
      <c r="R3" s="185">
        <f>IFERROR(__xludf.DUMMYFUNCTION("""COMPUTED_VALUE"""),1203.0)</f>
        <v>1203</v>
      </c>
      <c r="S3" s="185">
        <f>IFERROR(__xludf.DUMMYFUNCTION("""COMPUTED_VALUE"""),0.0)</f>
        <v>0</v>
      </c>
      <c r="T3" s="185">
        <f>IFERROR(__xludf.DUMMYFUNCTION("""COMPUTED_VALUE"""),233.0)</f>
        <v>233</v>
      </c>
      <c r="U3" s="185">
        <f>IFERROR(__xludf.DUMMYFUNCTION("""COMPUTED_VALUE"""),233.0)</f>
        <v>233</v>
      </c>
      <c r="V3" s="185">
        <f>IFERROR(__xludf.DUMMYFUNCTION("""COMPUTED_VALUE"""),234.0)</f>
        <v>234</v>
      </c>
      <c r="W3" s="185">
        <f>IFERROR(__xludf.DUMMYFUNCTION("""COMPUTED_VALUE"""),54.0)</f>
        <v>54</v>
      </c>
      <c r="X3" s="185">
        <f>IFERROR(__xludf.DUMMYFUNCTION("""COMPUTED_VALUE"""),34.0)</f>
        <v>34</v>
      </c>
      <c r="Y3" s="185">
        <f>IFERROR(__xludf.DUMMYFUNCTION("""COMPUTED_VALUE"""),10.0)</f>
        <v>10</v>
      </c>
      <c r="Z3" s="185">
        <f>IFERROR(__xludf.DUMMYFUNCTION("""COMPUTED_VALUE"""),767.0)</f>
        <v>767</v>
      </c>
    </row>
    <row r="4">
      <c r="A4" s="253">
        <f>IFERROR(__xludf.DUMMYFUNCTION("""COMPUTED_VALUE"""),43977.0)</f>
        <v>43977</v>
      </c>
      <c r="B4" s="185">
        <f>IFERROR(__xludf.DUMMYFUNCTION("""COMPUTED_VALUE"""),285.0)</f>
        <v>285</v>
      </c>
      <c r="C4" s="185">
        <f>IFERROR(__xludf.DUMMYFUNCTION("""COMPUTED_VALUE"""),198.0)</f>
        <v>198</v>
      </c>
      <c r="D4" s="185">
        <f>IFERROR(__xludf.DUMMYFUNCTION("""COMPUTED_VALUE"""),18772.0)</f>
        <v>18772</v>
      </c>
      <c r="E4" s="185">
        <f>IFERROR(__xludf.DUMMYFUNCTION("""COMPUTED_VALUE"""),2620.0)</f>
        <v>2620</v>
      </c>
      <c r="F4" s="185">
        <f>IFERROR(__xludf.DUMMYFUNCTION("""COMPUTED_VALUE"""),130437.0)</f>
        <v>130437</v>
      </c>
      <c r="G4" s="185">
        <f>IFERROR(__xludf.DUMMYFUNCTION("""COMPUTED_VALUE"""),2905.0)</f>
        <v>2905</v>
      </c>
      <c r="H4" s="185">
        <f>IFERROR(__xludf.DUMMYFUNCTION("""COMPUTED_VALUE"""),149209.0)</f>
        <v>149209</v>
      </c>
      <c r="I4" s="185">
        <f>IFERROR(__xludf.DUMMYFUNCTION("""COMPUTED_VALUE"""),158.0)</f>
        <v>158</v>
      </c>
      <c r="J4" s="185">
        <f>IFERROR(__xludf.DUMMYFUNCTION("""COMPUTED_VALUE"""),106.0)</f>
        <v>106</v>
      </c>
      <c r="K4" s="185">
        <f>IFERROR(__xludf.DUMMYFUNCTION("""COMPUTED_VALUE"""),14343.0)</f>
        <v>14343</v>
      </c>
      <c r="L4" s="185">
        <f>IFERROR(__xludf.DUMMYFUNCTION("""COMPUTED_VALUE"""),1578.0)</f>
        <v>1578</v>
      </c>
      <c r="M4" s="185">
        <f>IFERROR(__xludf.DUMMYFUNCTION("""COMPUTED_VALUE"""),86934.0)</f>
        <v>86934</v>
      </c>
      <c r="N4" s="185">
        <f>IFERROR(__xludf.DUMMYFUNCTION("""COMPUTED_VALUE"""),101277.0)</f>
        <v>101277</v>
      </c>
      <c r="O4" s="185">
        <f>IFERROR(__xludf.DUMMYFUNCTION("""COMPUTED_VALUE"""),24.0)</f>
        <v>24</v>
      </c>
      <c r="P4" s="185">
        <f>IFERROR(__xludf.DUMMYFUNCTION("""COMPUTED_VALUE"""),1693.0)</f>
        <v>1693</v>
      </c>
      <c r="Q4" s="185">
        <f>IFERROR(__xludf.DUMMYFUNCTION("""COMPUTED_VALUE"""),21.0)</f>
        <v>21</v>
      </c>
      <c r="R4" s="185">
        <f>IFERROR(__xludf.DUMMYFUNCTION("""COMPUTED_VALUE"""),1224.0)</f>
        <v>1224</v>
      </c>
      <c r="S4" s="185">
        <f>IFERROR(__xludf.DUMMYFUNCTION("""COMPUTED_VALUE"""),5.0)</f>
        <v>5</v>
      </c>
      <c r="T4" s="185">
        <f>IFERROR(__xludf.DUMMYFUNCTION("""COMPUTED_VALUE"""),238.0)</f>
        <v>238</v>
      </c>
      <c r="U4" s="185">
        <f>IFERROR(__xludf.DUMMYFUNCTION("""COMPUTED_VALUE"""),231.0)</f>
        <v>231</v>
      </c>
      <c r="V4" s="185">
        <f>IFERROR(__xludf.DUMMYFUNCTION("""COMPUTED_VALUE"""),232.0)</f>
        <v>232</v>
      </c>
      <c r="W4" s="185">
        <f>IFERROR(__xludf.DUMMYFUNCTION("""COMPUTED_VALUE"""),49.0)</f>
        <v>49</v>
      </c>
      <c r="X4" s="185">
        <f>IFERROR(__xludf.DUMMYFUNCTION("""COMPUTED_VALUE"""),33.0)</f>
        <v>33</v>
      </c>
      <c r="Y4" s="185">
        <f>IFERROR(__xludf.DUMMYFUNCTION("""COMPUTED_VALUE"""),15.0)</f>
        <v>15</v>
      </c>
      <c r="Z4" s="185">
        <f>IFERROR(__xludf.DUMMYFUNCTION("""COMPUTED_VALUE"""),782.0)</f>
        <v>782</v>
      </c>
    </row>
    <row r="5">
      <c r="A5" s="253">
        <f>IFERROR(__xludf.DUMMYFUNCTION("""COMPUTED_VALUE"""),43978.0)</f>
        <v>43978</v>
      </c>
      <c r="B5" s="185">
        <f>IFERROR(__xludf.DUMMYFUNCTION("""COMPUTED_VALUE"""),276.0)</f>
        <v>276</v>
      </c>
      <c r="C5" s="185">
        <f>IFERROR(__xludf.DUMMYFUNCTION("""COMPUTED_VALUE"""),236.0)</f>
        <v>236</v>
      </c>
      <c r="D5" s="185">
        <f>IFERROR(__xludf.DUMMYFUNCTION("""COMPUTED_VALUE"""),19048.0)</f>
        <v>19048</v>
      </c>
      <c r="E5" s="185">
        <f>IFERROR(__xludf.DUMMYFUNCTION("""COMPUTED_VALUE"""),2057.0)</f>
        <v>2057</v>
      </c>
      <c r="F5" s="185">
        <f>IFERROR(__xludf.DUMMYFUNCTION("""COMPUTED_VALUE"""),132494.0)</f>
        <v>132494</v>
      </c>
      <c r="G5" s="185">
        <f>IFERROR(__xludf.DUMMYFUNCTION("""COMPUTED_VALUE"""),2333.0)</f>
        <v>2333</v>
      </c>
      <c r="H5" s="185">
        <f>IFERROR(__xludf.DUMMYFUNCTION("""COMPUTED_VALUE"""),151542.0)</f>
        <v>151542</v>
      </c>
      <c r="I5" s="185">
        <f>IFERROR(__xludf.DUMMYFUNCTION("""COMPUTED_VALUE"""),132.0)</f>
        <v>132</v>
      </c>
      <c r="J5" s="185">
        <f>IFERROR(__xludf.DUMMYFUNCTION("""COMPUTED_VALUE"""),122.0)</f>
        <v>122</v>
      </c>
      <c r="K5" s="185">
        <f>IFERROR(__xludf.DUMMYFUNCTION("""COMPUTED_VALUE"""),14475.0)</f>
        <v>14475</v>
      </c>
      <c r="L5" s="185">
        <f>IFERROR(__xludf.DUMMYFUNCTION("""COMPUTED_VALUE"""),1089.0)</f>
        <v>1089</v>
      </c>
      <c r="M5" s="185">
        <f>IFERROR(__xludf.DUMMYFUNCTION("""COMPUTED_VALUE"""),88023.0)</f>
        <v>88023</v>
      </c>
      <c r="N5" s="185">
        <f>IFERROR(__xludf.DUMMYFUNCTION("""COMPUTED_VALUE"""),102498.0)</f>
        <v>102498</v>
      </c>
      <c r="O5" s="185">
        <f>IFERROR(__xludf.DUMMYFUNCTION("""COMPUTED_VALUE"""),20.0)</f>
        <v>20</v>
      </c>
      <c r="P5" s="185">
        <f>IFERROR(__xludf.DUMMYFUNCTION("""COMPUTED_VALUE"""),1713.0)</f>
        <v>1713</v>
      </c>
      <c r="Q5" s="185">
        <f>IFERROR(__xludf.DUMMYFUNCTION("""COMPUTED_VALUE"""),18.0)</f>
        <v>18</v>
      </c>
      <c r="R5" s="185">
        <f>IFERROR(__xludf.DUMMYFUNCTION("""COMPUTED_VALUE"""),1242.0)</f>
        <v>1242</v>
      </c>
      <c r="S5" s="185">
        <f>IFERROR(__xludf.DUMMYFUNCTION("""COMPUTED_VALUE"""),3.0)</f>
        <v>3</v>
      </c>
      <c r="T5" s="185">
        <f>IFERROR(__xludf.DUMMYFUNCTION("""COMPUTED_VALUE"""),241.0)</f>
        <v>241</v>
      </c>
      <c r="U5" s="185">
        <f>IFERROR(__xludf.DUMMYFUNCTION("""COMPUTED_VALUE"""),230.0)</f>
        <v>230</v>
      </c>
      <c r="V5" s="185">
        <f>IFERROR(__xludf.DUMMYFUNCTION("""COMPUTED_VALUE"""),231.0)</f>
        <v>231</v>
      </c>
      <c r="W5" s="185">
        <f>IFERROR(__xludf.DUMMYFUNCTION("""COMPUTED_VALUE"""),51.0)</f>
        <v>51</v>
      </c>
      <c r="X5" s="185">
        <f>IFERROR(__xludf.DUMMYFUNCTION("""COMPUTED_VALUE"""),33.0)</f>
        <v>33</v>
      </c>
      <c r="Y5" s="185">
        <f>IFERROR(__xludf.DUMMYFUNCTION("""COMPUTED_VALUE"""),10.0)</f>
        <v>10</v>
      </c>
      <c r="Z5" s="185">
        <f>IFERROR(__xludf.DUMMYFUNCTION("""COMPUTED_VALUE"""),792.0)</f>
        <v>792</v>
      </c>
    </row>
    <row r="6">
      <c r="A6" s="253">
        <f>IFERROR(__xludf.DUMMYFUNCTION("""COMPUTED_VALUE"""),43979.0)</f>
        <v>43979</v>
      </c>
      <c r="B6" s="185">
        <f>IFERROR(__xludf.DUMMYFUNCTION("""COMPUTED_VALUE"""),348.0)</f>
        <v>348</v>
      </c>
      <c r="C6" s="185">
        <f>IFERROR(__xludf.DUMMYFUNCTION("""COMPUTED_VALUE"""),303.0)</f>
        <v>303</v>
      </c>
      <c r="D6" s="185">
        <f>IFERROR(__xludf.DUMMYFUNCTION("""COMPUTED_VALUE"""),19396.0)</f>
        <v>19396</v>
      </c>
      <c r="E6" s="185">
        <f>IFERROR(__xludf.DUMMYFUNCTION("""COMPUTED_VALUE"""),3359.0)</f>
        <v>3359</v>
      </c>
      <c r="F6" s="185">
        <f>IFERROR(__xludf.DUMMYFUNCTION("""COMPUTED_VALUE"""),135853.0)</f>
        <v>135853</v>
      </c>
      <c r="G6" s="185">
        <f>IFERROR(__xludf.DUMMYFUNCTION("""COMPUTED_VALUE"""),3707.0)</f>
        <v>3707</v>
      </c>
      <c r="H6" s="185">
        <f>IFERROR(__xludf.DUMMYFUNCTION("""COMPUTED_VALUE"""),155249.0)</f>
        <v>155249</v>
      </c>
      <c r="I6" s="185">
        <f>IFERROR(__xludf.DUMMYFUNCTION("""COMPUTED_VALUE"""),130.0)</f>
        <v>130</v>
      </c>
      <c r="J6" s="185">
        <f>IFERROR(__xludf.DUMMYFUNCTION("""COMPUTED_VALUE"""),140.0)</f>
        <v>140</v>
      </c>
      <c r="K6" s="185">
        <f>IFERROR(__xludf.DUMMYFUNCTION("""COMPUTED_VALUE"""),14605.0)</f>
        <v>14605</v>
      </c>
      <c r="L6" s="185">
        <f>IFERROR(__xludf.DUMMYFUNCTION("""COMPUTED_VALUE"""),1061.0)</f>
        <v>1061</v>
      </c>
      <c r="M6" s="185">
        <f>IFERROR(__xludf.DUMMYFUNCTION("""COMPUTED_VALUE"""),89084.0)</f>
        <v>89084</v>
      </c>
      <c r="N6" s="185">
        <f>IFERROR(__xludf.DUMMYFUNCTION("""COMPUTED_VALUE"""),103689.0)</f>
        <v>103689</v>
      </c>
      <c r="O6" s="185">
        <f>IFERROR(__xludf.DUMMYFUNCTION("""COMPUTED_VALUE"""),17.0)</f>
        <v>17</v>
      </c>
      <c r="P6" s="185">
        <f>IFERROR(__xludf.DUMMYFUNCTION("""COMPUTED_VALUE"""),1730.0)</f>
        <v>1730</v>
      </c>
      <c r="Q6" s="185">
        <f>IFERROR(__xludf.DUMMYFUNCTION("""COMPUTED_VALUE"""),29.0)</f>
        <v>29</v>
      </c>
      <c r="R6" s="185">
        <f>IFERROR(__xludf.DUMMYFUNCTION("""COMPUTED_VALUE"""),1271.0)</f>
        <v>1271</v>
      </c>
      <c r="S6" s="185">
        <f>IFERROR(__xludf.DUMMYFUNCTION("""COMPUTED_VALUE"""),4.0)</f>
        <v>4</v>
      </c>
      <c r="T6" s="185">
        <f>IFERROR(__xludf.DUMMYFUNCTION("""COMPUTED_VALUE"""),245.0)</f>
        <v>245</v>
      </c>
      <c r="U6" s="185">
        <f>IFERROR(__xludf.DUMMYFUNCTION("""COMPUTED_VALUE"""),214.0)</f>
        <v>214</v>
      </c>
      <c r="V6" s="185">
        <f>IFERROR(__xludf.DUMMYFUNCTION("""COMPUTED_VALUE"""),225.0)</f>
        <v>225</v>
      </c>
      <c r="W6" s="185">
        <f>IFERROR(__xludf.DUMMYFUNCTION("""COMPUTED_VALUE"""),47.0)</f>
        <v>47</v>
      </c>
      <c r="X6" s="185">
        <f>IFERROR(__xludf.DUMMYFUNCTION("""COMPUTED_VALUE"""),32.0)</f>
        <v>32</v>
      </c>
      <c r="Y6" s="185">
        <f>IFERROR(__xludf.DUMMYFUNCTION("""COMPUTED_VALUE"""),8.0)</f>
        <v>8</v>
      </c>
      <c r="Z6" s="185">
        <f>IFERROR(__xludf.DUMMYFUNCTION("""COMPUTED_VALUE"""),800.0)</f>
        <v>800</v>
      </c>
    </row>
    <row r="7">
      <c r="A7" s="253">
        <f>IFERROR(__xludf.DUMMYFUNCTION("""COMPUTED_VALUE"""),43980.0)</f>
        <v>43980</v>
      </c>
      <c r="B7" s="185">
        <f>IFERROR(__xludf.DUMMYFUNCTION("""COMPUTED_VALUE"""),410.0)</f>
        <v>410</v>
      </c>
      <c r="C7" s="185">
        <f>IFERROR(__xludf.DUMMYFUNCTION("""COMPUTED_VALUE"""),345.0)</f>
        <v>345</v>
      </c>
      <c r="D7" s="185">
        <f>IFERROR(__xludf.DUMMYFUNCTION("""COMPUTED_VALUE"""),19806.0)</f>
        <v>19806</v>
      </c>
      <c r="E7" s="185">
        <f>IFERROR(__xludf.DUMMYFUNCTION("""COMPUTED_VALUE"""),3915.0)</f>
        <v>3915</v>
      </c>
      <c r="F7" s="185">
        <f>IFERROR(__xludf.DUMMYFUNCTION("""COMPUTED_VALUE"""),139768.0)</f>
        <v>139768</v>
      </c>
      <c r="G7" s="185">
        <f>IFERROR(__xludf.DUMMYFUNCTION("""COMPUTED_VALUE"""),4325.0)</f>
        <v>4325</v>
      </c>
      <c r="H7" s="185">
        <f>IFERROR(__xludf.DUMMYFUNCTION("""COMPUTED_VALUE"""),159574.0)</f>
        <v>159574</v>
      </c>
      <c r="I7" s="185">
        <f>IFERROR(__xludf.DUMMYFUNCTION("""COMPUTED_VALUE"""),174.0)</f>
        <v>174</v>
      </c>
      <c r="J7" s="185">
        <f>IFERROR(__xludf.DUMMYFUNCTION("""COMPUTED_VALUE"""),145.0)</f>
        <v>145</v>
      </c>
      <c r="K7" s="185">
        <f>IFERROR(__xludf.DUMMYFUNCTION("""COMPUTED_VALUE"""),14779.0)</f>
        <v>14779</v>
      </c>
      <c r="L7" s="185">
        <f>IFERROR(__xludf.DUMMYFUNCTION("""COMPUTED_VALUE"""),1482.0)</f>
        <v>1482</v>
      </c>
      <c r="M7" s="185">
        <f>IFERROR(__xludf.DUMMYFUNCTION("""COMPUTED_VALUE"""),90566.0)</f>
        <v>90566</v>
      </c>
      <c r="N7" s="185">
        <f>IFERROR(__xludf.DUMMYFUNCTION("""COMPUTED_VALUE"""),105345.0)</f>
        <v>105345</v>
      </c>
      <c r="O7" s="185">
        <f>IFERROR(__xludf.DUMMYFUNCTION("""COMPUTED_VALUE"""),19.0)</f>
        <v>19</v>
      </c>
      <c r="P7" s="185">
        <f>IFERROR(__xludf.DUMMYFUNCTION("""COMPUTED_VALUE"""),1749.0)</f>
        <v>1749</v>
      </c>
      <c r="Q7" s="185">
        <f>IFERROR(__xludf.DUMMYFUNCTION("""COMPUTED_VALUE"""),26.0)</f>
        <v>26</v>
      </c>
      <c r="R7" s="185">
        <f>IFERROR(__xludf.DUMMYFUNCTION("""COMPUTED_VALUE"""),1297.0)</f>
        <v>1297</v>
      </c>
      <c r="S7" s="185">
        <f>IFERROR(__xludf.DUMMYFUNCTION("""COMPUTED_VALUE"""),7.0)</f>
        <v>7</v>
      </c>
      <c r="T7" s="185">
        <f>IFERROR(__xludf.DUMMYFUNCTION("""COMPUTED_VALUE"""),252.0)</f>
        <v>252</v>
      </c>
      <c r="U7" s="185">
        <f>IFERROR(__xludf.DUMMYFUNCTION("""COMPUTED_VALUE"""),200.0)</f>
        <v>200</v>
      </c>
      <c r="V7" s="185">
        <f>IFERROR(__xludf.DUMMYFUNCTION("""COMPUTED_VALUE"""),215.0)</f>
        <v>215</v>
      </c>
      <c r="W7" s="185">
        <f>IFERROR(__xludf.DUMMYFUNCTION("""COMPUTED_VALUE"""),43.0)</f>
        <v>43</v>
      </c>
      <c r="X7" s="185">
        <f>IFERROR(__xludf.DUMMYFUNCTION("""COMPUTED_VALUE"""),31.0)</f>
        <v>31</v>
      </c>
      <c r="Y7" s="185">
        <f>IFERROR(__xludf.DUMMYFUNCTION("""COMPUTED_VALUE"""),12.0)</f>
        <v>12</v>
      </c>
      <c r="Z7" s="185">
        <f>IFERROR(__xludf.DUMMYFUNCTION("""COMPUTED_VALUE"""),812.0)</f>
        <v>812</v>
      </c>
    </row>
    <row r="8">
      <c r="A8" s="253">
        <f>IFERROR(__xludf.DUMMYFUNCTION("""COMPUTED_VALUE"""),43981.0)</f>
        <v>43981</v>
      </c>
      <c r="B8" s="185">
        <f>IFERROR(__xludf.DUMMYFUNCTION("""COMPUTED_VALUE"""),225.0)</f>
        <v>225</v>
      </c>
      <c r="C8" s="185">
        <f>IFERROR(__xludf.DUMMYFUNCTION("""COMPUTED_VALUE"""),328.0)</f>
        <v>328</v>
      </c>
      <c r="D8" s="185">
        <f>IFERROR(__xludf.DUMMYFUNCTION("""COMPUTED_VALUE"""),20031.0)</f>
        <v>20031</v>
      </c>
      <c r="E8" s="185">
        <f>IFERROR(__xludf.DUMMYFUNCTION("""COMPUTED_VALUE"""),3915.0)</f>
        <v>3915</v>
      </c>
      <c r="F8" s="185">
        <f>IFERROR(__xludf.DUMMYFUNCTION("""COMPUTED_VALUE"""),143683.0)</f>
        <v>143683</v>
      </c>
      <c r="G8" s="185">
        <f>IFERROR(__xludf.DUMMYFUNCTION("""COMPUTED_VALUE"""),4140.0)</f>
        <v>4140</v>
      </c>
      <c r="H8" s="185">
        <f>IFERROR(__xludf.DUMMYFUNCTION("""COMPUTED_VALUE"""),163714.0)</f>
        <v>163714</v>
      </c>
      <c r="I8" s="185">
        <f>IFERROR(__xludf.DUMMYFUNCTION("""COMPUTED_VALUE"""),109.0)</f>
        <v>109</v>
      </c>
      <c r="J8" s="185">
        <f>IFERROR(__xludf.DUMMYFUNCTION("""COMPUTED_VALUE"""),138.0)</f>
        <v>138</v>
      </c>
      <c r="K8" s="185">
        <f>IFERROR(__xludf.DUMMYFUNCTION("""COMPUTED_VALUE"""),14888.0)</f>
        <v>14888</v>
      </c>
      <c r="L8" s="185">
        <f>IFERROR(__xludf.DUMMYFUNCTION("""COMPUTED_VALUE"""),1649.0)</f>
        <v>1649</v>
      </c>
      <c r="M8" s="185">
        <f>IFERROR(__xludf.DUMMYFUNCTION("""COMPUTED_VALUE"""),92215.0)</f>
        <v>92215</v>
      </c>
      <c r="N8" s="185">
        <f>IFERROR(__xludf.DUMMYFUNCTION("""COMPUTED_VALUE"""),107103.0)</f>
        <v>107103</v>
      </c>
      <c r="O8" s="185">
        <f>IFERROR(__xludf.DUMMYFUNCTION("""COMPUTED_VALUE"""),16.0)</f>
        <v>16</v>
      </c>
      <c r="P8" s="185">
        <f>IFERROR(__xludf.DUMMYFUNCTION("""COMPUTED_VALUE"""),1765.0)</f>
        <v>1765</v>
      </c>
      <c r="Q8" s="185">
        <f>IFERROR(__xludf.DUMMYFUNCTION("""COMPUTED_VALUE"""),19.0)</f>
        <v>19</v>
      </c>
      <c r="R8" s="185">
        <f>IFERROR(__xludf.DUMMYFUNCTION("""COMPUTED_VALUE"""),1316.0)</f>
        <v>1316</v>
      </c>
      <c r="S8" s="185">
        <f>IFERROR(__xludf.DUMMYFUNCTION("""COMPUTED_VALUE"""),4.0)</f>
        <v>4</v>
      </c>
      <c r="T8" s="185">
        <f>IFERROR(__xludf.DUMMYFUNCTION("""COMPUTED_VALUE"""),256.0)</f>
        <v>256</v>
      </c>
      <c r="U8" s="185">
        <f>IFERROR(__xludf.DUMMYFUNCTION("""COMPUTED_VALUE"""),193.0)</f>
        <v>193</v>
      </c>
      <c r="V8" s="185">
        <f>IFERROR(__xludf.DUMMYFUNCTION("""COMPUTED_VALUE"""),202.0)</f>
        <v>202</v>
      </c>
      <c r="W8" s="185">
        <f>IFERROR(__xludf.DUMMYFUNCTION("""COMPUTED_VALUE"""),41.0)</f>
        <v>41</v>
      </c>
      <c r="X8" s="185">
        <f>IFERROR(__xludf.DUMMYFUNCTION("""COMPUTED_VALUE"""),29.0)</f>
        <v>29</v>
      </c>
      <c r="Y8" s="185">
        <f>IFERROR(__xludf.DUMMYFUNCTION("""COMPUTED_VALUE"""),12.0)</f>
        <v>12</v>
      </c>
      <c r="Z8" s="185">
        <f>IFERROR(__xludf.DUMMYFUNCTION("""COMPUTED_VALUE"""),824.0)</f>
        <v>824</v>
      </c>
    </row>
    <row r="9">
      <c r="A9" s="253">
        <f>IFERROR(__xludf.DUMMYFUNCTION("""COMPUTED_VALUE"""),43982.0)</f>
        <v>43982</v>
      </c>
      <c r="B9" s="185">
        <f>IFERROR(__xludf.DUMMYFUNCTION("""COMPUTED_VALUE"""),155.0)</f>
        <v>155</v>
      </c>
      <c r="C9" s="185">
        <f>IFERROR(__xludf.DUMMYFUNCTION("""COMPUTED_VALUE"""),263.0)</f>
        <v>263</v>
      </c>
      <c r="D9" s="185">
        <f>IFERROR(__xludf.DUMMYFUNCTION("""COMPUTED_VALUE"""),20186.0)</f>
        <v>20186</v>
      </c>
      <c r="E9" s="185">
        <f>IFERROR(__xludf.DUMMYFUNCTION("""COMPUTED_VALUE"""),1690.0)</f>
        <v>1690</v>
      </c>
      <c r="F9" s="185">
        <f>IFERROR(__xludf.DUMMYFUNCTION("""COMPUTED_VALUE"""),145373.0)</f>
        <v>145373</v>
      </c>
      <c r="G9" s="185">
        <f>IFERROR(__xludf.DUMMYFUNCTION("""COMPUTED_VALUE"""),1845.0)</f>
        <v>1845</v>
      </c>
      <c r="H9" s="185">
        <f>IFERROR(__xludf.DUMMYFUNCTION("""COMPUTED_VALUE"""),165559.0)</f>
        <v>165559</v>
      </c>
      <c r="I9" s="185">
        <f>IFERROR(__xludf.DUMMYFUNCTION("""COMPUTED_VALUE"""),78.0)</f>
        <v>78</v>
      </c>
      <c r="J9" s="185">
        <f>IFERROR(__xludf.DUMMYFUNCTION("""COMPUTED_VALUE"""),120.0)</f>
        <v>120</v>
      </c>
      <c r="K9" s="185">
        <f>IFERROR(__xludf.DUMMYFUNCTION("""COMPUTED_VALUE"""),14966.0)</f>
        <v>14966</v>
      </c>
      <c r="L9" s="185">
        <f>IFERROR(__xludf.DUMMYFUNCTION("""COMPUTED_VALUE"""),790.0)</f>
        <v>790</v>
      </c>
      <c r="M9" s="185">
        <f>IFERROR(__xludf.DUMMYFUNCTION("""COMPUTED_VALUE"""),93005.0)</f>
        <v>93005</v>
      </c>
      <c r="N9" s="185">
        <f>IFERROR(__xludf.DUMMYFUNCTION("""COMPUTED_VALUE"""),107971.0)</f>
        <v>107971</v>
      </c>
      <c r="O9" s="185">
        <f>IFERROR(__xludf.DUMMYFUNCTION("""COMPUTED_VALUE"""),11.0)</f>
        <v>11</v>
      </c>
      <c r="P9" s="185">
        <f>IFERROR(__xludf.DUMMYFUNCTION("""COMPUTED_VALUE"""),1776.0)</f>
        <v>1776</v>
      </c>
      <c r="Q9" s="185">
        <f>IFERROR(__xludf.DUMMYFUNCTION("""COMPUTED_VALUE"""),11.0)</f>
        <v>11</v>
      </c>
      <c r="R9" s="185">
        <f>IFERROR(__xludf.DUMMYFUNCTION("""COMPUTED_VALUE"""),1327.0)</f>
        <v>1327</v>
      </c>
      <c r="S9" s="185">
        <f>IFERROR(__xludf.DUMMYFUNCTION("""COMPUTED_VALUE"""),1.0)</f>
        <v>1</v>
      </c>
      <c r="T9" s="185">
        <f>IFERROR(__xludf.DUMMYFUNCTION("""COMPUTED_VALUE"""),257.0)</f>
        <v>257</v>
      </c>
      <c r="U9" s="185">
        <f>IFERROR(__xludf.DUMMYFUNCTION("""COMPUTED_VALUE"""),192.0)</f>
        <v>192</v>
      </c>
      <c r="V9" s="185">
        <f>IFERROR(__xludf.DUMMYFUNCTION("""COMPUTED_VALUE"""),195.0)</f>
        <v>195</v>
      </c>
      <c r="W9" s="185">
        <f>IFERROR(__xludf.DUMMYFUNCTION("""COMPUTED_VALUE"""),44.0)</f>
        <v>44</v>
      </c>
      <c r="X9" s="185">
        <f>IFERROR(__xludf.DUMMYFUNCTION("""COMPUTED_VALUE"""),26.0)</f>
        <v>26</v>
      </c>
      <c r="Y9" s="185">
        <f>IFERROR(__xludf.DUMMYFUNCTION("""COMPUTED_VALUE"""),3.0)</f>
        <v>3</v>
      </c>
      <c r="Z9" s="185">
        <f>IFERROR(__xludf.DUMMYFUNCTION("""COMPUTED_VALUE"""),827.0)</f>
        <v>827</v>
      </c>
    </row>
    <row r="10">
      <c r="A10" s="253">
        <f>IFERROR(__xludf.DUMMYFUNCTION("""COMPUTED_VALUE"""),43983.0)</f>
        <v>43983</v>
      </c>
      <c r="B10" s="185">
        <f>IFERROR(__xludf.DUMMYFUNCTION("""COMPUTED_VALUE"""),212.0)</f>
        <v>212</v>
      </c>
      <c r="C10" s="185">
        <f>IFERROR(__xludf.DUMMYFUNCTION("""COMPUTED_VALUE"""),197.0)</f>
        <v>197</v>
      </c>
      <c r="D10" s="185">
        <f>IFERROR(__xludf.DUMMYFUNCTION("""COMPUTED_VALUE"""),20398.0)</f>
        <v>20398</v>
      </c>
      <c r="E10" s="185">
        <f>IFERROR(__xludf.DUMMYFUNCTION("""COMPUTED_VALUE"""),2792.0)</f>
        <v>2792</v>
      </c>
      <c r="F10" s="185">
        <f>IFERROR(__xludf.DUMMYFUNCTION("""COMPUTED_VALUE"""),148165.0)</f>
        <v>148165</v>
      </c>
      <c r="G10" s="185">
        <f>IFERROR(__xludf.DUMMYFUNCTION("""COMPUTED_VALUE"""),3004.0)</f>
        <v>3004</v>
      </c>
      <c r="H10" s="185">
        <f>IFERROR(__xludf.DUMMYFUNCTION("""COMPUTED_VALUE"""),168563.0)</f>
        <v>168563</v>
      </c>
      <c r="I10" s="185">
        <f>IFERROR(__xludf.DUMMYFUNCTION("""COMPUTED_VALUE"""),93.0)</f>
        <v>93</v>
      </c>
      <c r="J10" s="185">
        <f>IFERROR(__xludf.DUMMYFUNCTION("""COMPUTED_VALUE"""),93.0)</f>
        <v>93</v>
      </c>
      <c r="K10" s="185">
        <f>IFERROR(__xludf.DUMMYFUNCTION("""COMPUTED_VALUE"""),15059.0)</f>
        <v>15059</v>
      </c>
      <c r="L10" s="185">
        <f>IFERROR(__xludf.DUMMYFUNCTION("""COMPUTED_VALUE"""),1324.0)</f>
        <v>1324</v>
      </c>
      <c r="M10" s="185">
        <f>IFERROR(__xludf.DUMMYFUNCTION("""COMPUTED_VALUE"""),94329.0)</f>
        <v>94329</v>
      </c>
      <c r="N10" s="185">
        <f>IFERROR(__xludf.DUMMYFUNCTION("""COMPUTED_VALUE"""),109388.0)</f>
        <v>109388</v>
      </c>
      <c r="O10" s="185">
        <f>IFERROR(__xludf.DUMMYFUNCTION("""COMPUTED_VALUE"""),8.0)</f>
        <v>8</v>
      </c>
      <c r="P10" s="185">
        <f>IFERROR(__xludf.DUMMYFUNCTION("""COMPUTED_VALUE"""),1784.0)</f>
        <v>1784</v>
      </c>
      <c r="Q10" s="185">
        <f>IFERROR(__xludf.DUMMYFUNCTION("""COMPUTED_VALUE"""),14.0)</f>
        <v>14</v>
      </c>
      <c r="R10" s="185">
        <f>IFERROR(__xludf.DUMMYFUNCTION("""COMPUTED_VALUE"""),1341.0)</f>
        <v>1341</v>
      </c>
      <c r="S10" s="185">
        <f>IFERROR(__xludf.DUMMYFUNCTION("""COMPUTED_VALUE"""),1.0)</f>
        <v>1</v>
      </c>
      <c r="T10" s="185">
        <f>IFERROR(__xludf.DUMMYFUNCTION("""COMPUTED_VALUE"""),258.0)</f>
        <v>258</v>
      </c>
      <c r="U10" s="185">
        <f>IFERROR(__xludf.DUMMYFUNCTION("""COMPUTED_VALUE"""),185.0)</f>
        <v>185</v>
      </c>
      <c r="V10" s="185">
        <f>IFERROR(__xludf.DUMMYFUNCTION("""COMPUTED_VALUE"""),190.0)</f>
        <v>190</v>
      </c>
      <c r="W10" s="185">
        <f>IFERROR(__xludf.DUMMYFUNCTION("""COMPUTED_VALUE"""),45.0)</f>
        <v>45</v>
      </c>
      <c r="X10" s="185">
        <f>IFERROR(__xludf.DUMMYFUNCTION("""COMPUTED_VALUE"""),29.0)</f>
        <v>29</v>
      </c>
      <c r="Y10" s="185">
        <f>IFERROR(__xludf.DUMMYFUNCTION("""COMPUTED_VALUE"""),5.0)</f>
        <v>5</v>
      </c>
      <c r="Z10" s="185">
        <f>IFERROR(__xludf.DUMMYFUNCTION("""COMPUTED_VALUE"""),832.0)</f>
        <v>832</v>
      </c>
    </row>
    <row r="11">
      <c r="A11" s="253">
        <f>IFERROR(__xludf.DUMMYFUNCTION("""COMPUTED_VALUE"""),43984.0)</f>
        <v>43984</v>
      </c>
      <c r="B11" s="185">
        <f>IFERROR(__xludf.DUMMYFUNCTION("""COMPUTED_VALUE"""),273.0)</f>
        <v>273</v>
      </c>
      <c r="C11" s="185">
        <f>IFERROR(__xludf.DUMMYFUNCTION("""COMPUTED_VALUE"""),213.0)</f>
        <v>213</v>
      </c>
      <c r="D11" s="185">
        <f>IFERROR(__xludf.DUMMYFUNCTION("""COMPUTED_VALUE"""),20671.0)</f>
        <v>20671</v>
      </c>
      <c r="E11" s="185">
        <f>IFERROR(__xludf.DUMMYFUNCTION("""COMPUTED_VALUE"""),3022.0)</f>
        <v>3022</v>
      </c>
      <c r="F11" s="185">
        <f>IFERROR(__xludf.DUMMYFUNCTION("""COMPUTED_VALUE"""),151187.0)</f>
        <v>151187</v>
      </c>
      <c r="G11" s="185">
        <f>IFERROR(__xludf.DUMMYFUNCTION("""COMPUTED_VALUE"""),3295.0)</f>
        <v>3295</v>
      </c>
      <c r="H11" s="185">
        <f>IFERROR(__xludf.DUMMYFUNCTION("""COMPUTED_VALUE"""),171858.0)</f>
        <v>171858</v>
      </c>
      <c r="I11" s="185">
        <f>IFERROR(__xludf.DUMMYFUNCTION("""COMPUTED_VALUE"""),98.0)</f>
        <v>98</v>
      </c>
      <c r="J11" s="185">
        <f>IFERROR(__xludf.DUMMYFUNCTION("""COMPUTED_VALUE"""),90.0)</f>
        <v>90</v>
      </c>
      <c r="K11" s="185">
        <f>IFERROR(__xludf.DUMMYFUNCTION("""COMPUTED_VALUE"""),15157.0)</f>
        <v>15157</v>
      </c>
      <c r="L11" s="185">
        <f>IFERROR(__xludf.DUMMYFUNCTION("""COMPUTED_VALUE"""),1369.0)</f>
        <v>1369</v>
      </c>
      <c r="M11" s="185">
        <f>IFERROR(__xludf.DUMMYFUNCTION("""COMPUTED_VALUE"""),95698.0)</f>
        <v>95698</v>
      </c>
      <c r="N11" s="185">
        <f>IFERROR(__xludf.DUMMYFUNCTION("""COMPUTED_VALUE"""),110855.0)</f>
        <v>110855</v>
      </c>
      <c r="O11" s="185">
        <f>IFERROR(__xludf.DUMMYFUNCTION("""COMPUTED_VALUE"""),8.0)</f>
        <v>8</v>
      </c>
      <c r="P11" s="185">
        <f>IFERROR(__xludf.DUMMYFUNCTION("""COMPUTED_VALUE"""),1792.0)</f>
        <v>1792</v>
      </c>
      <c r="Q11" s="185">
        <f>IFERROR(__xludf.DUMMYFUNCTION("""COMPUTED_VALUE"""),9.0)</f>
        <v>9</v>
      </c>
      <c r="R11" s="185">
        <f>IFERROR(__xludf.DUMMYFUNCTION("""COMPUTED_VALUE"""),1350.0)</f>
        <v>1350</v>
      </c>
      <c r="S11" s="185">
        <f>IFERROR(__xludf.DUMMYFUNCTION("""COMPUTED_VALUE"""),3.0)</f>
        <v>3</v>
      </c>
      <c r="T11" s="185">
        <f>IFERROR(__xludf.DUMMYFUNCTION("""COMPUTED_VALUE"""),261.0)</f>
        <v>261</v>
      </c>
      <c r="U11" s="185">
        <f>IFERROR(__xludf.DUMMYFUNCTION("""COMPUTED_VALUE"""),181.0)</f>
        <v>181</v>
      </c>
      <c r="V11" s="185">
        <f>IFERROR(__xludf.DUMMYFUNCTION("""COMPUTED_VALUE"""),186.0)</f>
        <v>186</v>
      </c>
      <c r="W11" s="185">
        <f>IFERROR(__xludf.DUMMYFUNCTION("""COMPUTED_VALUE"""),38.0)</f>
        <v>38</v>
      </c>
      <c r="X11" s="185">
        <f>IFERROR(__xludf.DUMMYFUNCTION("""COMPUTED_VALUE"""),25.0)</f>
        <v>25</v>
      </c>
      <c r="Y11" s="185">
        <f>IFERROR(__xludf.DUMMYFUNCTION("""COMPUTED_VALUE"""),10.0)</f>
        <v>10</v>
      </c>
      <c r="Z11" s="185">
        <f>IFERROR(__xludf.DUMMYFUNCTION("""COMPUTED_VALUE"""),842.0)</f>
        <v>842</v>
      </c>
    </row>
    <row r="12">
      <c r="A12" s="253">
        <f>IFERROR(__xludf.DUMMYFUNCTION("""COMPUTED_VALUE"""),43985.0)</f>
        <v>43985</v>
      </c>
      <c r="B12" s="185">
        <f>IFERROR(__xludf.DUMMYFUNCTION("""COMPUTED_VALUE"""),254.0)</f>
        <v>254</v>
      </c>
      <c r="C12" s="185">
        <f>IFERROR(__xludf.DUMMYFUNCTION("""COMPUTED_VALUE"""),246.0)</f>
        <v>246</v>
      </c>
      <c r="D12" s="185">
        <f>IFERROR(__xludf.DUMMYFUNCTION("""COMPUTED_VALUE"""),20925.0)</f>
        <v>20925</v>
      </c>
      <c r="E12" s="185">
        <f>IFERROR(__xludf.DUMMYFUNCTION("""COMPUTED_VALUE"""),3486.0)</f>
        <v>3486</v>
      </c>
      <c r="F12" s="185">
        <f>IFERROR(__xludf.DUMMYFUNCTION("""COMPUTED_VALUE"""),154673.0)</f>
        <v>154673</v>
      </c>
      <c r="G12" s="185">
        <f>IFERROR(__xludf.DUMMYFUNCTION("""COMPUTED_VALUE"""),3740.0)</f>
        <v>3740</v>
      </c>
      <c r="H12" s="185">
        <f>IFERROR(__xludf.DUMMYFUNCTION("""COMPUTED_VALUE"""),175598.0)</f>
        <v>175598</v>
      </c>
      <c r="I12" s="185">
        <f>IFERROR(__xludf.DUMMYFUNCTION("""COMPUTED_VALUE"""),99.0)</f>
        <v>99</v>
      </c>
      <c r="J12" s="185">
        <f>IFERROR(__xludf.DUMMYFUNCTION("""COMPUTED_VALUE"""),97.0)</f>
        <v>97</v>
      </c>
      <c r="K12" s="185">
        <f>IFERROR(__xludf.DUMMYFUNCTION("""COMPUTED_VALUE"""),15256.0)</f>
        <v>15256</v>
      </c>
      <c r="L12" s="185">
        <f>IFERROR(__xludf.DUMMYFUNCTION("""COMPUTED_VALUE"""),1579.0)</f>
        <v>1579</v>
      </c>
      <c r="M12" s="185">
        <f>IFERROR(__xludf.DUMMYFUNCTION("""COMPUTED_VALUE"""),97277.0)</f>
        <v>97277</v>
      </c>
      <c r="N12" s="185">
        <f>IFERROR(__xludf.DUMMYFUNCTION("""COMPUTED_VALUE"""),112533.0)</f>
        <v>112533</v>
      </c>
      <c r="O12" s="185">
        <f>IFERROR(__xludf.DUMMYFUNCTION("""COMPUTED_VALUE"""),14.0)</f>
        <v>14</v>
      </c>
      <c r="P12" s="185">
        <f>IFERROR(__xludf.DUMMYFUNCTION("""COMPUTED_VALUE"""),1806.0)</f>
        <v>1806</v>
      </c>
      <c r="Q12" s="185">
        <f>IFERROR(__xludf.DUMMYFUNCTION("""COMPUTED_VALUE"""),18.0)</f>
        <v>18</v>
      </c>
      <c r="R12" s="185">
        <f>IFERROR(__xludf.DUMMYFUNCTION("""COMPUTED_VALUE"""),1368.0)</f>
        <v>1368</v>
      </c>
      <c r="S12" s="185">
        <f>IFERROR(__xludf.DUMMYFUNCTION("""COMPUTED_VALUE"""),6.0)</f>
        <v>6</v>
      </c>
      <c r="T12" s="185">
        <f>IFERROR(__xludf.DUMMYFUNCTION("""COMPUTED_VALUE"""),267.0)</f>
        <v>267</v>
      </c>
      <c r="U12" s="185">
        <f>IFERROR(__xludf.DUMMYFUNCTION("""COMPUTED_VALUE"""),171.0)</f>
        <v>171</v>
      </c>
      <c r="V12" s="185">
        <f>IFERROR(__xludf.DUMMYFUNCTION("""COMPUTED_VALUE"""),179.0)</f>
        <v>179</v>
      </c>
      <c r="W12" s="185">
        <f>IFERROR(__xludf.DUMMYFUNCTION("""COMPUTED_VALUE"""),34.0)</f>
        <v>34</v>
      </c>
      <c r="X12" s="185">
        <f>IFERROR(__xludf.DUMMYFUNCTION("""COMPUTED_VALUE"""),25.0)</f>
        <v>25</v>
      </c>
      <c r="Y12" s="185">
        <f>IFERROR(__xludf.DUMMYFUNCTION("""COMPUTED_VALUE"""),11.0)</f>
        <v>11</v>
      </c>
      <c r="Z12" s="185">
        <f>IFERROR(__xludf.DUMMYFUNCTION("""COMPUTED_VALUE"""),853.0)</f>
        <v>853</v>
      </c>
    </row>
    <row r="13">
      <c r="A13" s="253">
        <f>IFERROR(__xludf.DUMMYFUNCTION("""COMPUTED_VALUE"""),43986.0)</f>
        <v>43986</v>
      </c>
      <c r="B13" s="185">
        <f>IFERROR(__xludf.DUMMYFUNCTION("""COMPUTED_VALUE"""),276.0)</f>
        <v>276</v>
      </c>
      <c r="C13" s="185">
        <f>IFERROR(__xludf.DUMMYFUNCTION("""COMPUTED_VALUE"""),268.0)</f>
        <v>268</v>
      </c>
      <c r="D13" s="185">
        <f>IFERROR(__xludf.DUMMYFUNCTION("""COMPUTED_VALUE"""),21201.0)</f>
        <v>21201</v>
      </c>
      <c r="E13" s="185">
        <f>IFERROR(__xludf.DUMMYFUNCTION("""COMPUTED_VALUE"""),4471.0)</f>
        <v>4471</v>
      </c>
      <c r="F13" s="185">
        <f>IFERROR(__xludf.DUMMYFUNCTION("""COMPUTED_VALUE"""),159144.0)</f>
        <v>159144</v>
      </c>
      <c r="G13" s="185">
        <f>IFERROR(__xludf.DUMMYFUNCTION("""COMPUTED_VALUE"""),4747.0)</f>
        <v>4747</v>
      </c>
      <c r="H13" s="185">
        <f>IFERROR(__xludf.DUMMYFUNCTION("""COMPUTED_VALUE"""),180345.0)</f>
        <v>180345</v>
      </c>
      <c r="I13" s="185">
        <f>IFERROR(__xludf.DUMMYFUNCTION("""COMPUTED_VALUE"""),107.0)</f>
        <v>107</v>
      </c>
      <c r="J13" s="185">
        <f>IFERROR(__xludf.DUMMYFUNCTION("""COMPUTED_VALUE"""),101.0)</f>
        <v>101</v>
      </c>
      <c r="K13" s="185">
        <f>IFERROR(__xludf.DUMMYFUNCTION("""COMPUTED_VALUE"""),15363.0)</f>
        <v>15363</v>
      </c>
      <c r="L13" s="185">
        <f>IFERROR(__xludf.DUMMYFUNCTION("""COMPUTED_VALUE"""),1921.0)</f>
        <v>1921</v>
      </c>
      <c r="M13" s="185">
        <f>IFERROR(__xludf.DUMMYFUNCTION("""COMPUTED_VALUE"""),99198.0)</f>
        <v>99198</v>
      </c>
      <c r="N13" s="185">
        <f>IFERROR(__xludf.DUMMYFUNCTION("""COMPUTED_VALUE"""),114561.0)</f>
        <v>114561</v>
      </c>
      <c r="O13" s="185">
        <f>IFERROR(__xludf.DUMMYFUNCTION("""COMPUTED_VALUE"""),7.0)</f>
        <v>7</v>
      </c>
      <c r="P13" s="185">
        <f>IFERROR(__xludf.DUMMYFUNCTION("""COMPUTED_VALUE"""),1813.0)</f>
        <v>1813</v>
      </c>
      <c r="Q13" s="185">
        <f>IFERROR(__xludf.DUMMYFUNCTION("""COMPUTED_VALUE"""),26.0)</f>
        <v>26</v>
      </c>
      <c r="R13" s="185">
        <f>IFERROR(__xludf.DUMMYFUNCTION("""COMPUTED_VALUE"""),1394.0)</f>
        <v>1394</v>
      </c>
      <c r="S13" s="185">
        <f>IFERROR(__xludf.DUMMYFUNCTION("""COMPUTED_VALUE"""),4.0)</f>
        <v>4</v>
      </c>
      <c r="T13" s="185">
        <f>IFERROR(__xludf.DUMMYFUNCTION("""COMPUTED_VALUE"""),271.0)</f>
        <v>271</v>
      </c>
      <c r="U13" s="185">
        <f>IFERROR(__xludf.DUMMYFUNCTION("""COMPUTED_VALUE"""),148.0)</f>
        <v>148</v>
      </c>
      <c r="V13" s="185">
        <f>IFERROR(__xludf.DUMMYFUNCTION("""COMPUTED_VALUE"""),167.0)</f>
        <v>167</v>
      </c>
      <c r="W13" s="185">
        <f>IFERROR(__xludf.DUMMYFUNCTION("""COMPUTED_VALUE"""),31.0)</f>
        <v>31</v>
      </c>
      <c r="X13" s="185">
        <f>IFERROR(__xludf.DUMMYFUNCTION("""COMPUTED_VALUE"""),24.0)</f>
        <v>24</v>
      </c>
      <c r="Y13" s="185">
        <f>IFERROR(__xludf.DUMMYFUNCTION("""COMPUTED_VALUE"""),12.0)</f>
        <v>12</v>
      </c>
      <c r="Z13" s="185">
        <f>IFERROR(__xludf.DUMMYFUNCTION("""COMPUTED_VALUE"""),865.0)</f>
        <v>865</v>
      </c>
    </row>
    <row r="14">
      <c r="A14" s="253">
        <f>IFERROR(__xludf.DUMMYFUNCTION("""COMPUTED_VALUE"""),43987.0)</f>
        <v>43987</v>
      </c>
      <c r="B14" s="185">
        <f>IFERROR(__xludf.DUMMYFUNCTION("""COMPUTED_VALUE"""),215.0)</f>
        <v>215</v>
      </c>
      <c r="C14" s="185">
        <f>IFERROR(__xludf.DUMMYFUNCTION("""COMPUTED_VALUE"""),248.0)</f>
        <v>248</v>
      </c>
      <c r="D14" s="185">
        <f>IFERROR(__xludf.DUMMYFUNCTION("""COMPUTED_VALUE"""),21416.0)</f>
        <v>21416</v>
      </c>
      <c r="E14" s="185">
        <f>IFERROR(__xludf.DUMMYFUNCTION("""COMPUTED_VALUE"""),3513.0)</f>
        <v>3513</v>
      </c>
      <c r="F14" s="185">
        <f>IFERROR(__xludf.DUMMYFUNCTION("""COMPUTED_VALUE"""),162657.0)</f>
        <v>162657</v>
      </c>
      <c r="G14" s="185">
        <f>IFERROR(__xludf.DUMMYFUNCTION("""COMPUTED_VALUE"""),3728.0)</f>
        <v>3728</v>
      </c>
      <c r="H14" s="185">
        <f>IFERROR(__xludf.DUMMYFUNCTION("""COMPUTED_VALUE"""),184073.0)</f>
        <v>184073</v>
      </c>
      <c r="I14" s="185">
        <f>IFERROR(__xludf.DUMMYFUNCTION("""COMPUTED_VALUE"""),99.0)</f>
        <v>99</v>
      </c>
      <c r="J14" s="185">
        <f>IFERROR(__xludf.DUMMYFUNCTION("""COMPUTED_VALUE"""),102.0)</f>
        <v>102</v>
      </c>
      <c r="K14" s="185">
        <f>IFERROR(__xludf.DUMMYFUNCTION("""COMPUTED_VALUE"""),15462.0)</f>
        <v>15462</v>
      </c>
      <c r="L14" s="185">
        <f>IFERROR(__xludf.DUMMYFUNCTION("""COMPUTED_VALUE"""),1468.0)</f>
        <v>1468</v>
      </c>
      <c r="M14" s="185">
        <f>IFERROR(__xludf.DUMMYFUNCTION("""COMPUTED_VALUE"""),100666.0)</f>
        <v>100666</v>
      </c>
      <c r="N14" s="185">
        <f>IFERROR(__xludf.DUMMYFUNCTION("""COMPUTED_VALUE"""),116128.0)</f>
        <v>116128</v>
      </c>
      <c r="O14" s="185">
        <f>IFERROR(__xludf.DUMMYFUNCTION("""COMPUTED_VALUE"""),15.0)</f>
        <v>15</v>
      </c>
      <c r="P14" s="185">
        <f>IFERROR(__xludf.DUMMYFUNCTION("""COMPUTED_VALUE"""),1828.0)</f>
        <v>1828</v>
      </c>
      <c r="Q14" s="185">
        <f>IFERROR(__xludf.DUMMYFUNCTION("""COMPUTED_VALUE"""),13.0)</f>
        <v>13</v>
      </c>
      <c r="R14" s="185">
        <f>IFERROR(__xludf.DUMMYFUNCTION("""COMPUTED_VALUE"""),1407.0)</f>
        <v>1407</v>
      </c>
      <c r="S14" s="185">
        <f>IFERROR(__xludf.DUMMYFUNCTION("""COMPUTED_VALUE"""),6.0)</f>
        <v>6</v>
      </c>
      <c r="T14" s="185">
        <f>IFERROR(__xludf.DUMMYFUNCTION("""COMPUTED_VALUE"""),277.0)</f>
        <v>277</v>
      </c>
      <c r="U14" s="185">
        <f>IFERROR(__xludf.DUMMYFUNCTION("""COMPUTED_VALUE"""),144.0)</f>
        <v>144</v>
      </c>
      <c r="V14" s="185">
        <f>IFERROR(__xludf.DUMMYFUNCTION("""COMPUTED_VALUE"""),154.0)</f>
        <v>154</v>
      </c>
      <c r="W14" s="185">
        <f>IFERROR(__xludf.DUMMYFUNCTION("""COMPUTED_VALUE"""),27.0)</f>
        <v>27</v>
      </c>
      <c r="X14" s="185">
        <f>IFERROR(__xludf.DUMMYFUNCTION("""COMPUTED_VALUE"""),21.0)</f>
        <v>21</v>
      </c>
      <c r="Y14" s="185">
        <f>IFERROR(__xludf.DUMMYFUNCTION("""COMPUTED_VALUE"""),11.0)</f>
        <v>11</v>
      </c>
      <c r="Z14" s="185">
        <f>IFERROR(__xludf.DUMMYFUNCTION("""COMPUTED_VALUE"""),876.0)</f>
        <v>876</v>
      </c>
    </row>
    <row r="15">
      <c r="A15" s="253">
        <f>IFERROR(__xludf.DUMMYFUNCTION("""COMPUTED_VALUE"""),43988.0)</f>
        <v>43988</v>
      </c>
      <c r="B15" s="185">
        <f>IFERROR(__xludf.DUMMYFUNCTION("""COMPUTED_VALUE"""),201.0)</f>
        <v>201</v>
      </c>
      <c r="C15" s="185">
        <f>IFERROR(__xludf.DUMMYFUNCTION("""COMPUTED_VALUE"""),231.0)</f>
        <v>231</v>
      </c>
      <c r="D15" s="185">
        <f>IFERROR(__xludf.DUMMYFUNCTION("""COMPUTED_VALUE"""),21617.0)</f>
        <v>21617</v>
      </c>
      <c r="E15" s="185">
        <f>IFERROR(__xludf.DUMMYFUNCTION("""COMPUTED_VALUE"""),2616.0)</f>
        <v>2616</v>
      </c>
      <c r="F15" s="185">
        <f>IFERROR(__xludf.DUMMYFUNCTION("""COMPUTED_VALUE"""),165273.0)</f>
        <v>165273</v>
      </c>
      <c r="G15" s="185">
        <f>IFERROR(__xludf.DUMMYFUNCTION("""COMPUTED_VALUE"""),2817.0)</f>
        <v>2817</v>
      </c>
      <c r="H15" s="185">
        <f>IFERROR(__xludf.DUMMYFUNCTION("""COMPUTED_VALUE"""),186890.0)</f>
        <v>186890</v>
      </c>
      <c r="I15" s="185">
        <f>IFERROR(__xludf.DUMMYFUNCTION("""COMPUTED_VALUE"""),67.0)</f>
        <v>67</v>
      </c>
      <c r="J15" s="185">
        <f>IFERROR(__xludf.DUMMYFUNCTION("""COMPUTED_VALUE"""),91.0)</f>
        <v>91</v>
      </c>
      <c r="K15" s="185">
        <f>IFERROR(__xludf.DUMMYFUNCTION("""COMPUTED_VALUE"""),15529.0)</f>
        <v>15529</v>
      </c>
      <c r="L15" s="185">
        <f>IFERROR(__xludf.DUMMYFUNCTION("""COMPUTED_VALUE"""),1069.0)</f>
        <v>1069</v>
      </c>
      <c r="M15" s="185">
        <f>IFERROR(__xludf.DUMMYFUNCTION("""COMPUTED_VALUE"""),101735.0)</f>
        <v>101735</v>
      </c>
      <c r="N15" s="185">
        <f>IFERROR(__xludf.DUMMYFUNCTION("""COMPUTED_VALUE"""),117264.0)</f>
        <v>117264</v>
      </c>
      <c r="O15" s="185">
        <f>IFERROR(__xludf.DUMMYFUNCTION("""COMPUTED_VALUE"""),10.0)</f>
        <v>10</v>
      </c>
      <c r="P15" s="185">
        <f>IFERROR(__xludf.DUMMYFUNCTION("""COMPUTED_VALUE"""),1838.0)</f>
        <v>1838</v>
      </c>
      <c r="Q15" s="185">
        <f>IFERROR(__xludf.DUMMYFUNCTION("""COMPUTED_VALUE"""),7.0)</f>
        <v>7</v>
      </c>
      <c r="R15" s="185">
        <f>IFERROR(__xludf.DUMMYFUNCTION("""COMPUTED_VALUE"""),1414.0)</f>
        <v>1414</v>
      </c>
      <c r="S15" s="185">
        <f>IFERROR(__xludf.DUMMYFUNCTION("""COMPUTED_VALUE"""),2.0)</f>
        <v>2</v>
      </c>
      <c r="T15" s="185">
        <f>IFERROR(__xludf.DUMMYFUNCTION("""COMPUTED_VALUE"""),279.0)</f>
        <v>279</v>
      </c>
      <c r="U15" s="185">
        <f>IFERROR(__xludf.DUMMYFUNCTION("""COMPUTED_VALUE"""),145.0)</f>
        <v>145</v>
      </c>
      <c r="V15" s="185">
        <f>IFERROR(__xludf.DUMMYFUNCTION("""COMPUTED_VALUE"""),146.0)</f>
        <v>146</v>
      </c>
      <c r="W15" s="185">
        <f>IFERROR(__xludf.DUMMYFUNCTION("""COMPUTED_VALUE"""),29.0)</f>
        <v>29</v>
      </c>
      <c r="X15" s="185">
        <f>IFERROR(__xludf.DUMMYFUNCTION("""COMPUTED_VALUE"""),19.0)</f>
        <v>19</v>
      </c>
      <c r="Y15" s="185">
        <f>IFERROR(__xludf.DUMMYFUNCTION("""COMPUTED_VALUE"""),6.0)</f>
        <v>6</v>
      </c>
      <c r="Z15" s="185">
        <f>IFERROR(__xludf.DUMMYFUNCTION("""COMPUTED_VALUE"""),882.0)</f>
        <v>882</v>
      </c>
    </row>
    <row r="16">
      <c r="A16" s="253">
        <f>IFERROR(__xludf.DUMMYFUNCTION("""COMPUTED_VALUE"""),43989.0)</f>
        <v>43989</v>
      </c>
      <c r="B16" s="185">
        <f>IFERROR(__xludf.DUMMYFUNCTION("""COMPUTED_VALUE"""),83.0)</f>
        <v>83</v>
      </c>
      <c r="C16" s="185">
        <f>IFERROR(__xludf.DUMMYFUNCTION("""COMPUTED_VALUE"""),166.0)</f>
        <v>166</v>
      </c>
      <c r="D16" s="185">
        <f>IFERROR(__xludf.DUMMYFUNCTION("""COMPUTED_VALUE"""),21700.0)</f>
        <v>21700</v>
      </c>
      <c r="E16" s="185">
        <f>IFERROR(__xludf.DUMMYFUNCTION("""COMPUTED_VALUE"""),1625.0)</f>
        <v>1625</v>
      </c>
      <c r="F16" s="185">
        <f>IFERROR(__xludf.DUMMYFUNCTION("""COMPUTED_VALUE"""),166898.0)</f>
        <v>166898</v>
      </c>
      <c r="G16" s="185">
        <f>IFERROR(__xludf.DUMMYFUNCTION("""COMPUTED_VALUE"""),1708.0)</f>
        <v>1708</v>
      </c>
      <c r="H16" s="185">
        <f>IFERROR(__xludf.DUMMYFUNCTION("""COMPUTED_VALUE"""),188598.0)</f>
        <v>188598</v>
      </c>
      <c r="I16" s="185">
        <f>IFERROR(__xludf.DUMMYFUNCTION("""COMPUTED_VALUE"""),51.0)</f>
        <v>51</v>
      </c>
      <c r="J16" s="185">
        <f>IFERROR(__xludf.DUMMYFUNCTION("""COMPUTED_VALUE"""),72.0)</f>
        <v>72</v>
      </c>
      <c r="K16" s="185">
        <f>IFERROR(__xludf.DUMMYFUNCTION("""COMPUTED_VALUE"""),15580.0)</f>
        <v>15580</v>
      </c>
      <c r="L16" s="185">
        <f>IFERROR(__xludf.DUMMYFUNCTION("""COMPUTED_VALUE"""),768.0)</f>
        <v>768</v>
      </c>
      <c r="M16" s="185">
        <f>IFERROR(__xludf.DUMMYFUNCTION("""COMPUTED_VALUE"""),102503.0)</f>
        <v>102503</v>
      </c>
      <c r="N16" s="185">
        <f>IFERROR(__xludf.DUMMYFUNCTION("""COMPUTED_VALUE"""),118083.0)</f>
        <v>118083</v>
      </c>
      <c r="O16" s="185">
        <f>IFERROR(__xludf.DUMMYFUNCTION("""COMPUTED_VALUE"""),11.0)</f>
        <v>11</v>
      </c>
      <c r="P16" s="185">
        <f>IFERROR(__xludf.DUMMYFUNCTION("""COMPUTED_VALUE"""),1849.0)</f>
        <v>1849</v>
      </c>
      <c r="Q16" s="185">
        <f>IFERROR(__xludf.DUMMYFUNCTION("""COMPUTED_VALUE"""),7.0)</f>
        <v>7</v>
      </c>
      <c r="R16" s="185">
        <f>IFERROR(__xludf.DUMMYFUNCTION("""COMPUTED_VALUE"""),1421.0)</f>
        <v>1421</v>
      </c>
      <c r="S16" s="185">
        <f>IFERROR(__xludf.DUMMYFUNCTION("""COMPUTED_VALUE"""),1.0)</f>
        <v>1</v>
      </c>
      <c r="T16" s="185">
        <f>IFERROR(__xludf.DUMMYFUNCTION("""COMPUTED_VALUE"""),280.0)</f>
        <v>280</v>
      </c>
      <c r="U16" s="185">
        <f>IFERROR(__xludf.DUMMYFUNCTION("""COMPUTED_VALUE"""),148.0)</f>
        <v>148</v>
      </c>
      <c r="V16" s="185">
        <f>IFERROR(__xludf.DUMMYFUNCTION("""COMPUTED_VALUE"""),146.0)</f>
        <v>146</v>
      </c>
      <c r="W16" s="185">
        <f>IFERROR(__xludf.DUMMYFUNCTION("""COMPUTED_VALUE"""),25.0)</f>
        <v>25</v>
      </c>
      <c r="X16" s="185">
        <f>IFERROR(__xludf.DUMMYFUNCTION("""COMPUTED_VALUE"""),17.0)</f>
        <v>17</v>
      </c>
      <c r="Y16" s="185">
        <f>IFERROR(__xludf.DUMMYFUNCTION("""COMPUTED_VALUE"""),4.0)</f>
        <v>4</v>
      </c>
      <c r="Z16" s="185">
        <f>IFERROR(__xludf.DUMMYFUNCTION("""COMPUTED_VALUE"""),886.0)</f>
        <v>886</v>
      </c>
    </row>
    <row r="17">
      <c r="A17" s="253">
        <f>IFERROR(__xludf.DUMMYFUNCTION("""COMPUTED_VALUE"""),43990.0)</f>
        <v>43990</v>
      </c>
      <c r="B17" s="254">
        <f>IFERROR(__xludf.DUMMYFUNCTION("""COMPUTED_VALUE"""),119.0)</f>
        <v>119</v>
      </c>
      <c r="C17" s="254">
        <f>IFERROR(__xludf.DUMMYFUNCTION("""COMPUTED_VALUE"""),134.0)</f>
        <v>134</v>
      </c>
      <c r="D17" s="254">
        <f>IFERROR(__xludf.DUMMYFUNCTION("""COMPUTED_VALUE"""),21819.0)</f>
        <v>21819</v>
      </c>
      <c r="E17" s="254">
        <f>IFERROR(__xludf.DUMMYFUNCTION("""COMPUTED_VALUE"""),1849.0)</f>
        <v>1849</v>
      </c>
      <c r="F17" s="185">
        <f>IFERROR(__xludf.DUMMYFUNCTION("""COMPUTED_VALUE"""),168747.0)</f>
        <v>168747</v>
      </c>
      <c r="G17" s="185">
        <f>IFERROR(__xludf.DUMMYFUNCTION("""COMPUTED_VALUE"""),1968.0)</f>
        <v>1968</v>
      </c>
      <c r="H17" s="185">
        <f>IFERROR(__xludf.DUMMYFUNCTION("""COMPUTED_VALUE"""),190566.0)</f>
        <v>190566</v>
      </c>
      <c r="I17" s="254">
        <f>IFERROR(__xludf.DUMMYFUNCTION("""COMPUTED_VALUE"""),45.0)</f>
        <v>45</v>
      </c>
      <c r="J17" s="254">
        <f>IFERROR(__xludf.DUMMYFUNCTION("""COMPUTED_VALUE"""),54.0)</f>
        <v>54</v>
      </c>
      <c r="K17" s="254">
        <f>IFERROR(__xludf.DUMMYFUNCTION("""COMPUTED_VALUE"""),15625.0)</f>
        <v>15625</v>
      </c>
      <c r="L17" s="254">
        <f>IFERROR(__xludf.DUMMYFUNCTION("""COMPUTED_VALUE"""),921.0)</f>
        <v>921</v>
      </c>
      <c r="M17" s="254">
        <f>IFERROR(__xludf.DUMMYFUNCTION("""COMPUTED_VALUE"""),103424.0)</f>
        <v>103424</v>
      </c>
      <c r="N17" s="254">
        <f>IFERROR(__xludf.DUMMYFUNCTION("""COMPUTED_VALUE"""),119049.0)</f>
        <v>119049</v>
      </c>
      <c r="O17" s="254">
        <f>IFERROR(__xludf.DUMMYFUNCTION("""COMPUTED_VALUE"""),15.0)</f>
        <v>15</v>
      </c>
      <c r="P17" s="254">
        <f>IFERROR(__xludf.DUMMYFUNCTION("""COMPUTED_VALUE"""),1864.0)</f>
        <v>1864</v>
      </c>
      <c r="Q17" s="254">
        <f>IFERROR(__xludf.DUMMYFUNCTION("""COMPUTED_VALUE"""),13.0)</f>
        <v>13</v>
      </c>
      <c r="R17" s="254">
        <f>IFERROR(__xludf.DUMMYFUNCTION("""COMPUTED_VALUE"""),1434.0)</f>
        <v>1434</v>
      </c>
      <c r="S17" s="254">
        <f>IFERROR(__xludf.DUMMYFUNCTION("""COMPUTED_VALUE"""),2.0)</f>
        <v>2</v>
      </c>
      <c r="T17" s="254">
        <f>IFERROR(__xludf.DUMMYFUNCTION("""COMPUTED_VALUE"""),282.0)</f>
        <v>282</v>
      </c>
      <c r="U17" s="254">
        <f>IFERROR(__xludf.DUMMYFUNCTION("""COMPUTED_VALUE"""),148.0)</f>
        <v>148</v>
      </c>
      <c r="V17" s="254">
        <f>IFERROR(__xludf.DUMMYFUNCTION("""COMPUTED_VALUE"""),147.0)</f>
        <v>147</v>
      </c>
      <c r="W17" s="254">
        <f>IFERROR(__xludf.DUMMYFUNCTION("""COMPUTED_VALUE"""),27.0)</f>
        <v>27</v>
      </c>
      <c r="X17" s="254">
        <f>IFERROR(__xludf.DUMMYFUNCTION("""COMPUTED_VALUE"""),18.0)</f>
        <v>18</v>
      </c>
      <c r="Y17" s="254">
        <f>IFERROR(__xludf.DUMMYFUNCTION("""COMPUTED_VALUE"""),4.0)</f>
        <v>4</v>
      </c>
      <c r="Z17" s="254">
        <f>IFERROR(__xludf.DUMMYFUNCTION("""COMPUTED_VALUE"""),890.0)</f>
        <v>890</v>
      </c>
    </row>
    <row r="18">
      <c r="A18" s="253">
        <f>IFERROR(__xludf.DUMMYFUNCTION("""COMPUTED_VALUE"""),43991.0)</f>
        <v>43991</v>
      </c>
      <c r="B18" s="254">
        <f>IFERROR(__xludf.DUMMYFUNCTION("""COMPUTED_VALUE"""),223.0)</f>
        <v>223</v>
      </c>
      <c r="C18" s="254">
        <f>IFERROR(__xludf.DUMMYFUNCTION("""COMPUTED_VALUE"""),142.0)</f>
        <v>142</v>
      </c>
      <c r="D18" s="254">
        <f>IFERROR(__xludf.DUMMYFUNCTION("""COMPUTED_VALUE"""),22042.0)</f>
        <v>22042</v>
      </c>
      <c r="E18" s="254">
        <f>IFERROR(__xludf.DUMMYFUNCTION("""COMPUTED_VALUE"""),2673.0)</f>
        <v>2673</v>
      </c>
      <c r="F18" s="185">
        <f>IFERROR(__xludf.DUMMYFUNCTION("""COMPUTED_VALUE"""),171420.0)</f>
        <v>171420</v>
      </c>
      <c r="G18" s="185">
        <f>IFERROR(__xludf.DUMMYFUNCTION("""COMPUTED_VALUE"""),2896.0)</f>
        <v>2896</v>
      </c>
      <c r="H18" s="185">
        <f>IFERROR(__xludf.DUMMYFUNCTION("""COMPUTED_VALUE"""),193462.0)</f>
        <v>193462</v>
      </c>
      <c r="I18" s="254">
        <f>IFERROR(__xludf.DUMMYFUNCTION("""COMPUTED_VALUE"""),64.0)</f>
        <v>64</v>
      </c>
      <c r="J18" s="254">
        <f>IFERROR(__xludf.DUMMYFUNCTION("""COMPUTED_VALUE"""),53.0)</f>
        <v>53</v>
      </c>
      <c r="K18" s="254">
        <f>IFERROR(__xludf.DUMMYFUNCTION("""COMPUTED_VALUE"""),15689.0)</f>
        <v>15689</v>
      </c>
      <c r="L18" s="254">
        <f>IFERROR(__xludf.DUMMYFUNCTION("""COMPUTED_VALUE"""),1206.0)</f>
        <v>1206</v>
      </c>
      <c r="M18" s="254">
        <f>IFERROR(__xludf.DUMMYFUNCTION("""COMPUTED_VALUE"""),104630.0)</f>
        <v>104630</v>
      </c>
      <c r="N18" s="254">
        <f>IFERROR(__xludf.DUMMYFUNCTION("""COMPUTED_VALUE"""),120319.0)</f>
        <v>120319</v>
      </c>
      <c r="O18" s="254">
        <f>IFERROR(__xludf.DUMMYFUNCTION("""COMPUTED_VALUE"""),10.0)</f>
        <v>10</v>
      </c>
      <c r="P18" s="254">
        <f>IFERROR(__xludf.DUMMYFUNCTION("""COMPUTED_VALUE"""),1874.0)</f>
        <v>1874</v>
      </c>
      <c r="Q18" s="254">
        <f>IFERROR(__xludf.DUMMYFUNCTION("""COMPUTED_VALUE"""),19.0)</f>
        <v>19</v>
      </c>
      <c r="R18" s="254">
        <f>IFERROR(__xludf.DUMMYFUNCTION("""COMPUTED_VALUE"""),1453.0)</f>
        <v>1453</v>
      </c>
      <c r="S18" s="254">
        <f>IFERROR(__xludf.DUMMYFUNCTION("""COMPUTED_VALUE"""),0.0)</f>
        <v>0</v>
      </c>
      <c r="T18" s="254">
        <f>IFERROR(__xludf.DUMMYFUNCTION("""COMPUTED_VALUE"""),282.0)</f>
        <v>282</v>
      </c>
      <c r="U18" s="254">
        <f>IFERROR(__xludf.DUMMYFUNCTION("""COMPUTED_VALUE"""),139.0)</f>
        <v>139</v>
      </c>
      <c r="V18" s="254">
        <f>IFERROR(__xludf.DUMMYFUNCTION("""COMPUTED_VALUE"""),145.0)</f>
        <v>145</v>
      </c>
      <c r="W18" s="254">
        <f>IFERROR(__xludf.DUMMYFUNCTION("""COMPUTED_VALUE"""),28.0)</f>
        <v>28</v>
      </c>
      <c r="X18" s="254">
        <f>IFERROR(__xludf.DUMMYFUNCTION("""COMPUTED_VALUE"""),21.0)</f>
        <v>21</v>
      </c>
      <c r="Y18" s="254">
        <f>IFERROR(__xludf.DUMMYFUNCTION("""COMPUTED_VALUE"""),1.0)</f>
        <v>1</v>
      </c>
      <c r="Z18" s="254">
        <f>IFERROR(__xludf.DUMMYFUNCTION("""COMPUTED_VALUE"""),891.0)</f>
        <v>891</v>
      </c>
    </row>
    <row r="19">
      <c r="A19" s="253">
        <f>IFERROR(__xludf.DUMMYFUNCTION("""COMPUTED_VALUE"""),43992.0)</f>
        <v>43992</v>
      </c>
      <c r="B19" s="254">
        <f>IFERROR(__xludf.DUMMYFUNCTION("""COMPUTED_VALUE"""),209.0)</f>
        <v>209</v>
      </c>
      <c r="C19" s="254">
        <f>IFERROR(__xludf.DUMMYFUNCTION("""COMPUTED_VALUE"""),184.0)</f>
        <v>184</v>
      </c>
      <c r="D19" s="254">
        <f>IFERROR(__xludf.DUMMYFUNCTION("""COMPUTED_VALUE"""),22251.0)</f>
        <v>22251</v>
      </c>
      <c r="E19" s="254">
        <f>IFERROR(__xludf.DUMMYFUNCTION("""COMPUTED_VALUE"""),2987.0)</f>
        <v>2987</v>
      </c>
      <c r="F19" s="185">
        <f>IFERROR(__xludf.DUMMYFUNCTION("""COMPUTED_VALUE"""),174407.0)</f>
        <v>174407</v>
      </c>
      <c r="G19" s="185">
        <f>IFERROR(__xludf.DUMMYFUNCTION("""COMPUTED_VALUE"""),3196.0)</f>
        <v>3196</v>
      </c>
      <c r="H19" s="185">
        <f>IFERROR(__xludf.DUMMYFUNCTION("""COMPUTED_VALUE"""),196658.0)</f>
        <v>196658</v>
      </c>
      <c r="I19" s="254">
        <f>IFERROR(__xludf.DUMMYFUNCTION("""COMPUTED_VALUE"""),100.0)</f>
        <v>100</v>
      </c>
      <c r="J19" s="254">
        <f>IFERROR(__xludf.DUMMYFUNCTION("""COMPUTED_VALUE"""),70.0)</f>
        <v>70</v>
      </c>
      <c r="K19" s="254">
        <f>IFERROR(__xludf.DUMMYFUNCTION("""COMPUTED_VALUE"""),15789.0)</f>
        <v>15789</v>
      </c>
      <c r="L19" s="254">
        <f>IFERROR(__xludf.DUMMYFUNCTION("""COMPUTED_VALUE"""),1418.0)</f>
        <v>1418</v>
      </c>
      <c r="M19" s="254">
        <f>IFERROR(__xludf.DUMMYFUNCTION("""COMPUTED_VALUE"""),106048.0)</f>
        <v>106048</v>
      </c>
      <c r="N19" s="254">
        <f>IFERROR(__xludf.DUMMYFUNCTION("""COMPUTED_VALUE"""),121837.0)</f>
        <v>121837</v>
      </c>
      <c r="O19" s="254">
        <f>IFERROR(__xludf.DUMMYFUNCTION("""COMPUTED_VALUE"""),13.0)</f>
        <v>13</v>
      </c>
      <c r="P19" s="254">
        <f>IFERROR(__xludf.DUMMYFUNCTION("""COMPUTED_VALUE"""),1887.0)</f>
        <v>1887</v>
      </c>
      <c r="Q19" s="254">
        <f>IFERROR(__xludf.DUMMYFUNCTION("""COMPUTED_VALUE"""),12.0)</f>
        <v>12</v>
      </c>
      <c r="R19" s="254">
        <f>IFERROR(__xludf.DUMMYFUNCTION("""COMPUTED_VALUE"""),1465.0)</f>
        <v>1465</v>
      </c>
      <c r="S19" s="254">
        <f>IFERROR(__xludf.DUMMYFUNCTION("""COMPUTED_VALUE"""),2.0)</f>
        <v>2</v>
      </c>
      <c r="T19" s="254">
        <f>IFERROR(__xludf.DUMMYFUNCTION("""COMPUTED_VALUE"""),284.0)</f>
        <v>284</v>
      </c>
      <c r="U19" s="254">
        <f>IFERROR(__xludf.DUMMYFUNCTION("""COMPUTED_VALUE"""),138.0)</f>
        <v>138</v>
      </c>
      <c r="V19" s="254">
        <f>IFERROR(__xludf.DUMMYFUNCTION("""COMPUTED_VALUE"""),142.0)</f>
        <v>142</v>
      </c>
      <c r="W19" s="254">
        <f>IFERROR(__xludf.DUMMYFUNCTION("""COMPUTED_VALUE"""),24.0)</f>
        <v>24</v>
      </c>
      <c r="X19" s="254">
        <f>IFERROR(__xludf.DUMMYFUNCTION("""COMPUTED_VALUE"""),17.0)</f>
        <v>17</v>
      </c>
      <c r="Y19" s="254">
        <f>IFERROR(__xludf.DUMMYFUNCTION("""COMPUTED_VALUE"""),4.0)</f>
        <v>4</v>
      </c>
      <c r="Z19" s="254">
        <f>IFERROR(__xludf.DUMMYFUNCTION("""COMPUTED_VALUE"""),895.0)</f>
        <v>895</v>
      </c>
    </row>
    <row r="20">
      <c r="A20" s="253">
        <f>IFERROR(__xludf.DUMMYFUNCTION("""COMPUTED_VALUE"""),43993.0)</f>
        <v>43993</v>
      </c>
      <c r="B20" s="254">
        <f>IFERROR(__xludf.DUMMYFUNCTION("""COMPUTED_VALUE"""),195.0)</f>
        <v>195</v>
      </c>
      <c r="C20" s="254">
        <f>IFERROR(__xludf.DUMMYFUNCTION("""COMPUTED_VALUE"""),209.0)</f>
        <v>209</v>
      </c>
      <c r="D20" s="254">
        <f>IFERROR(__xludf.DUMMYFUNCTION("""COMPUTED_VALUE"""),22446.0)</f>
        <v>22446</v>
      </c>
      <c r="E20" s="254">
        <f>IFERROR(__xludf.DUMMYFUNCTION("""COMPUTED_VALUE"""),3513.0)</f>
        <v>3513</v>
      </c>
      <c r="F20" s="185">
        <f>IFERROR(__xludf.DUMMYFUNCTION("""COMPUTED_VALUE"""),177920.0)</f>
        <v>177920</v>
      </c>
      <c r="G20" s="185">
        <f>IFERROR(__xludf.DUMMYFUNCTION("""COMPUTED_VALUE"""),3708.0)</f>
        <v>3708</v>
      </c>
      <c r="H20" s="185">
        <f>IFERROR(__xludf.DUMMYFUNCTION("""COMPUTED_VALUE"""),200366.0)</f>
        <v>200366</v>
      </c>
      <c r="I20" s="254">
        <f>IFERROR(__xludf.DUMMYFUNCTION("""COMPUTED_VALUE"""),88.0)</f>
        <v>88</v>
      </c>
      <c r="J20" s="254">
        <f>IFERROR(__xludf.DUMMYFUNCTION("""COMPUTED_VALUE"""),84.0)</f>
        <v>84</v>
      </c>
      <c r="K20" s="254">
        <f>IFERROR(__xludf.DUMMYFUNCTION("""COMPUTED_VALUE"""),15877.0)</f>
        <v>15877</v>
      </c>
      <c r="L20" s="254">
        <f>IFERROR(__xludf.DUMMYFUNCTION("""COMPUTED_VALUE"""),1466.0)</f>
        <v>1466</v>
      </c>
      <c r="M20" s="254">
        <f>IFERROR(__xludf.DUMMYFUNCTION("""COMPUTED_VALUE"""),107514.0)</f>
        <v>107514</v>
      </c>
      <c r="N20" s="254">
        <f>IFERROR(__xludf.DUMMYFUNCTION("""COMPUTED_VALUE"""),123391.0)</f>
        <v>123391</v>
      </c>
      <c r="O20" s="254">
        <f>IFERROR(__xludf.DUMMYFUNCTION("""COMPUTED_VALUE"""),7.0)</f>
        <v>7</v>
      </c>
      <c r="P20" s="254">
        <f>IFERROR(__xludf.DUMMYFUNCTION("""COMPUTED_VALUE"""),1894.0)</f>
        <v>1894</v>
      </c>
      <c r="Q20" s="254">
        <f>IFERROR(__xludf.DUMMYFUNCTION("""COMPUTED_VALUE"""),15.0)</f>
        <v>15</v>
      </c>
      <c r="R20" s="254">
        <f>IFERROR(__xludf.DUMMYFUNCTION("""COMPUTED_VALUE"""),1480.0)</f>
        <v>1480</v>
      </c>
      <c r="S20" s="254">
        <f>IFERROR(__xludf.DUMMYFUNCTION("""COMPUTED_VALUE"""),1.0)</f>
        <v>1</v>
      </c>
      <c r="T20" s="254">
        <f>IFERROR(__xludf.DUMMYFUNCTION("""COMPUTED_VALUE"""),285.0)</f>
        <v>285</v>
      </c>
      <c r="U20" s="254">
        <f>IFERROR(__xludf.DUMMYFUNCTION("""COMPUTED_VALUE"""),129.0)</f>
        <v>129</v>
      </c>
      <c r="V20" s="254">
        <f>IFERROR(__xludf.DUMMYFUNCTION("""COMPUTED_VALUE"""),135.0)</f>
        <v>135</v>
      </c>
      <c r="W20" s="254">
        <f>IFERROR(__xludf.DUMMYFUNCTION("""COMPUTED_VALUE"""),25.0)</f>
        <v>25</v>
      </c>
      <c r="X20" s="254">
        <f>IFERROR(__xludf.DUMMYFUNCTION("""COMPUTED_VALUE"""),16.0)</f>
        <v>16</v>
      </c>
      <c r="Y20" s="254">
        <f>IFERROR(__xludf.DUMMYFUNCTION("""COMPUTED_VALUE"""),6.0)</f>
        <v>6</v>
      </c>
      <c r="Z20" s="254">
        <f>IFERROR(__xludf.DUMMYFUNCTION("""COMPUTED_VALUE"""),901.0)</f>
        <v>901</v>
      </c>
    </row>
    <row r="21">
      <c r="A21" s="253">
        <f>IFERROR(__xludf.DUMMYFUNCTION("""COMPUTED_VALUE"""),43994.0)</f>
        <v>43994</v>
      </c>
      <c r="B21" s="254">
        <f>IFERROR(__xludf.DUMMYFUNCTION("""COMPUTED_VALUE"""),209.0)</f>
        <v>209</v>
      </c>
      <c r="C21" s="254">
        <f>IFERROR(__xludf.DUMMYFUNCTION("""COMPUTED_VALUE"""),204.0)</f>
        <v>204</v>
      </c>
      <c r="D21" s="254">
        <f>IFERROR(__xludf.DUMMYFUNCTION("""COMPUTED_VALUE"""),22655.0)</f>
        <v>22655</v>
      </c>
      <c r="E21" s="254">
        <f>IFERROR(__xludf.DUMMYFUNCTION("""COMPUTED_VALUE"""),4601.0)</f>
        <v>4601</v>
      </c>
      <c r="F21" s="185">
        <f>IFERROR(__xludf.DUMMYFUNCTION("""COMPUTED_VALUE"""),182521.0)</f>
        <v>182521</v>
      </c>
      <c r="G21" s="185">
        <f>IFERROR(__xludf.DUMMYFUNCTION("""COMPUTED_VALUE"""),4810.0)</f>
        <v>4810</v>
      </c>
      <c r="H21" s="185">
        <f>IFERROR(__xludf.DUMMYFUNCTION("""COMPUTED_VALUE"""),205176.0)</f>
        <v>205176</v>
      </c>
      <c r="I21" s="254">
        <f>IFERROR(__xludf.DUMMYFUNCTION("""COMPUTED_VALUE"""),78.0)</f>
        <v>78</v>
      </c>
      <c r="J21" s="254">
        <f>IFERROR(__xludf.DUMMYFUNCTION("""COMPUTED_VALUE"""),89.0)</f>
        <v>89</v>
      </c>
      <c r="K21" s="254">
        <f>IFERROR(__xludf.DUMMYFUNCTION("""COMPUTED_VALUE"""),15955.0)</f>
        <v>15955</v>
      </c>
      <c r="L21" s="254">
        <f>IFERROR(__xludf.DUMMYFUNCTION("""COMPUTED_VALUE"""),2028.0)</f>
        <v>2028</v>
      </c>
      <c r="M21" s="254">
        <f>IFERROR(__xludf.DUMMYFUNCTION("""COMPUTED_VALUE"""),109542.0)</f>
        <v>109542</v>
      </c>
      <c r="N21" s="254">
        <f>IFERROR(__xludf.DUMMYFUNCTION("""COMPUTED_VALUE"""),125497.0)</f>
        <v>125497</v>
      </c>
      <c r="O21" s="254">
        <f>IFERROR(__xludf.DUMMYFUNCTION("""COMPUTED_VALUE"""),9.0)</f>
        <v>9</v>
      </c>
      <c r="P21" s="254">
        <f>IFERROR(__xludf.DUMMYFUNCTION("""COMPUTED_VALUE"""),1903.0)</f>
        <v>1903</v>
      </c>
      <c r="Q21" s="254">
        <f>IFERROR(__xludf.DUMMYFUNCTION("""COMPUTED_VALUE"""),16.0)</f>
        <v>16</v>
      </c>
      <c r="R21" s="254">
        <f>IFERROR(__xludf.DUMMYFUNCTION("""COMPUTED_VALUE"""),1496.0)</f>
        <v>1496</v>
      </c>
      <c r="S21" s="254">
        <f>IFERROR(__xludf.DUMMYFUNCTION("""COMPUTED_VALUE"""),1.0)</f>
        <v>1</v>
      </c>
      <c r="T21" s="254">
        <f>IFERROR(__xludf.DUMMYFUNCTION("""COMPUTED_VALUE"""),286.0)</f>
        <v>286</v>
      </c>
      <c r="U21" s="254">
        <f>IFERROR(__xludf.DUMMYFUNCTION("""COMPUTED_VALUE"""),121.0)</f>
        <v>121</v>
      </c>
      <c r="V21" s="254">
        <f>IFERROR(__xludf.DUMMYFUNCTION("""COMPUTED_VALUE"""),129.0)</f>
        <v>129</v>
      </c>
      <c r="W21" s="254">
        <f>IFERROR(__xludf.DUMMYFUNCTION("""COMPUTED_VALUE"""),24.0)</f>
        <v>24</v>
      </c>
      <c r="X21" s="254">
        <f>IFERROR(__xludf.DUMMYFUNCTION("""COMPUTED_VALUE"""),16.0)</f>
        <v>16</v>
      </c>
      <c r="Y21" s="254">
        <f>IFERROR(__xludf.DUMMYFUNCTION("""COMPUTED_VALUE"""),2.0)</f>
        <v>2</v>
      </c>
      <c r="Z21" s="254">
        <f>IFERROR(__xludf.DUMMYFUNCTION("""COMPUTED_VALUE"""),903.0)</f>
        <v>903</v>
      </c>
    </row>
    <row r="22">
      <c r="A22" s="253">
        <f>IFERROR(__xludf.DUMMYFUNCTION("""COMPUTED_VALUE"""),43995.0)</f>
        <v>43995</v>
      </c>
      <c r="B22" s="254">
        <f>IFERROR(__xludf.DUMMYFUNCTION("""COMPUTED_VALUE"""),113.0)</f>
        <v>113</v>
      </c>
      <c r="C22" s="254">
        <f>IFERROR(__xludf.DUMMYFUNCTION("""COMPUTED_VALUE"""),172.0)</f>
        <v>172</v>
      </c>
      <c r="D22" s="254">
        <f>IFERROR(__xludf.DUMMYFUNCTION("""COMPUTED_VALUE"""),22768.0)</f>
        <v>22768</v>
      </c>
      <c r="E22" s="254">
        <f>IFERROR(__xludf.DUMMYFUNCTION("""COMPUTED_VALUE"""),3036.0)</f>
        <v>3036</v>
      </c>
      <c r="F22" s="185">
        <f>IFERROR(__xludf.DUMMYFUNCTION("""COMPUTED_VALUE"""),185557.0)</f>
        <v>185557</v>
      </c>
      <c r="G22" s="185">
        <f>IFERROR(__xludf.DUMMYFUNCTION("""COMPUTED_VALUE"""),3149.0)</f>
        <v>3149</v>
      </c>
      <c r="H22" s="185">
        <f>IFERROR(__xludf.DUMMYFUNCTION("""COMPUTED_VALUE"""),208325.0)</f>
        <v>208325</v>
      </c>
      <c r="I22" s="254">
        <f>IFERROR(__xludf.DUMMYFUNCTION("""COMPUTED_VALUE"""),49.0)</f>
        <v>49</v>
      </c>
      <c r="J22" s="254">
        <f>IFERROR(__xludf.DUMMYFUNCTION("""COMPUTED_VALUE"""),72.0)</f>
        <v>72</v>
      </c>
      <c r="K22" s="254">
        <f>IFERROR(__xludf.DUMMYFUNCTION("""COMPUTED_VALUE"""),16004.0)</f>
        <v>16004</v>
      </c>
      <c r="L22" s="254">
        <f>IFERROR(__xludf.DUMMYFUNCTION("""COMPUTED_VALUE"""),1289.0)</f>
        <v>1289</v>
      </c>
      <c r="M22" s="254">
        <f>IFERROR(__xludf.DUMMYFUNCTION("""COMPUTED_VALUE"""),110831.0)</f>
        <v>110831</v>
      </c>
      <c r="N22" s="254">
        <f>IFERROR(__xludf.DUMMYFUNCTION("""COMPUTED_VALUE"""),126835.0)</f>
        <v>126835</v>
      </c>
      <c r="O22" s="254">
        <f>IFERROR(__xludf.DUMMYFUNCTION("""COMPUTED_VALUE"""),6.0)</f>
        <v>6</v>
      </c>
      <c r="P22" s="254">
        <f>IFERROR(__xludf.DUMMYFUNCTION("""COMPUTED_VALUE"""),1909.0)</f>
        <v>1909</v>
      </c>
      <c r="Q22" s="254">
        <f>IFERROR(__xludf.DUMMYFUNCTION("""COMPUTED_VALUE"""),5.0)</f>
        <v>5</v>
      </c>
      <c r="R22" s="254">
        <f>IFERROR(__xludf.DUMMYFUNCTION("""COMPUTED_VALUE"""),1501.0)</f>
        <v>1501</v>
      </c>
      <c r="S22" s="254">
        <f>IFERROR(__xludf.DUMMYFUNCTION("""COMPUTED_VALUE"""),0.0)</f>
        <v>0</v>
      </c>
      <c r="T22" s="254">
        <f>IFERROR(__xludf.DUMMYFUNCTION("""COMPUTED_VALUE"""),286.0)</f>
        <v>286</v>
      </c>
      <c r="U22" s="254">
        <f>IFERROR(__xludf.DUMMYFUNCTION("""COMPUTED_VALUE"""),122.0)</f>
        <v>122</v>
      </c>
      <c r="V22" s="254">
        <f>IFERROR(__xludf.DUMMYFUNCTION("""COMPUTED_VALUE"""),124.0)</f>
        <v>124</v>
      </c>
      <c r="W22" s="254">
        <f>IFERROR(__xludf.DUMMYFUNCTION("""COMPUTED_VALUE"""),20.0)</f>
        <v>20</v>
      </c>
      <c r="X22" s="254">
        <f>IFERROR(__xludf.DUMMYFUNCTION("""COMPUTED_VALUE"""),15.0)</f>
        <v>15</v>
      </c>
      <c r="Y22" s="254">
        <f>IFERROR(__xludf.DUMMYFUNCTION("""COMPUTED_VALUE"""),3.0)</f>
        <v>3</v>
      </c>
      <c r="Z22" s="254">
        <f>IFERROR(__xludf.DUMMYFUNCTION("""COMPUTED_VALUE"""),906.0)</f>
        <v>906</v>
      </c>
    </row>
    <row r="23">
      <c r="A23" s="253">
        <f>IFERROR(__xludf.DUMMYFUNCTION("""COMPUTED_VALUE"""),43996.0)</f>
        <v>43996</v>
      </c>
      <c r="B23" s="254">
        <f>IFERROR(__xludf.DUMMYFUNCTION("""COMPUTED_VALUE"""),81.0)</f>
        <v>81</v>
      </c>
      <c r="C23" s="254">
        <f>IFERROR(__xludf.DUMMYFUNCTION("""COMPUTED_VALUE"""),134.0)</f>
        <v>134</v>
      </c>
      <c r="D23" s="254">
        <f>IFERROR(__xludf.DUMMYFUNCTION("""COMPUTED_VALUE"""),22849.0)</f>
        <v>22849</v>
      </c>
      <c r="E23" s="254">
        <f>IFERROR(__xludf.DUMMYFUNCTION("""COMPUTED_VALUE"""),2046.0)</f>
        <v>2046</v>
      </c>
      <c r="F23" s="185">
        <f>IFERROR(__xludf.DUMMYFUNCTION("""COMPUTED_VALUE"""),187603.0)</f>
        <v>187603</v>
      </c>
      <c r="G23" s="185">
        <f>IFERROR(__xludf.DUMMYFUNCTION("""COMPUTED_VALUE"""),2127.0)</f>
        <v>2127</v>
      </c>
      <c r="H23" s="185">
        <f>IFERROR(__xludf.DUMMYFUNCTION("""COMPUTED_VALUE"""),210452.0)</f>
        <v>210452</v>
      </c>
      <c r="I23" s="254">
        <f>IFERROR(__xludf.DUMMYFUNCTION("""COMPUTED_VALUE"""),33.0)</f>
        <v>33</v>
      </c>
      <c r="J23" s="254">
        <f>IFERROR(__xludf.DUMMYFUNCTION("""COMPUTED_VALUE"""),53.0)</f>
        <v>53</v>
      </c>
      <c r="K23" s="254">
        <f>IFERROR(__xludf.DUMMYFUNCTION("""COMPUTED_VALUE"""),16037.0)</f>
        <v>16037</v>
      </c>
      <c r="L23" s="254">
        <f>IFERROR(__xludf.DUMMYFUNCTION("""COMPUTED_VALUE"""),935.0)</f>
        <v>935</v>
      </c>
      <c r="M23" s="254">
        <f>IFERROR(__xludf.DUMMYFUNCTION("""COMPUTED_VALUE"""),111766.0)</f>
        <v>111766</v>
      </c>
      <c r="N23" s="254">
        <f>IFERROR(__xludf.DUMMYFUNCTION("""COMPUTED_VALUE"""),127803.0)</f>
        <v>127803</v>
      </c>
      <c r="O23" s="254">
        <f>IFERROR(__xludf.DUMMYFUNCTION("""COMPUTED_VALUE"""),7.0)</f>
        <v>7</v>
      </c>
      <c r="P23" s="254">
        <f>IFERROR(__xludf.DUMMYFUNCTION("""COMPUTED_VALUE"""),1916.0)</f>
        <v>1916</v>
      </c>
      <c r="Q23" s="254">
        <f>IFERROR(__xludf.DUMMYFUNCTION("""COMPUTED_VALUE"""),8.0)</f>
        <v>8</v>
      </c>
      <c r="R23" s="254">
        <f>IFERROR(__xludf.DUMMYFUNCTION("""COMPUTED_VALUE"""),1509.0)</f>
        <v>1509</v>
      </c>
      <c r="S23" s="254">
        <f>IFERROR(__xludf.DUMMYFUNCTION("""COMPUTED_VALUE"""),1.0)</f>
        <v>1</v>
      </c>
      <c r="T23" s="254">
        <f>IFERROR(__xludf.DUMMYFUNCTION("""COMPUTED_VALUE"""),287.0)</f>
        <v>287</v>
      </c>
      <c r="U23" s="254">
        <f>IFERROR(__xludf.DUMMYFUNCTION("""COMPUTED_VALUE"""),120.0)</f>
        <v>120</v>
      </c>
      <c r="V23" s="254">
        <f>IFERROR(__xludf.DUMMYFUNCTION("""COMPUTED_VALUE"""),121.0)</f>
        <v>121</v>
      </c>
      <c r="W23" s="254">
        <f>IFERROR(__xludf.DUMMYFUNCTION("""COMPUTED_VALUE"""),20.0)</f>
        <v>20</v>
      </c>
      <c r="X23" s="254">
        <f>IFERROR(__xludf.DUMMYFUNCTION("""COMPUTED_VALUE"""),14.0)</f>
        <v>14</v>
      </c>
      <c r="Y23" s="254">
        <f>IFERROR(__xludf.DUMMYFUNCTION("""COMPUTED_VALUE"""),3.0)</f>
        <v>3</v>
      </c>
      <c r="Z23" s="254">
        <f>IFERROR(__xludf.DUMMYFUNCTION("""COMPUTED_VALUE"""),909.0)</f>
        <v>909</v>
      </c>
    </row>
    <row r="24">
      <c r="A24" s="253">
        <f>IFERROR(__xludf.DUMMYFUNCTION("""COMPUTED_VALUE"""),43997.0)</f>
        <v>43997</v>
      </c>
      <c r="B24" s="254">
        <f>IFERROR(__xludf.DUMMYFUNCTION("""COMPUTED_VALUE"""),188.0)</f>
        <v>188</v>
      </c>
      <c r="C24" s="254">
        <f>IFERROR(__xludf.DUMMYFUNCTION("""COMPUTED_VALUE"""),127.0)</f>
        <v>127</v>
      </c>
      <c r="D24" s="254">
        <f>IFERROR(__xludf.DUMMYFUNCTION("""COMPUTED_VALUE"""),23037.0)</f>
        <v>23037</v>
      </c>
      <c r="E24" s="254">
        <f>IFERROR(__xludf.DUMMYFUNCTION("""COMPUTED_VALUE"""),3108.0)</f>
        <v>3108</v>
      </c>
      <c r="F24" s="185">
        <f>IFERROR(__xludf.DUMMYFUNCTION("""COMPUTED_VALUE"""),190711.0)</f>
        <v>190711</v>
      </c>
      <c r="G24" s="185">
        <f>IFERROR(__xludf.DUMMYFUNCTION("""COMPUTED_VALUE"""),3296.0)</f>
        <v>3296</v>
      </c>
      <c r="H24" s="185">
        <f>IFERROR(__xludf.DUMMYFUNCTION("""COMPUTED_VALUE"""),213748.0)</f>
        <v>213748</v>
      </c>
      <c r="I24" s="254">
        <f>IFERROR(__xludf.DUMMYFUNCTION("""COMPUTED_VALUE"""),75.0)</f>
        <v>75</v>
      </c>
      <c r="J24" s="254">
        <f>IFERROR(__xludf.DUMMYFUNCTION("""COMPUTED_VALUE"""),52.0)</f>
        <v>52</v>
      </c>
      <c r="K24" s="254">
        <f>IFERROR(__xludf.DUMMYFUNCTION("""COMPUTED_VALUE"""),16112.0)</f>
        <v>16112</v>
      </c>
      <c r="L24" s="254">
        <f>IFERROR(__xludf.DUMMYFUNCTION("""COMPUTED_VALUE"""),1718.0)</f>
        <v>1718</v>
      </c>
      <c r="M24" s="254">
        <f>IFERROR(__xludf.DUMMYFUNCTION("""COMPUTED_VALUE"""),113484.0)</f>
        <v>113484</v>
      </c>
      <c r="N24" s="254">
        <f>IFERROR(__xludf.DUMMYFUNCTION("""COMPUTED_VALUE"""),129596.0)</f>
        <v>129596</v>
      </c>
      <c r="O24" s="254">
        <f>IFERROR(__xludf.DUMMYFUNCTION("""COMPUTED_VALUE"""),14.0)</f>
        <v>14</v>
      </c>
      <c r="P24" s="254">
        <f>IFERROR(__xludf.DUMMYFUNCTION("""COMPUTED_VALUE"""),1930.0)</f>
        <v>1930</v>
      </c>
      <c r="Q24" s="254">
        <f>IFERROR(__xludf.DUMMYFUNCTION("""COMPUTED_VALUE"""),19.0)</f>
        <v>19</v>
      </c>
      <c r="R24" s="254">
        <f>IFERROR(__xludf.DUMMYFUNCTION("""COMPUTED_VALUE"""),1528.0)</f>
        <v>1528</v>
      </c>
      <c r="S24" s="254">
        <f>IFERROR(__xludf.DUMMYFUNCTION("""COMPUTED_VALUE"""),0.0)</f>
        <v>0</v>
      </c>
      <c r="T24" s="254">
        <f>IFERROR(__xludf.DUMMYFUNCTION("""COMPUTED_VALUE"""),287.0)</f>
        <v>287</v>
      </c>
      <c r="U24" s="254">
        <f>IFERROR(__xludf.DUMMYFUNCTION("""COMPUTED_VALUE"""),115.0)</f>
        <v>115</v>
      </c>
      <c r="V24" s="254">
        <f>IFERROR(__xludf.DUMMYFUNCTION("""COMPUTED_VALUE"""),119.0)</f>
        <v>119</v>
      </c>
      <c r="W24" s="254">
        <f>IFERROR(__xludf.DUMMYFUNCTION("""COMPUTED_VALUE"""),20.0)</f>
        <v>20</v>
      </c>
      <c r="X24" s="254">
        <f>IFERROR(__xludf.DUMMYFUNCTION("""COMPUTED_VALUE"""),16.0)</f>
        <v>16</v>
      </c>
      <c r="Y24" s="254">
        <f>IFERROR(__xludf.DUMMYFUNCTION("""COMPUTED_VALUE"""),5.0)</f>
        <v>5</v>
      </c>
      <c r="Z24" s="254">
        <f>IFERROR(__xludf.DUMMYFUNCTION("""COMPUTED_VALUE"""),914.0)</f>
        <v>914</v>
      </c>
    </row>
    <row r="25">
      <c r="A25" s="253">
        <f>IFERROR(__xludf.DUMMYFUNCTION("""COMPUTED_VALUE"""),43998.0)</f>
        <v>43998</v>
      </c>
      <c r="B25" s="254">
        <f>IFERROR(__xludf.DUMMYFUNCTION("""COMPUTED_VALUE"""),110.0)</f>
        <v>110</v>
      </c>
      <c r="C25" s="254">
        <f>IFERROR(__xludf.DUMMYFUNCTION("""COMPUTED_VALUE"""),126.0)</f>
        <v>126</v>
      </c>
      <c r="D25" s="254">
        <f>IFERROR(__xludf.DUMMYFUNCTION("""COMPUTED_VALUE"""),23147.0)</f>
        <v>23147</v>
      </c>
      <c r="E25" s="254">
        <f>IFERROR(__xludf.DUMMYFUNCTION("""COMPUTED_VALUE"""),3017.0)</f>
        <v>3017</v>
      </c>
      <c r="F25" s="185">
        <f>IFERROR(__xludf.DUMMYFUNCTION("""COMPUTED_VALUE"""),193728.0)</f>
        <v>193728</v>
      </c>
      <c r="G25" s="185">
        <f>IFERROR(__xludf.DUMMYFUNCTION("""COMPUTED_VALUE"""),3127.0)</f>
        <v>3127</v>
      </c>
      <c r="H25" s="185">
        <f>IFERROR(__xludf.DUMMYFUNCTION("""COMPUTED_VALUE"""),216875.0)</f>
        <v>216875</v>
      </c>
      <c r="I25" s="254">
        <f>IFERROR(__xludf.DUMMYFUNCTION("""COMPUTED_VALUE"""),50.0)</f>
        <v>50</v>
      </c>
      <c r="J25" s="254">
        <f>IFERROR(__xludf.DUMMYFUNCTION("""COMPUTED_VALUE"""),53.0)</f>
        <v>53</v>
      </c>
      <c r="K25" s="254">
        <f>IFERROR(__xludf.DUMMYFUNCTION("""COMPUTED_VALUE"""),16162.0)</f>
        <v>16162</v>
      </c>
      <c r="L25" s="254">
        <f>IFERROR(__xludf.DUMMYFUNCTION("""COMPUTED_VALUE"""),1483.0)</f>
        <v>1483</v>
      </c>
      <c r="M25" s="254">
        <f>IFERROR(__xludf.DUMMYFUNCTION("""COMPUTED_VALUE"""),114967.0)</f>
        <v>114967</v>
      </c>
      <c r="N25" s="254">
        <f>IFERROR(__xludf.DUMMYFUNCTION("""COMPUTED_VALUE"""),131129.0)</f>
        <v>131129</v>
      </c>
      <c r="O25" s="254">
        <f>IFERROR(__xludf.DUMMYFUNCTION("""COMPUTED_VALUE"""),11.0)</f>
        <v>11</v>
      </c>
      <c r="P25" s="254">
        <f>IFERROR(__xludf.DUMMYFUNCTION("""COMPUTED_VALUE"""),1941.0)</f>
        <v>1941</v>
      </c>
      <c r="Q25" s="254">
        <f>IFERROR(__xludf.DUMMYFUNCTION("""COMPUTED_VALUE"""),9.0)</f>
        <v>9</v>
      </c>
      <c r="R25" s="254">
        <f>IFERROR(__xludf.DUMMYFUNCTION("""COMPUTED_VALUE"""),1537.0)</f>
        <v>1537</v>
      </c>
      <c r="S25" s="254">
        <f>IFERROR(__xludf.DUMMYFUNCTION("""COMPUTED_VALUE"""),1.0)</f>
        <v>1</v>
      </c>
      <c r="T25" s="254">
        <f>IFERROR(__xludf.DUMMYFUNCTION("""COMPUTED_VALUE"""),288.0)</f>
        <v>288</v>
      </c>
      <c r="U25" s="254">
        <f>IFERROR(__xludf.DUMMYFUNCTION("""COMPUTED_VALUE"""),116.0)</f>
        <v>116</v>
      </c>
      <c r="V25" s="254">
        <f>IFERROR(__xludf.DUMMYFUNCTION("""COMPUTED_VALUE"""),117.0)</f>
        <v>117</v>
      </c>
      <c r="W25" s="254">
        <f>IFERROR(__xludf.DUMMYFUNCTION("""COMPUTED_VALUE"""),22.0)</f>
        <v>22</v>
      </c>
      <c r="X25" s="254">
        <f>IFERROR(__xludf.DUMMYFUNCTION("""COMPUTED_VALUE"""),16.0)</f>
        <v>16</v>
      </c>
      <c r="Y25" s="254">
        <f>IFERROR(__xludf.DUMMYFUNCTION("""COMPUTED_VALUE"""),8.0)</f>
        <v>8</v>
      </c>
      <c r="Z25" s="254">
        <f>IFERROR(__xludf.DUMMYFUNCTION("""COMPUTED_VALUE"""),922.0)</f>
        <v>922</v>
      </c>
    </row>
    <row r="26">
      <c r="A26" s="253">
        <f>IFERROR(__xludf.DUMMYFUNCTION("""COMPUTED_VALUE"""),43999.0)</f>
        <v>43999</v>
      </c>
      <c r="B26" s="254">
        <f>IFERROR(__xludf.DUMMYFUNCTION("""COMPUTED_VALUE"""),127.0)</f>
        <v>127</v>
      </c>
      <c r="C26" s="254">
        <f>IFERROR(__xludf.DUMMYFUNCTION("""COMPUTED_VALUE"""),142.0)</f>
        <v>142</v>
      </c>
      <c r="D26" s="254">
        <f>IFERROR(__xludf.DUMMYFUNCTION("""COMPUTED_VALUE"""),23274.0)</f>
        <v>23274</v>
      </c>
      <c r="E26" s="254">
        <f>IFERROR(__xludf.DUMMYFUNCTION("""COMPUTED_VALUE"""),2835.0)</f>
        <v>2835</v>
      </c>
      <c r="F26" s="185">
        <f>IFERROR(__xludf.DUMMYFUNCTION("""COMPUTED_VALUE"""),196563.0)</f>
        <v>196563</v>
      </c>
      <c r="G26" s="185">
        <f>IFERROR(__xludf.DUMMYFUNCTION("""COMPUTED_VALUE"""),2962.0)</f>
        <v>2962</v>
      </c>
      <c r="H26" s="185">
        <f>IFERROR(__xludf.DUMMYFUNCTION("""COMPUTED_VALUE"""),219837.0)</f>
        <v>219837</v>
      </c>
      <c r="I26" s="254">
        <f>IFERROR(__xludf.DUMMYFUNCTION("""COMPUTED_VALUE"""),51.0)</f>
        <v>51</v>
      </c>
      <c r="J26" s="254">
        <f>IFERROR(__xludf.DUMMYFUNCTION("""COMPUTED_VALUE"""),59.0)</f>
        <v>59</v>
      </c>
      <c r="K26" s="254">
        <f>IFERROR(__xludf.DUMMYFUNCTION("""COMPUTED_VALUE"""),16213.0)</f>
        <v>16213</v>
      </c>
      <c r="L26" s="254">
        <f>IFERROR(__xludf.DUMMYFUNCTION("""COMPUTED_VALUE"""),1263.0)</f>
        <v>1263</v>
      </c>
      <c r="M26" s="254">
        <f>IFERROR(__xludf.DUMMYFUNCTION("""COMPUTED_VALUE"""),116230.0)</f>
        <v>116230</v>
      </c>
      <c r="N26" s="254">
        <f>IFERROR(__xludf.DUMMYFUNCTION("""COMPUTED_VALUE"""),132443.0)</f>
        <v>132443</v>
      </c>
      <c r="O26" s="254">
        <f>IFERROR(__xludf.DUMMYFUNCTION("""COMPUTED_VALUE"""),15.0)</f>
        <v>15</v>
      </c>
      <c r="P26" s="254">
        <f>IFERROR(__xludf.DUMMYFUNCTION("""COMPUTED_VALUE"""),1956.0)</f>
        <v>1956</v>
      </c>
      <c r="Q26" s="254">
        <f>IFERROR(__xludf.DUMMYFUNCTION("""COMPUTED_VALUE"""),20.0)</f>
        <v>20</v>
      </c>
      <c r="R26" s="254">
        <f>IFERROR(__xludf.DUMMYFUNCTION("""COMPUTED_VALUE"""),1557.0)</f>
        <v>1557</v>
      </c>
      <c r="S26" s="254">
        <f>IFERROR(__xludf.DUMMYFUNCTION("""COMPUTED_VALUE"""),4.0)</f>
        <v>4</v>
      </c>
      <c r="T26" s="254">
        <f>IFERROR(__xludf.DUMMYFUNCTION("""COMPUTED_VALUE"""),292.0)</f>
        <v>292</v>
      </c>
      <c r="U26" s="254">
        <f>IFERROR(__xludf.DUMMYFUNCTION("""COMPUTED_VALUE"""),107.0)</f>
        <v>107</v>
      </c>
      <c r="V26" s="254">
        <f>IFERROR(__xludf.DUMMYFUNCTION("""COMPUTED_VALUE"""),113.0)</f>
        <v>113</v>
      </c>
      <c r="W26" s="254">
        <f>IFERROR(__xludf.DUMMYFUNCTION("""COMPUTED_VALUE"""),18.0)</f>
        <v>18</v>
      </c>
      <c r="X26" s="254">
        <f>IFERROR(__xludf.DUMMYFUNCTION("""COMPUTED_VALUE"""),14.0)</f>
        <v>14</v>
      </c>
      <c r="Y26" s="254">
        <f>IFERROR(__xludf.DUMMYFUNCTION("""COMPUTED_VALUE"""),6.0)</f>
        <v>6</v>
      </c>
      <c r="Z26" s="254">
        <f>IFERROR(__xludf.DUMMYFUNCTION("""COMPUTED_VALUE"""),928.0)</f>
        <v>928</v>
      </c>
    </row>
    <row r="27">
      <c r="A27" s="253">
        <f>IFERROR(__xludf.DUMMYFUNCTION("""COMPUTED_VALUE"""),44000.0)</f>
        <v>44000</v>
      </c>
      <c r="B27" s="254">
        <f>IFERROR(__xludf.DUMMYFUNCTION("""COMPUTED_VALUE"""),149.0)</f>
        <v>149</v>
      </c>
      <c r="C27" s="254">
        <f>IFERROR(__xludf.DUMMYFUNCTION("""COMPUTED_VALUE"""),129.0)</f>
        <v>129</v>
      </c>
      <c r="D27" s="254">
        <f>IFERROR(__xludf.DUMMYFUNCTION("""COMPUTED_VALUE"""),23423.0)</f>
        <v>23423</v>
      </c>
      <c r="E27" s="254">
        <f>IFERROR(__xludf.DUMMYFUNCTION("""COMPUTED_VALUE"""),3048.0)</f>
        <v>3048</v>
      </c>
      <c r="F27" s="185">
        <f>IFERROR(__xludf.DUMMYFUNCTION("""COMPUTED_VALUE"""),199611.0)</f>
        <v>199611</v>
      </c>
      <c r="G27" s="185">
        <f>IFERROR(__xludf.DUMMYFUNCTION("""COMPUTED_VALUE"""),3197.0)</f>
        <v>3197</v>
      </c>
      <c r="H27" s="185">
        <f>IFERROR(__xludf.DUMMYFUNCTION("""COMPUTED_VALUE"""),223034.0)</f>
        <v>223034</v>
      </c>
      <c r="I27" s="254">
        <f>IFERROR(__xludf.DUMMYFUNCTION("""COMPUTED_VALUE"""),70.0)</f>
        <v>70</v>
      </c>
      <c r="J27" s="254">
        <f>IFERROR(__xludf.DUMMYFUNCTION("""COMPUTED_VALUE"""),57.0)</f>
        <v>57</v>
      </c>
      <c r="K27" s="254">
        <f>IFERROR(__xludf.DUMMYFUNCTION("""COMPUTED_VALUE"""),16283.0)</f>
        <v>16283</v>
      </c>
      <c r="L27" s="254">
        <f>IFERROR(__xludf.DUMMYFUNCTION("""COMPUTED_VALUE"""),1268.0)</f>
        <v>1268</v>
      </c>
      <c r="M27" s="254">
        <f>IFERROR(__xludf.DUMMYFUNCTION("""COMPUTED_VALUE"""),117498.0)</f>
        <v>117498</v>
      </c>
      <c r="N27" s="254">
        <f>IFERROR(__xludf.DUMMYFUNCTION("""COMPUTED_VALUE"""),133781.0)</f>
        <v>133781</v>
      </c>
      <c r="O27" s="254">
        <f>IFERROR(__xludf.DUMMYFUNCTION("""COMPUTED_VALUE"""),9.0)</f>
        <v>9</v>
      </c>
      <c r="P27" s="254">
        <f>IFERROR(__xludf.DUMMYFUNCTION("""COMPUTED_VALUE"""),1965.0)</f>
        <v>1965</v>
      </c>
      <c r="Q27" s="254">
        <f>IFERROR(__xludf.DUMMYFUNCTION("""COMPUTED_VALUE"""),15.0)</f>
        <v>15</v>
      </c>
      <c r="R27" s="254">
        <f>IFERROR(__xludf.DUMMYFUNCTION("""COMPUTED_VALUE"""),1572.0)</f>
        <v>1572</v>
      </c>
      <c r="S27" s="254">
        <f>IFERROR(__xludf.DUMMYFUNCTION("""COMPUTED_VALUE"""),1.0)</f>
        <v>1</v>
      </c>
      <c r="T27" s="254">
        <f>IFERROR(__xludf.DUMMYFUNCTION("""COMPUTED_VALUE"""),293.0)</f>
        <v>293</v>
      </c>
      <c r="U27" s="254">
        <f>IFERROR(__xludf.DUMMYFUNCTION("""COMPUTED_VALUE"""),100.0)</f>
        <v>100</v>
      </c>
      <c r="V27" s="254">
        <f>IFERROR(__xludf.DUMMYFUNCTION("""COMPUTED_VALUE"""),108.0)</f>
        <v>108</v>
      </c>
      <c r="W27" s="254">
        <f>IFERROR(__xludf.DUMMYFUNCTION("""COMPUTED_VALUE"""),19.0)</f>
        <v>19</v>
      </c>
      <c r="X27" s="254">
        <f>IFERROR(__xludf.DUMMYFUNCTION("""COMPUTED_VALUE"""),16.0)</f>
        <v>16</v>
      </c>
      <c r="Y27" s="254">
        <f>IFERROR(__xludf.DUMMYFUNCTION("""COMPUTED_VALUE"""),7.0)</f>
        <v>7</v>
      </c>
      <c r="Z27" s="254">
        <f>IFERROR(__xludf.DUMMYFUNCTION("""COMPUTED_VALUE"""),935.0)</f>
        <v>935</v>
      </c>
    </row>
    <row r="28">
      <c r="A28" s="253">
        <f>IFERROR(__xludf.DUMMYFUNCTION("""COMPUTED_VALUE"""),44001.0)</f>
        <v>44001</v>
      </c>
      <c r="B28" s="254">
        <f>IFERROR(__xludf.DUMMYFUNCTION("""COMPUTED_VALUE"""),141.0)</f>
        <v>141</v>
      </c>
      <c r="C28" s="254">
        <f>IFERROR(__xludf.DUMMYFUNCTION("""COMPUTED_VALUE"""),139.0)</f>
        <v>139</v>
      </c>
      <c r="D28" s="254">
        <f>IFERROR(__xludf.DUMMYFUNCTION("""COMPUTED_VALUE"""),23564.0)</f>
        <v>23564</v>
      </c>
      <c r="E28" s="254">
        <f>IFERROR(__xludf.DUMMYFUNCTION("""COMPUTED_VALUE"""),3769.0)</f>
        <v>3769</v>
      </c>
      <c r="F28" s="185">
        <f>IFERROR(__xludf.DUMMYFUNCTION("""COMPUTED_VALUE"""),203380.0)</f>
        <v>203380</v>
      </c>
      <c r="G28" s="185">
        <f>IFERROR(__xludf.DUMMYFUNCTION("""COMPUTED_VALUE"""),3910.0)</f>
        <v>3910</v>
      </c>
      <c r="H28" s="185">
        <f>IFERROR(__xludf.DUMMYFUNCTION("""COMPUTED_VALUE"""),226944.0)</f>
        <v>226944</v>
      </c>
      <c r="I28" s="254">
        <f>IFERROR(__xludf.DUMMYFUNCTION("""COMPUTED_VALUE"""),59.0)</f>
        <v>59</v>
      </c>
      <c r="J28" s="254">
        <f>IFERROR(__xludf.DUMMYFUNCTION("""COMPUTED_VALUE"""),60.0)</f>
        <v>60</v>
      </c>
      <c r="K28" s="254">
        <f>IFERROR(__xludf.DUMMYFUNCTION("""COMPUTED_VALUE"""),16342.0)</f>
        <v>16342</v>
      </c>
      <c r="L28" s="254">
        <f>IFERROR(__xludf.DUMMYFUNCTION("""COMPUTED_VALUE"""),1312.0)</f>
        <v>1312</v>
      </c>
      <c r="M28" s="254">
        <f>IFERROR(__xludf.DUMMYFUNCTION("""COMPUTED_VALUE"""),118810.0)</f>
        <v>118810</v>
      </c>
      <c r="N28" s="254">
        <f>IFERROR(__xludf.DUMMYFUNCTION("""COMPUTED_VALUE"""),135152.0)</f>
        <v>135152</v>
      </c>
      <c r="O28" s="254">
        <f>IFERROR(__xludf.DUMMYFUNCTION("""COMPUTED_VALUE"""),12.0)</f>
        <v>12</v>
      </c>
      <c r="P28" s="254">
        <f>IFERROR(__xludf.DUMMYFUNCTION("""COMPUTED_VALUE"""),1977.0)</f>
        <v>1977</v>
      </c>
      <c r="Q28" s="254">
        <f>IFERROR(__xludf.DUMMYFUNCTION("""COMPUTED_VALUE"""),12.0)</f>
        <v>12</v>
      </c>
      <c r="R28" s="254">
        <f>IFERROR(__xludf.DUMMYFUNCTION("""COMPUTED_VALUE"""),1584.0)</f>
        <v>1584</v>
      </c>
      <c r="S28" s="254">
        <f>IFERROR(__xludf.DUMMYFUNCTION("""COMPUTED_VALUE"""),1.0)</f>
        <v>1</v>
      </c>
      <c r="T28" s="254">
        <f>IFERROR(__xludf.DUMMYFUNCTION("""COMPUTED_VALUE"""),294.0)</f>
        <v>294</v>
      </c>
      <c r="U28" s="254">
        <f>IFERROR(__xludf.DUMMYFUNCTION("""COMPUTED_VALUE"""),99.0)</f>
        <v>99</v>
      </c>
      <c r="V28" s="254">
        <f>IFERROR(__xludf.DUMMYFUNCTION("""COMPUTED_VALUE"""),102.0)</f>
        <v>102</v>
      </c>
      <c r="W28" s="254">
        <f>IFERROR(__xludf.DUMMYFUNCTION("""COMPUTED_VALUE"""),20.0)</f>
        <v>20</v>
      </c>
      <c r="X28" s="254">
        <f>IFERROR(__xludf.DUMMYFUNCTION("""COMPUTED_VALUE"""),17.0)</f>
        <v>17</v>
      </c>
      <c r="Y28" s="254">
        <f>IFERROR(__xludf.DUMMYFUNCTION("""COMPUTED_VALUE"""),3.0)</f>
        <v>3</v>
      </c>
      <c r="Z28" s="254">
        <f>IFERROR(__xludf.DUMMYFUNCTION("""COMPUTED_VALUE"""),938.0)</f>
        <v>938</v>
      </c>
    </row>
    <row r="29">
      <c r="A29" s="253">
        <f>IFERROR(__xludf.DUMMYFUNCTION("""COMPUTED_VALUE"""),44002.0)</f>
        <v>44002</v>
      </c>
      <c r="B29" s="254">
        <f>IFERROR(__xludf.DUMMYFUNCTION("""COMPUTED_VALUE"""),84.0)</f>
        <v>84</v>
      </c>
      <c r="C29" s="254">
        <f>IFERROR(__xludf.DUMMYFUNCTION("""COMPUTED_VALUE"""),125.0)</f>
        <v>125</v>
      </c>
      <c r="D29" s="254">
        <f>IFERROR(__xludf.DUMMYFUNCTION("""COMPUTED_VALUE"""),23648.0)</f>
        <v>23648</v>
      </c>
      <c r="E29" s="254">
        <f>IFERROR(__xludf.DUMMYFUNCTION("""COMPUTED_VALUE"""),1891.0)</f>
        <v>1891</v>
      </c>
      <c r="F29" s="185">
        <f>IFERROR(__xludf.DUMMYFUNCTION("""COMPUTED_VALUE"""),205271.0)</f>
        <v>205271</v>
      </c>
      <c r="G29" s="185">
        <f>IFERROR(__xludf.DUMMYFUNCTION("""COMPUTED_VALUE"""),1975.0)</f>
        <v>1975</v>
      </c>
      <c r="H29" s="185">
        <f>IFERROR(__xludf.DUMMYFUNCTION("""COMPUTED_VALUE"""),228919.0)</f>
        <v>228919</v>
      </c>
      <c r="I29" s="254">
        <f>IFERROR(__xludf.DUMMYFUNCTION("""COMPUTED_VALUE"""),36.0)</f>
        <v>36</v>
      </c>
      <c r="J29" s="254">
        <f>IFERROR(__xludf.DUMMYFUNCTION("""COMPUTED_VALUE"""),55.0)</f>
        <v>55</v>
      </c>
      <c r="K29" s="254">
        <f>IFERROR(__xludf.DUMMYFUNCTION("""COMPUTED_VALUE"""),16378.0)</f>
        <v>16378</v>
      </c>
      <c r="L29" s="254">
        <f>IFERROR(__xludf.DUMMYFUNCTION("""COMPUTED_VALUE"""),786.0)</f>
        <v>786</v>
      </c>
      <c r="M29" s="254">
        <f>IFERROR(__xludf.DUMMYFUNCTION("""COMPUTED_VALUE"""),119596.0)</f>
        <v>119596</v>
      </c>
      <c r="N29" s="254">
        <f>IFERROR(__xludf.DUMMYFUNCTION("""COMPUTED_VALUE"""),135974.0)</f>
        <v>135974</v>
      </c>
      <c r="O29" s="254">
        <f>IFERROR(__xludf.DUMMYFUNCTION("""COMPUTED_VALUE"""),9.0)</f>
        <v>9</v>
      </c>
      <c r="P29" s="254">
        <f>IFERROR(__xludf.DUMMYFUNCTION("""COMPUTED_VALUE"""),1986.0)</f>
        <v>1986</v>
      </c>
      <c r="Q29" s="254">
        <f>IFERROR(__xludf.DUMMYFUNCTION("""COMPUTED_VALUE"""),12.0)</f>
        <v>12</v>
      </c>
      <c r="R29" s="254">
        <f>IFERROR(__xludf.DUMMYFUNCTION("""COMPUTED_VALUE"""),1596.0)</f>
        <v>1596</v>
      </c>
      <c r="S29" s="254">
        <f>IFERROR(__xludf.DUMMYFUNCTION("""COMPUTED_VALUE"""),0.0)</f>
        <v>0</v>
      </c>
      <c r="T29" s="254">
        <f>IFERROR(__xludf.DUMMYFUNCTION("""COMPUTED_VALUE"""),294.0)</f>
        <v>294</v>
      </c>
      <c r="U29" s="254">
        <f>IFERROR(__xludf.DUMMYFUNCTION("""COMPUTED_VALUE"""),96.0)</f>
        <v>96</v>
      </c>
      <c r="V29" s="254">
        <f>IFERROR(__xludf.DUMMYFUNCTION("""COMPUTED_VALUE"""),98.0)</f>
        <v>98</v>
      </c>
      <c r="W29" s="254">
        <f>IFERROR(__xludf.DUMMYFUNCTION("""COMPUTED_VALUE"""),20.0)</f>
        <v>20</v>
      </c>
      <c r="X29" s="254">
        <f>IFERROR(__xludf.DUMMYFUNCTION("""COMPUTED_VALUE"""),18.0)</f>
        <v>18</v>
      </c>
      <c r="Y29" s="254">
        <f>IFERROR(__xludf.DUMMYFUNCTION("""COMPUTED_VALUE"""),4.0)</f>
        <v>4</v>
      </c>
      <c r="Z29" s="254">
        <f>IFERROR(__xludf.DUMMYFUNCTION("""COMPUTED_VALUE"""),942.0)</f>
        <v>942</v>
      </c>
    </row>
    <row r="30">
      <c r="A30" s="253">
        <f>IFERROR(__xludf.DUMMYFUNCTION("""COMPUTED_VALUE"""),44003.0)</f>
        <v>44003</v>
      </c>
      <c r="B30" s="254">
        <f>IFERROR(__xludf.DUMMYFUNCTION("""COMPUTED_VALUE"""),37.0)</f>
        <v>37</v>
      </c>
      <c r="C30" s="254">
        <f>IFERROR(__xludf.DUMMYFUNCTION("""COMPUTED_VALUE"""),87.0)</f>
        <v>87</v>
      </c>
      <c r="D30" s="254">
        <f>IFERROR(__xludf.DUMMYFUNCTION("""COMPUTED_VALUE"""),23685.0)</f>
        <v>23685</v>
      </c>
      <c r="E30" s="254">
        <f>IFERROR(__xludf.DUMMYFUNCTION("""COMPUTED_VALUE"""),1064.0)</f>
        <v>1064</v>
      </c>
      <c r="F30" s="185">
        <f>IFERROR(__xludf.DUMMYFUNCTION("""COMPUTED_VALUE"""),206335.0)</f>
        <v>206335</v>
      </c>
      <c r="G30" s="185">
        <f>IFERROR(__xludf.DUMMYFUNCTION("""COMPUTED_VALUE"""),1101.0)</f>
        <v>1101</v>
      </c>
      <c r="H30" s="185">
        <f>IFERROR(__xludf.DUMMYFUNCTION("""COMPUTED_VALUE"""),230020.0)</f>
        <v>230020</v>
      </c>
      <c r="I30" s="254">
        <f>IFERROR(__xludf.DUMMYFUNCTION("""COMPUTED_VALUE"""),30.0)</f>
        <v>30</v>
      </c>
      <c r="J30" s="254">
        <f>IFERROR(__xludf.DUMMYFUNCTION("""COMPUTED_VALUE"""),42.0)</f>
        <v>42</v>
      </c>
      <c r="K30" s="254">
        <f>IFERROR(__xludf.DUMMYFUNCTION("""COMPUTED_VALUE"""),16408.0)</f>
        <v>16408</v>
      </c>
      <c r="L30" s="254">
        <f>IFERROR(__xludf.DUMMYFUNCTION("""COMPUTED_VALUE"""),659.0)</f>
        <v>659</v>
      </c>
      <c r="M30" s="254">
        <f>IFERROR(__xludf.DUMMYFUNCTION("""COMPUTED_VALUE"""),120255.0)</f>
        <v>120255</v>
      </c>
      <c r="N30" s="254">
        <f>IFERROR(__xludf.DUMMYFUNCTION("""COMPUTED_VALUE"""),136663.0)</f>
        <v>136663</v>
      </c>
      <c r="O30" s="254">
        <f>IFERROR(__xludf.DUMMYFUNCTION("""COMPUTED_VALUE"""),8.0)</f>
        <v>8</v>
      </c>
      <c r="P30" s="254">
        <f>IFERROR(__xludf.DUMMYFUNCTION("""COMPUTED_VALUE"""),1994.0)</f>
        <v>1994</v>
      </c>
      <c r="Q30" s="254">
        <f>IFERROR(__xludf.DUMMYFUNCTION("""COMPUTED_VALUE"""),5.0)</f>
        <v>5</v>
      </c>
      <c r="R30" s="254">
        <f>IFERROR(__xludf.DUMMYFUNCTION("""COMPUTED_VALUE"""),1601.0)</f>
        <v>1601</v>
      </c>
      <c r="S30" s="254">
        <f>IFERROR(__xludf.DUMMYFUNCTION("""COMPUTED_VALUE"""),0.0)</f>
        <v>0</v>
      </c>
      <c r="T30" s="254">
        <f>IFERROR(__xludf.DUMMYFUNCTION("""COMPUTED_VALUE"""),294.0)</f>
        <v>294</v>
      </c>
      <c r="U30" s="254">
        <f>IFERROR(__xludf.DUMMYFUNCTION("""COMPUTED_VALUE"""),99.0)</f>
        <v>99</v>
      </c>
      <c r="V30" s="254">
        <f>IFERROR(__xludf.DUMMYFUNCTION("""COMPUTED_VALUE"""),98.0)</f>
        <v>98</v>
      </c>
      <c r="W30" s="254">
        <f>IFERROR(__xludf.DUMMYFUNCTION("""COMPUTED_VALUE"""),20.0)</f>
        <v>20</v>
      </c>
      <c r="X30" s="254">
        <f>IFERROR(__xludf.DUMMYFUNCTION("""COMPUTED_VALUE"""),18.0)</f>
        <v>18</v>
      </c>
      <c r="Y30" s="254">
        <f>IFERROR(__xludf.DUMMYFUNCTION("""COMPUTED_VALUE"""),2.0)</f>
        <v>2</v>
      </c>
      <c r="Z30" s="254">
        <f>IFERROR(__xludf.DUMMYFUNCTION("""COMPUTED_VALUE"""),944.0)</f>
        <v>944</v>
      </c>
    </row>
    <row r="31">
      <c r="A31" s="253">
        <f>IFERROR(__xludf.DUMMYFUNCTION("""COMPUTED_VALUE"""),44004.0)</f>
        <v>44004</v>
      </c>
      <c r="B31" s="254">
        <f>IFERROR(__xludf.DUMMYFUNCTION("""COMPUTED_VALUE"""),138.0)</f>
        <v>138</v>
      </c>
      <c r="C31" s="254">
        <f>IFERROR(__xludf.DUMMYFUNCTION("""COMPUTED_VALUE"""),86.0)</f>
        <v>86</v>
      </c>
      <c r="D31" s="254">
        <f>IFERROR(__xludf.DUMMYFUNCTION("""COMPUTED_VALUE"""),23823.0)</f>
        <v>23823</v>
      </c>
      <c r="E31" s="254">
        <f>IFERROR(__xludf.DUMMYFUNCTION("""COMPUTED_VALUE"""),3730.0)</f>
        <v>3730</v>
      </c>
      <c r="F31" s="185">
        <f>IFERROR(__xludf.DUMMYFUNCTION("""COMPUTED_VALUE"""),210065.0)</f>
        <v>210065</v>
      </c>
      <c r="G31" s="185">
        <f>IFERROR(__xludf.DUMMYFUNCTION("""COMPUTED_VALUE"""),3868.0)</f>
        <v>3868</v>
      </c>
      <c r="H31" s="185">
        <f>IFERROR(__xludf.DUMMYFUNCTION("""COMPUTED_VALUE"""),233888.0)</f>
        <v>233888</v>
      </c>
      <c r="I31" s="254">
        <f>IFERROR(__xludf.DUMMYFUNCTION("""COMPUTED_VALUE"""),65.0)</f>
        <v>65</v>
      </c>
      <c r="J31" s="254">
        <f>IFERROR(__xludf.DUMMYFUNCTION("""COMPUTED_VALUE"""),44.0)</f>
        <v>44</v>
      </c>
      <c r="K31" s="254">
        <f>IFERROR(__xludf.DUMMYFUNCTION("""COMPUTED_VALUE"""),16473.0)</f>
        <v>16473</v>
      </c>
      <c r="L31" s="254">
        <f>IFERROR(__xludf.DUMMYFUNCTION("""COMPUTED_VALUE"""),1645.0)</f>
        <v>1645</v>
      </c>
      <c r="M31" s="254">
        <f>IFERROR(__xludf.DUMMYFUNCTION("""COMPUTED_VALUE"""),121900.0)</f>
        <v>121900</v>
      </c>
      <c r="N31" s="254">
        <f>IFERROR(__xludf.DUMMYFUNCTION("""COMPUTED_VALUE"""),138373.0)</f>
        <v>138373</v>
      </c>
      <c r="O31" s="254">
        <f>IFERROR(__xludf.DUMMYFUNCTION("""COMPUTED_VALUE"""),12.0)</f>
        <v>12</v>
      </c>
      <c r="P31" s="254">
        <f>IFERROR(__xludf.DUMMYFUNCTION("""COMPUTED_VALUE"""),2006.0)</f>
        <v>2006</v>
      </c>
      <c r="Q31" s="254">
        <f>IFERROR(__xludf.DUMMYFUNCTION("""COMPUTED_VALUE"""),17.0)</f>
        <v>17</v>
      </c>
      <c r="R31" s="254">
        <f>IFERROR(__xludf.DUMMYFUNCTION("""COMPUTED_VALUE"""),1618.0)</f>
        <v>1618</v>
      </c>
      <c r="S31" s="254">
        <f>IFERROR(__xludf.DUMMYFUNCTION("""COMPUTED_VALUE"""),0.0)</f>
        <v>0</v>
      </c>
      <c r="T31" s="254">
        <f>IFERROR(__xludf.DUMMYFUNCTION("""COMPUTED_VALUE"""),294.0)</f>
        <v>294</v>
      </c>
      <c r="U31" s="254">
        <f>IFERROR(__xludf.DUMMYFUNCTION("""COMPUTED_VALUE"""),94.0)</f>
        <v>94</v>
      </c>
      <c r="V31" s="254">
        <f>IFERROR(__xludf.DUMMYFUNCTION("""COMPUTED_VALUE"""),96.0)</f>
        <v>96</v>
      </c>
      <c r="W31" s="254">
        <f>IFERROR(__xludf.DUMMYFUNCTION("""COMPUTED_VALUE"""),19.0)</f>
        <v>19</v>
      </c>
      <c r="X31" s="254">
        <f>IFERROR(__xludf.DUMMYFUNCTION("""COMPUTED_VALUE"""),18.0)</f>
        <v>18</v>
      </c>
      <c r="Y31" s="254">
        <f>IFERROR(__xludf.DUMMYFUNCTION("""COMPUTED_VALUE"""),2.0)</f>
        <v>2</v>
      </c>
      <c r="Z31" s="254">
        <f>IFERROR(__xludf.DUMMYFUNCTION("""COMPUTED_VALUE"""),946.0)</f>
        <v>946</v>
      </c>
    </row>
    <row r="32">
      <c r="A32" s="253">
        <f>IFERROR(__xludf.DUMMYFUNCTION("""COMPUTED_VALUE"""),44005.0)</f>
        <v>44005</v>
      </c>
      <c r="B32" s="254">
        <f>IFERROR(__xludf.DUMMYFUNCTION("""COMPUTED_VALUE"""),163.0)</f>
        <v>163</v>
      </c>
      <c r="C32" s="254">
        <f>IFERROR(__xludf.DUMMYFUNCTION("""COMPUTED_VALUE"""),113.0)</f>
        <v>113</v>
      </c>
      <c r="D32" s="254">
        <f>IFERROR(__xludf.DUMMYFUNCTION("""COMPUTED_VALUE"""),23986.0)</f>
        <v>23986</v>
      </c>
      <c r="E32" s="254">
        <f>IFERROR(__xludf.DUMMYFUNCTION("""COMPUTED_VALUE"""),3831.0)</f>
        <v>3831</v>
      </c>
      <c r="F32" s="185">
        <f>IFERROR(__xludf.DUMMYFUNCTION("""COMPUTED_VALUE"""),213896.0)</f>
        <v>213896</v>
      </c>
      <c r="G32" s="185">
        <f>IFERROR(__xludf.DUMMYFUNCTION("""COMPUTED_VALUE"""),3994.0)</f>
        <v>3994</v>
      </c>
      <c r="H32" s="185">
        <f>IFERROR(__xludf.DUMMYFUNCTION("""COMPUTED_VALUE"""),237882.0)</f>
        <v>237882</v>
      </c>
      <c r="I32" s="254">
        <f>IFERROR(__xludf.DUMMYFUNCTION("""COMPUTED_VALUE"""),81.0)</f>
        <v>81</v>
      </c>
      <c r="J32" s="254">
        <f>IFERROR(__xludf.DUMMYFUNCTION("""COMPUTED_VALUE"""),59.0)</f>
        <v>59</v>
      </c>
      <c r="K32" s="254">
        <f>IFERROR(__xludf.DUMMYFUNCTION("""COMPUTED_VALUE"""),16554.0)</f>
        <v>16554</v>
      </c>
      <c r="L32" s="254">
        <f>IFERROR(__xludf.DUMMYFUNCTION("""COMPUTED_VALUE"""),1721.0)</f>
        <v>1721</v>
      </c>
      <c r="M32" s="254">
        <f>IFERROR(__xludf.DUMMYFUNCTION("""COMPUTED_VALUE"""),123621.0)</f>
        <v>123621</v>
      </c>
      <c r="N32" s="254">
        <f>IFERROR(__xludf.DUMMYFUNCTION("""COMPUTED_VALUE"""),140175.0)</f>
        <v>140175</v>
      </c>
      <c r="O32" s="254">
        <f>IFERROR(__xludf.DUMMYFUNCTION("""COMPUTED_VALUE"""),3.0)</f>
        <v>3</v>
      </c>
      <c r="P32" s="254">
        <f>IFERROR(__xludf.DUMMYFUNCTION("""COMPUTED_VALUE"""),2009.0)</f>
        <v>2009</v>
      </c>
      <c r="Q32" s="254">
        <f>IFERROR(__xludf.DUMMYFUNCTION("""COMPUTED_VALUE"""),13.0)</f>
        <v>13</v>
      </c>
      <c r="R32" s="254">
        <f>IFERROR(__xludf.DUMMYFUNCTION("""COMPUTED_VALUE"""),1631.0)</f>
        <v>1631</v>
      </c>
      <c r="S32" s="254">
        <f>IFERROR(__xludf.DUMMYFUNCTION("""COMPUTED_VALUE"""),3.0)</f>
        <v>3</v>
      </c>
      <c r="T32" s="254">
        <f>IFERROR(__xludf.DUMMYFUNCTION("""COMPUTED_VALUE"""),297.0)</f>
        <v>297</v>
      </c>
      <c r="U32" s="254">
        <f>IFERROR(__xludf.DUMMYFUNCTION("""COMPUTED_VALUE"""),81.0)</f>
        <v>81</v>
      </c>
      <c r="V32" s="254">
        <f>IFERROR(__xludf.DUMMYFUNCTION("""COMPUTED_VALUE"""),91.0)</f>
        <v>91</v>
      </c>
      <c r="W32" s="254">
        <f>IFERROR(__xludf.DUMMYFUNCTION("""COMPUTED_VALUE"""),18.0)</f>
        <v>18</v>
      </c>
      <c r="X32" s="254">
        <f>IFERROR(__xludf.DUMMYFUNCTION("""COMPUTED_VALUE"""),18.0)</f>
        <v>18</v>
      </c>
      <c r="Y32" s="254">
        <f>IFERROR(__xludf.DUMMYFUNCTION("""COMPUTED_VALUE"""),7.0)</f>
        <v>7</v>
      </c>
      <c r="Z32" s="254">
        <f>IFERROR(__xludf.DUMMYFUNCTION("""COMPUTED_VALUE"""),953.0)</f>
        <v>953</v>
      </c>
    </row>
    <row r="33">
      <c r="A33" s="253">
        <f>IFERROR(__xludf.DUMMYFUNCTION("""COMPUTED_VALUE"""),44006.0)</f>
        <v>44006</v>
      </c>
      <c r="B33" s="254">
        <f>IFERROR(__xludf.DUMMYFUNCTION("""COMPUTED_VALUE"""),120.0)</f>
        <v>120</v>
      </c>
      <c r="C33" s="254">
        <f>IFERROR(__xludf.DUMMYFUNCTION("""COMPUTED_VALUE"""),140.0)</f>
        <v>140</v>
      </c>
      <c r="D33" s="254">
        <f>IFERROR(__xludf.DUMMYFUNCTION("""COMPUTED_VALUE"""),24106.0)</f>
        <v>24106</v>
      </c>
      <c r="E33" s="254">
        <f>IFERROR(__xludf.DUMMYFUNCTION("""COMPUTED_VALUE"""),3502.0)</f>
        <v>3502</v>
      </c>
      <c r="F33" s="185">
        <f>IFERROR(__xludf.DUMMYFUNCTION("""COMPUTED_VALUE"""),217398.0)</f>
        <v>217398</v>
      </c>
      <c r="G33" s="185">
        <f>IFERROR(__xludf.DUMMYFUNCTION("""COMPUTED_VALUE"""),3622.0)</f>
        <v>3622</v>
      </c>
      <c r="H33" s="185">
        <f>IFERROR(__xludf.DUMMYFUNCTION("""COMPUTED_VALUE"""),241504.0)</f>
        <v>241504</v>
      </c>
      <c r="I33" s="254">
        <f>IFERROR(__xludf.DUMMYFUNCTION("""COMPUTED_VALUE"""),44.0)</f>
        <v>44</v>
      </c>
      <c r="J33" s="254">
        <f>IFERROR(__xludf.DUMMYFUNCTION("""COMPUTED_VALUE"""),63.0)</f>
        <v>63</v>
      </c>
      <c r="K33" s="254">
        <f>IFERROR(__xludf.DUMMYFUNCTION("""COMPUTED_VALUE"""),16598.0)</f>
        <v>16598</v>
      </c>
      <c r="L33" s="254">
        <f>IFERROR(__xludf.DUMMYFUNCTION("""COMPUTED_VALUE"""),1621.0)</f>
        <v>1621</v>
      </c>
      <c r="M33" s="254">
        <f>IFERROR(__xludf.DUMMYFUNCTION("""COMPUTED_VALUE"""),125242.0)</f>
        <v>125242</v>
      </c>
      <c r="N33" s="254">
        <f>IFERROR(__xludf.DUMMYFUNCTION("""COMPUTED_VALUE"""),141840.0)</f>
        <v>141840</v>
      </c>
      <c r="O33" s="254">
        <f>IFERROR(__xludf.DUMMYFUNCTION("""COMPUTED_VALUE"""),9.0)</f>
        <v>9</v>
      </c>
      <c r="P33" s="254">
        <f>IFERROR(__xludf.DUMMYFUNCTION("""COMPUTED_VALUE"""),2018.0)</f>
        <v>2018</v>
      </c>
      <c r="Q33" s="254">
        <f>IFERROR(__xludf.DUMMYFUNCTION("""COMPUTED_VALUE"""),10.0)</f>
        <v>10</v>
      </c>
      <c r="R33" s="254">
        <f>IFERROR(__xludf.DUMMYFUNCTION("""COMPUTED_VALUE"""),1641.0)</f>
        <v>1641</v>
      </c>
      <c r="S33" s="254">
        <f>IFERROR(__xludf.DUMMYFUNCTION("""COMPUTED_VALUE"""),1.0)</f>
        <v>1</v>
      </c>
      <c r="T33" s="254">
        <f>IFERROR(__xludf.DUMMYFUNCTION("""COMPUTED_VALUE"""),298.0)</f>
        <v>298</v>
      </c>
      <c r="U33" s="254">
        <f>IFERROR(__xludf.DUMMYFUNCTION("""COMPUTED_VALUE"""),79.0)</f>
        <v>79</v>
      </c>
      <c r="V33" s="254">
        <f>IFERROR(__xludf.DUMMYFUNCTION("""COMPUTED_VALUE"""),85.0)</f>
        <v>85</v>
      </c>
      <c r="W33" s="254">
        <f>IFERROR(__xludf.DUMMYFUNCTION("""COMPUTED_VALUE"""),18.0)</f>
        <v>18</v>
      </c>
      <c r="X33" s="254">
        <f>IFERROR(__xludf.DUMMYFUNCTION("""COMPUTED_VALUE"""),18.0)</f>
        <v>18</v>
      </c>
      <c r="Y33" s="254">
        <f>IFERROR(__xludf.DUMMYFUNCTION("""COMPUTED_VALUE"""),5.0)</f>
        <v>5</v>
      </c>
      <c r="Z33" s="254">
        <f>IFERROR(__xludf.DUMMYFUNCTION("""COMPUTED_VALUE"""),958.0)</f>
        <v>958</v>
      </c>
    </row>
    <row r="34">
      <c r="A34" s="253">
        <f>IFERROR(__xludf.DUMMYFUNCTION("""COMPUTED_VALUE"""),44007.0)</f>
        <v>44007</v>
      </c>
      <c r="B34" s="254">
        <f>IFERROR(__xludf.DUMMYFUNCTION("""COMPUTED_VALUE"""),103.0)</f>
        <v>103</v>
      </c>
      <c r="C34" s="254">
        <f>IFERROR(__xludf.DUMMYFUNCTION("""COMPUTED_VALUE"""),129.0)</f>
        <v>129</v>
      </c>
      <c r="D34" s="254">
        <f>IFERROR(__xludf.DUMMYFUNCTION("""COMPUTED_VALUE"""),24209.0)</f>
        <v>24209</v>
      </c>
      <c r="E34" s="254">
        <f>IFERROR(__xludf.DUMMYFUNCTION("""COMPUTED_VALUE"""),2883.0)</f>
        <v>2883</v>
      </c>
      <c r="F34" s="185">
        <f>IFERROR(__xludf.DUMMYFUNCTION("""COMPUTED_VALUE"""),220281.0)</f>
        <v>220281</v>
      </c>
      <c r="G34" s="185">
        <f>IFERROR(__xludf.DUMMYFUNCTION("""COMPUTED_VALUE"""),2986.0)</f>
        <v>2986</v>
      </c>
      <c r="H34" s="185">
        <f>IFERROR(__xludf.DUMMYFUNCTION("""COMPUTED_VALUE"""),244490.0)</f>
        <v>244490</v>
      </c>
      <c r="I34" s="254">
        <f>IFERROR(__xludf.DUMMYFUNCTION("""COMPUTED_VALUE"""),50.0)</f>
        <v>50</v>
      </c>
      <c r="J34" s="254">
        <f>IFERROR(__xludf.DUMMYFUNCTION("""COMPUTED_VALUE"""),58.0)</f>
        <v>58</v>
      </c>
      <c r="K34" s="254">
        <f>IFERROR(__xludf.DUMMYFUNCTION("""COMPUTED_VALUE"""),16648.0)</f>
        <v>16648</v>
      </c>
      <c r="L34" s="254">
        <f>IFERROR(__xludf.DUMMYFUNCTION("""COMPUTED_VALUE"""),1448.0)</f>
        <v>1448</v>
      </c>
      <c r="M34" s="254">
        <f>IFERROR(__xludf.DUMMYFUNCTION("""COMPUTED_VALUE"""),126690.0)</f>
        <v>126690</v>
      </c>
      <c r="N34" s="254">
        <f>IFERROR(__xludf.DUMMYFUNCTION("""COMPUTED_VALUE"""),143338.0)</f>
        <v>143338</v>
      </c>
      <c r="O34" s="254">
        <f>IFERROR(__xludf.DUMMYFUNCTION("""COMPUTED_VALUE"""),6.0)</f>
        <v>6</v>
      </c>
      <c r="P34" s="254">
        <f>IFERROR(__xludf.DUMMYFUNCTION("""COMPUTED_VALUE"""),2024.0)</f>
        <v>2024</v>
      </c>
      <c r="Q34" s="254">
        <f>IFERROR(__xludf.DUMMYFUNCTION("""COMPUTED_VALUE"""),14.0)</f>
        <v>14</v>
      </c>
      <c r="R34" s="254">
        <f>IFERROR(__xludf.DUMMYFUNCTION("""COMPUTED_VALUE"""),1655.0)</f>
        <v>1655</v>
      </c>
      <c r="S34" s="254">
        <f>IFERROR(__xludf.DUMMYFUNCTION("""COMPUTED_VALUE"""),1.0)</f>
        <v>1</v>
      </c>
      <c r="T34" s="254">
        <f>IFERROR(__xludf.DUMMYFUNCTION("""COMPUTED_VALUE"""),299.0)</f>
        <v>299</v>
      </c>
      <c r="U34" s="254">
        <f>IFERROR(__xludf.DUMMYFUNCTION("""COMPUTED_VALUE"""),70.0)</f>
        <v>70</v>
      </c>
      <c r="V34" s="254">
        <f>IFERROR(__xludf.DUMMYFUNCTION("""COMPUTED_VALUE"""),77.0)</f>
        <v>77</v>
      </c>
      <c r="W34" s="254">
        <f>IFERROR(__xludf.DUMMYFUNCTION("""COMPUTED_VALUE"""),17.0)</f>
        <v>17</v>
      </c>
      <c r="X34" s="254">
        <f>IFERROR(__xludf.DUMMYFUNCTION("""COMPUTED_VALUE"""),17.0)</f>
        <v>17</v>
      </c>
      <c r="Y34" s="254">
        <f>IFERROR(__xludf.DUMMYFUNCTION("""COMPUTED_VALUE"""),1.0)</f>
        <v>1</v>
      </c>
      <c r="Z34" s="254">
        <f>IFERROR(__xludf.DUMMYFUNCTION("""COMPUTED_VALUE"""),959.0)</f>
        <v>959</v>
      </c>
    </row>
    <row r="35">
      <c r="A35" s="253">
        <f>IFERROR(__xludf.DUMMYFUNCTION("""COMPUTED_VALUE"""),44008.0)</f>
        <v>44008</v>
      </c>
      <c r="B35" s="254">
        <f>IFERROR(__xludf.DUMMYFUNCTION("""COMPUTED_VALUE"""),94.0)</f>
        <v>94</v>
      </c>
      <c r="C35" s="254">
        <f>IFERROR(__xludf.DUMMYFUNCTION("""COMPUTED_VALUE"""),106.0)</f>
        <v>106</v>
      </c>
      <c r="D35" s="254">
        <f>IFERROR(__xludf.DUMMYFUNCTION("""COMPUTED_VALUE"""),24303.0)</f>
        <v>24303</v>
      </c>
      <c r="E35" s="254">
        <f>IFERROR(__xludf.DUMMYFUNCTION("""COMPUTED_VALUE"""),2488.0)</f>
        <v>2488</v>
      </c>
      <c r="F35" s="185">
        <f>IFERROR(__xludf.DUMMYFUNCTION("""COMPUTED_VALUE"""),222769.0)</f>
        <v>222769</v>
      </c>
      <c r="G35" s="185">
        <f>IFERROR(__xludf.DUMMYFUNCTION("""COMPUTED_VALUE"""),2582.0)</f>
        <v>2582</v>
      </c>
      <c r="H35" s="185">
        <f>IFERROR(__xludf.DUMMYFUNCTION("""COMPUTED_VALUE"""),247072.0)</f>
        <v>247072</v>
      </c>
      <c r="I35" s="254">
        <f>IFERROR(__xludf.DUMMYFUNCTION("""COMPUTED_VALUE"""),60.0)</f>
        <v>60</v>
      </c>
      <c r="J35" s="254">
        <f>IFERROR(__xludf.DUMMYFUNCTION("""COMPUTED_VALUE"""),51.0)</f>
        <v>51</v>
      </c>
      <c r="K35" s="254">
        <f>IFERROR(__xludf.DUMMYFUNCTION("""COMPUTED_VALUE"""),16708.0)</f>
        <v>16708</v>
      </c>
      <c r="L35" s="254">
        <f>IFERROR(__xludf.DUMMYFUNCTION("""COMPUTED_VALUE"""),1280.0)</f>
        <v>1280</v>
      </c>
      <c r="M35" s="254">
        <f>IFERROR(__xludf.DUMMYFUNCTION("""COMPUTED_VALUE"""),127970.0)</f>
        <v>127970</v>
      </c>
      <c r="N35" s="254">
        <f>IFERROR(__xludf.DUMMYFUNCTION("""COMPUTED_VALUE"""),144678.0)</f>
        <v>144678</v>
      </c>
      <c r="O35" s="254">
        <f>IFERROR(__xludf.DUMMYFUNCTION("""COMPUTED_VALUE"""),2.0)</f>
        <v>2</v>
      </c>
      <c r="P35" s="254">
        <f>IFERROR(__xludf.DUMMYFUNCTION("""COMPUTED_VALUE"""),2026.0)</f>
        <v>2026</v>
      </c>
      <c r="Q35" s="254">
        <f>IFERROR(__xludf.DUMMYFUNCTION("""COMPUTED_VALUE"""),10.0)</f>
        <v>10</v>
      </c>
      <c r="R35" s="254">
        <f>IFERROR(__xludf.DUMMYFUNCTION("""COMPUTED_VALUE"""),1665.0)</f>
        <v>1665</v>
      </c>
      <c r="S35" s="254">
        <f>IFERROR(__xludf.DUMMYFUNCTION("""COMPUTED_VALUE"""),0.0)</f>
        <v>0</v>
      </c>
      <c r="T35" s="254">
        <f>IFERROR(__xludf.DUMMYFUNCTION("""COMPUTED_VALUE"""),299.0)</f>
        <v>299</v>
      </c>
      <c r="U35" s="254">
        <f>IFERROR(__xludf.DUMMYFUNCTION("""COMPUTED_VALUE"""),62.0)</f>
        <v>62</v>
      </c>
      <c r="V35" s="254">
        <f>IFERROR(__xludf.DUMMYFUNCTION("""COMPUTED_VALUE"""),70.0)</f>
        <v>70</v>
      </c>
      <c r="W35" s="254">
        <f>IFERROR(__xludf.DUMMYFUNCTION("""COMPUTED_VALUE"""),18.0)</f>
        <v>18</v>
      </c>
      <c r="X35" s="254">
        <f>IFERROR(__xludf.DUMMYFUNCTION("""COMPUTED_VALUE"""),18.0)</f>
        <v>18</v>
      </c>
      <c r="Y35" s="254">
        <f>IFERROR(__xludf.DUMMYFUNCTION("""COMPUTED_VALUE"""),1.0)</f>
        <v>1</v>
      </c>
      <c r="Z35" s="254">
        <f>IFERROR(__xludf.DUMMYFUNCTION("""COMPUTED_VALUE"""),960.0)</f>
        <v>960</v>
      </c>
    </row>
    <row r="36">
      <c r="A36" s="253">
        <f>IFERROR(__xludf.DUMMYFUNCTION("""COMPUTED_VALUE"""),44009.0)</f>
        <v>44009</v>
      </c>
      <c r="B36" s="254">
        <f>IFERROR(__xludf.DUMMYFUNCTION("""COMPUTED_VALUE"""),84.0)</f>
        <v>84</v>
      </c>
      <c r="C36" s="254">
        <f>IFERROR(__xludf.DUMMYFUNCTION("""COMPUTED_VALUE"""),94.0)</f>
        <v>94</v>
      </c>
      <c r="D36" s="254">
        <f>IFERROR(__xludf.DUMMYFUNCTION("""COMPUTED_VALUE"""),24387.0)</f>
        <v>24387</v>
      </c>
      <c r="E36" s="254">
        <f>IFERROR(__xludf.DUMMYFUNCTION("""COMPUTED_VALUE"""),3216.0)</f>
        <v>3216</v>
      </c>
      <c r="F36" s="185">
        <f>IFERROR(__xludf.DUMMYFUNCTION("""COMPUTED_VALUE"""),225985.0)</f>
        <v>225985</v>
      </c>
      <c r="G36" s="185">
        <f>IFERROR(__xludf.DUMMYFUNCTION("""COMPUTED_VALUE"""),3300.0)</f>
        <v>3300</v>
      </c>
      <c r="H36" s="185">
        <f>IFERROR(__xludf.DUMMYFUNCTION("""COMPUTED_VALUE"""),250372.0)</f>
        <v>250372</v>
      </c>
      <c r="I36" s="254">
        <f>IFERROR(__xludf.DUMMYFUNCTION("""COMPUTED_VALUE"""),37.0)</f>
        <v>37</v>
      </c>
      <c r="J36" s="254">
        <f>IFERROR(__xludf.DUMMYFUNCTION("""COMPUTED_VALUE"""),49.0)</f>
        <v>49</v>
      </c>
      <c r="K36" s="254">
        <f>IFERROR(__xludf.DUMMYFUNCTION("""COMPUTED_VALUE"""),16745.0)</f>
        <v>16745</v>
      </c>
      <c r="L36" s="254">
        <f>IFERROR(__xludf.DUMMYFUNCTION("""COMPUTED_VALUE"""),1171.0)</f>
        <v>1171</v>
      </c>
      <c r="M36" s="254">
        <f>IFERROR(__xludf.DUMMYFUNCTION("""COMPUTED_VALUE"""),129141.0)</f>
        <v>129141</v>
      </c>
      <c r="N36" s="254">
        <f>IFERROR(__xludf.DUMMYFUNCTION("""COMPUTED_VALUE"""),145886.0)</f>
        <v>145886</v>
      </c>
      <c r="O36" s="254">
        <f>IFERROR(__xludf.DUMMYFUNCTION("""COMPUTED_VALUE"""),5.0)</f>
        <v>5</v>
      </c>
      <c r="P36" s="254">
        <f>IFERROR(__xludf.DUMMYFUNCTION("""COMPUTED_VALUE"""),2031.0)</f>
        <v>2031</v>
      </c>
      <c r="Q36" s="254">
        <f>IFERROR(__xludf.DUMMYFUNCTION("""COMPUTED_VALUE"""),3.0)</f>
        <v>3</v>
      </c>
      <c r="R36" s="254">
        <f>IFERROR(__xludf.DUMMYFUNCTION("""COMPUTED_VALUE"""),1668.0)</f>
        <v>1668</v>
      </c>
      <c r="S36" s="254">
        <f>IFERROR(__xludf.DUMMYFUNCTION("""COMPUTED_VALUE"""),1.0)</f>
        <v>1</v>
      </c>
      <c r="T36" s="254">
        <f>IFERROR(__xludf.DUMMYFUNCTION("""COMPUTED_VALUE"""),300.0)</f>
        <v>300</v>
      </c>
      <c r="U36" s="254">
        <f>IFERROR(__xludf.DUMMYFUNCTION("""COMPUTED_VALUE"""),63.0)</f>
        <v>63</v>
      </c>
      <c r="V36" s="254">
        <f>IFERROR(__xludf.DUMMYFUNCTION("""COMPUTED_VALUE"""),65.0)</f>
        <v>65</v>
      </c>
      <c r="W36" s="254">
        <f>IFERROR(__xludf.DUMMYFUNCTION("""COMPUTED_VALUE"""),17.0)</f>
        <v>17</v>
      </c>
      <c r="X36" s="254">
        <f>IFERROR(__xludf.DUMMYFUNCTION("""COMPUTED_VALUE"""),17.0)</f>
        <v>17</v>
      </c>
      <c r="Y36" s="254">
        <f>IFERROR(__xludf.DUMMYFUNCTION("""COMPUTED_VALUE"""),5.0)</f>
        <v>5</v>
      </c>
      <c r="Z36" s="254">
        <f>IFERROR(__xludf.DUMMYFUNCTION("""COMPUTED_VALUE"""),965.0)</f>
        <v>965</v>
      </c>
    </row>
    <row r="37">
      <c r="A37" s="253">
        <f>IFERROR(__xludf.DUMMYFUNCTION("""COMPUTED_VALUE"""),44010.0)</f>
        <v>44010</v>
      </c>
      <c r="B37" s="254">
        <f>IFERROR(__xludf.DUMMYFUNCTION("""COMPUTED_VALUE"""),39.0)</f>
        <v>39</v>
      </c>
      <c r="C37" s="254">
        <f>IFERROR(__xludf.DUMMYFUNCTION("""COMPUTED_VALUE"""),72.0)</f>
        <v>72</v>
      </c>
      <c r="D37" s="254">
        <f>IFERROR(__xludf.DUMMYFUNCTION("""COMPUTED_VALUE"""),24426.0)</f>
        <v>24426</v>
      </c>
      <c r="E37" s="254">
        <f>IFERROR(__xludf.DUMMYFUNCTION("""COMPUTED_VALUE"""),1469.0)</f>
        <v>1469</v>
      </c>
      <c r="F37" s="185">
        <f>IFERROR(__xludf.DUMMYFUNCTION("""COMPUTED_VALUE"""),227454.0)</f>
        <v>227454</v>
      </c>
      <c r="G37" s="185">
        <f>IFERROR(__xludf.DUMMYFUNCTION("""COMPUTED_VALUE"""),1508.0)</f>
        <v>1508</v>
      </c>
      <c r="H37" s="185">
        <f>IFERROR(__xludf.DUMMYFUNCTION("""COMPUTED_VALUE"""),251880.0)</f>
        <v>251880</v>
      </c>
      <c r="I37" s="254">
        <f>IFERROR(__xludf.DUMMYFUNCTION("""COMPUTED_VALUE"""),17.0)</f>
        <v>17</v>
      </c>
      <c r="J37" s="254">
        <f>IFERROR(__xludf.DUMMYFUNCTION("""COMPUTED_VALUE"""),38.0)</f>
        <v>38</v>
      </c>
      <c r="K37" s="254">
        <f>IFERROR(__xludf.DUMMYFUNCTION("""COMPUTED_VALUE"""),16762.0)</f>
        <v>16762</v>
      </c>
      <c r="L37" s="254">
        <f>IFERROR(__xludf.DUMMYFUNCTION("""COMPUTED_VALUE"""),579.0)</f>
        <v>579</v>
      </c>
      <c r="M37" s="254">
        <f>IFERROR(__xludf.DUMMYFUNCTION("""COMPUTED_VALUE"""),129720.0)</f>
        <v>129720</v>
      </c>
      <c r="N37" s="254">
        <f>IFERROR(__xludf.DUMMYFUNCTION("""COMPUTED_VALUE"""),146482.0)</f>
        <v>146482</v>
      </c>
      <c r="O37" s="254">
        <f>IFERROR(__xludf.DUMMYFUNCTION("""COMPUTED_VALUE"""),4.0)</f>
        <v>4</v>
      </c>
      <c r="P37" s="254">
        <f>IFERROR(__xludf.DUMMYFUNCTION("""COMPUTED_VALUE"""),2035.0)</f>
        <v>2035</v>
      </c>
      <c r="Q37" s="254">
        <f>IFERROR(__xludf.DUMMYFUNCTION("""COMPUTED_VALUE"""),4.0)</f>
        <v>4</v>
      </c>
      <c r="R37" s="254">
        <f>IFERROR(__xludf.DUMMYFUNCTION("""COMPUTED_VALUE"""),1672.0)</f>
        <v>1672</v>
      </c>
      <c r="S37" s="254">
        <f>IFERROR(__xludf.DUMMYFUNCTION("""COMPUTED_VALUE"""),4.0)</f>
        <v>4</v>
      </c>
      <c r="T37" s="254">
        <f>IFERROR(__xludf.DUMMYFUNCTION("""COMPUTED_VALUE"""),304.0)</f>
        <v>304</v>
      </c>
      <c r="U37" s="254">
        <f>IFERROR(__xludf.DUMMYFUNCTION("""COMPUTED_VALUE"""),59.0)</f>
        <v>59</v>
      </c>
      <c r="V37" s="254">
        <f>IFERROR(__xludf.DUMMYFUNCTION("""COMPUTED_VALUE"""),61.0)</f>
        <v>61</v>
      </c>
      <c r="W37" s="254">
        <f>IFERROR(__xludf.DUMMYFUNCTION("""COMPUTED_VALUE"""),15.0)</f>
        <v>15</v>
      </c>
      <c r="X37" s="254">
        <f>IFERROR(__xludf.DUMMYFUNCTION("""COMPUTED_VALUE"""),14.0)</f>
        <v>14</v>
      </c>
      <c r="Y37" s="254">
        <f>IFERROR(__xludf.DUMMYFUNCTION("""COMPUTED_VALUE"""),6.0)</f>
        <v>6</v>
      </c>
      <c r="Z37" s="254">
        <f>IFERROR(__xludf.DUMMYFUNCTION("""COMPUTED_VALUE"""),971.0)</f>
        <v>971</v>
      </c>
    </row>
    <row r="38">
      <c r="A38" s="253">
        <f>IFERROR(__xludf.DUMMYFUNCTION("""COMPUTED_VALUE"""),44011.0)</f>
        <v>44011</v>
      </c>
      <c r="B38" s="254">
        <f>IFERROR(__xludf.DUMMYFUNCTION("""COMPUTED_VALUE"""),85.0)</f>
        <v>85</v>
      </c>
      <c r="C38" s="254">
        <f>IFERROR(__xludf.DUMMYFUNCTION("""COMPUTED_VALUE"""),69.0)</f>
        <v>69</v>
      </c>
      <c r="D38" s="254">
        <f>IFERROR(__xludf.DUMMYFUNCTION("""COMPUTED_VALUE"""),24511.0)</f>
        <v>24511</v>
      </c>
      <c r="E38" s="254">
        <f>IFERROR(__xludf.DUMMYFUNCTION("""COMPUTED_VALUE"""),3697.0)</f>
        <v>3697</v>
      </c>
      <c r="F38" s="185">
        <f>IFERROR(__xludf.DUMMYFUNCTION("""COMPUTED_VALUE"""),231151.0)</f>
        <v>231151</v>
      </c>
      <c r="G38" s="185">
        <f>IFERROR(__xludf.DUMMYFUNCTION("""COMPUTED_VALUE"""),3782.0)</f>
        <v>3782</v>
      </c>
      <c r="H38" s="185">
        <f>IFERROR(__xludf.DUMMYFUNCTION("""COMPUTED_VALUE"""),255662.0)</f>
        <v>255662</v>
      </c>
      <c r="I38" s="254">
        <f>IFERROR(__xludf.DUMMYFUNCTION("""COMPUTED_VALUE"""),39.0)</f>
        <v>39</v>
      </c>
      <c r="J38" s="254">
        <f>IFERROR(__xludf.DUMMYFUNCTION("""COMPUTED_VALUE"""),31.0)</f>
        <v>31</v>
      </c>
      <c r="K38" s="254">
        <f>IFERROR(__xludf.DUMMYFUNCTION("""COMPUTED_VALUE"""),16801.0)</f>
        <v>16801</v>
      </c>
      <c r="L38" s="254">
        <f>IFERROR(__xludf.DUMMYFUNCTION("""COMPUTED_VALUE"""),1310.0)</f>
        <v>1310</v>
      </c>
      <c r="M38" s="254">
        <f>IFERROR(__xludf.DUMMYFUNCTION("""COMPUTED_VALUE"""),131030.0)</f>
        <v>131030</v>
      </c>
      <c r="N38" s="254">
        <f>IFERROR(__xludf.DUMMYFUNCTION("""COMPUTED_VALUE"""),147831.0)</f>
        <v>147831</v>
      </c>
      <c r="O38" s="254">
        <f>IFERROR(__xludf.DUMMYFUNCTION("""COMPUTED_VALUE"""),4.0)</f>
        <v>4</v>
      </c>
      <c r="P38" s="254">
        <f>IFERROR(__xludf.DUMMYFUNCTION("""COMPUTED_VALUE"""),2039.0)</f>
        <v>2039</v>
      </c>
      <c r="Q38" s="254">
        <f>IFERROR(__xludf.DUMMYFUNCTION("""COMPUTED_VALUE"""),5.0)</f>
        <v>5</v>
      </c>
      <c r="R38" s="254">
        <f>IFERROR(__xludf.DUMMYFUNCTION("""COMPUTED_VALUE"""),1677.0)</f>
        <v>1677</v>
      </c>
      <c r="S38" s="254">
        <f>IFERROR(__xludf.DUMMYFUNCTION("""COMPUTED_VALUE"""),0.0)</f>
        <v>0</v>
      </c>
      <c r="T38" s="254">
        <f>IFERROR(__xludf.DUMMYFUNCTION("""COMPUTED_VALUE"""),304.0)</f>
        <v>304</v>
      </c>
      <c r="U38" s="254">
        <f>IFERROR(__xludf.DUMMYFUNCTION("""COMPUTED_VALUE"""),58.0)</f>
        <v>58</v>
      </c>
      <c r="V38" s="254">
        <f>IFERROR(__xludf.DUMMYFUNCTION("""COMPUTED_VALUE"""),60.0)</f>
        <v>60</v>
      </c>
      <c r="W38" s="254">
        <f>IFERROR(__xludf.DUMMYFUNCTION("""COMPUTED_VALUE"""),14.0)</f>
        <v>14</v>
      </c>
      <c r="X38" s="254">
        <f>IFERROR(__xludf.DUMMYFUNCTION("""COMPUTED_VALUE"""),14.0)</f>
        <v>14</v>
      </c>
      <c r="Y38" s="254">
        <f>IFERROR(__xludf.DUMMYFUNCTION("""COMPUTED_VALUE"""),1.0)</f>
        <v>1</v>
      </c>
      <c r="Z38" s="254">
        <f>IFERROR(__xludf.DUMMYFUNCTION("""COMPUTED_VALUE"""),972.0)</f>
        <v>972</v>
      </c>
    </row>
    <row r="39">
      <c r="A39" s="253">
        <f>IFERROR(__xludf.DUMMYFUNCTION("""COMPUTED_VALUE"""),44012.0)</f>
        <v>44012</v>
      </c>
      <c r="B39" s="254">
        <f>IFERROR(__xludf.DUMMYFUNCTION("""COMPUTED_VALUE"""),57.0)</f>
        <v>57</v>
      </c>
      <c r="C39" s="254">
        <f>IFERROR(__xludf.DUMMYFUNCTION("""COMPUTED_VALUE"""),60.0)</f>
        <v>60</v>
      </c>
      <c r="D39" s="254">
        <f>IFERROR(__xludf.DUMMYFUNCTION("""COMPUTED_VALUE"""),24568.0)</f>
        <v>24568</v>
      </c>
      <c r="E39" s="254">
        <f>IFERROR(__xludf.DUMMYFUNCTION("""COMPUTED_VALUE"""),1958.0)</f>
        <v>1958</v>
      </c>
      <c r="F39" s="185">
        <f>IFERROR(__xludf.DUMMYFUNCTION("""COMPUTED_VALUE"""),233109.0)</f>
        <v>233109</v>
      </c>
      <c r="G39" s="185">
        <f>IFERROR(__xludf.DUMMYFUNCTION("""COMPUTED_VALUE"""),2015.0)</f>
        <v>2015</v>
      </c>
      <c r="H39" s="185">
        <f>IFERROR(__xludf.DUMMYFUNCTION("""COMPUTED_VALUE"""),257677.0)</f>
        <v>257677</v>
      </c>
      <c r="I39" s="254">
        <f>IFERROR(__xludf.DUMMYFUNCTION("""COMPUTED_VALUE"""),32.0)</f>
        <v>32</v>
      </c>
      <c r="J39" s="254">
        <f>IFERROR(__xludf.DUMMYFUNCTION("""COMPUTED_VALUE"""),29.0)</f>
        <v>29</v>
      </c>
      <c r="K39" s="254">
        <f>IFERROR(__xludf.DUMMYFUNCTION("""COMPUTED_VALUE"""),16833.0)</f>
        <v>16833</v>
      </c>
      <c r="L39" s="254">
        <f>IFERROR(__xludf.DUMMYFUNCTION("""COMPUTED_VALUE"""),965.0)</f>
        <v>965</v>
      </c>
      <c r="M39" s="254">
        <f>IFERROR(__xludf.DUMMYFUNCTION("""COMPUTED_VALUE"""),131995.0)</f>
        <v>131995</v>
      </c>
      <c r="N39" s="254">
        <f>IFERROR(__xludf.DUMMYFUNCTION("""COMPUTED_VALUE"""),148828.0)</f>
        <v>148828</v>
      </c>
      <c r="O39" s="254">
        <f>IFERROR(__xludf.DUMMYFUNCTION("""COMPUTED_VALUE"""),1.0)</f>
        <v>1</v>
      </c>
      <c r="P39" s="254">
        <f>IFERROR(__xludf.DUMMYFUNCTION("""COMPUTED_VALUE"""),2040.0)</f>
        <v>2040</v>
      </c>
      <c r="Q39" s="254">
        <f>IFERROR(__xludf.DUMMYFUNCTION("""COMPUTED_VALUE"""),5.0)</f>
        <v>5</v>
      </c>
      <c r="R39" s="254">
        <f>IFERROR(__xludf.DUMMYFUNCTION("""COMPUTED_VALUE"""),1682.0)</f>
        <v>1682</v>
      </c>
      <c r="S39" s="254">
        <f>IFERROR(__xludf.DUMMYFUNCTION("""COMPUTED_VALUE"""),1.0)</f>
        <v>1</v>
      </c>
      <c r="T39" s="254">
        <f>IFERROR(__xludf.DUMMYFUNCTION("""COMPUTED_VALUE"""),305.0)</f>
        <v>305</v>
      </c>
      <c r="U39" s="254">
        <f>IFERROR(__xludf.DUMMYFUNCTION("""COMPUTED_VALUE"""),53.0)</f>
        <v>53</v>
      </c>
      <c r="V39" s="254">
        <f>IFERROR(__xludf.DUMMYFUNCTION("""COMPUTED_VALUE"""),57.0)</f>
        <v>57</v>
      </c>
      <c r="W39" s="254">
        <f>IFERROR(__xludf.DUMMYFUNCTION("""COMPUTED_VALUE"""),12.0)</f>
        <v>12</v>
      </c>
      <c r="X39" s="254">
        <f>IFERROR(__xludf.DUMMYFUNCTION("""COMPUTED_VALUE"""),11.0)</f>
        <v>11</v>
      </c>
      <c r="Y39" s="254">
        <f>IFERROR(__xludf.DUMMYFUNCTION("""COMPUTED_VALUE"""),4.0)</f>
        <v>4</v>
      </c>
      <c r="Z39" s="254">
        <f>IFERROR(__xludf.DUMMYFUNCTION("""COMPUTED_VALUE"""),976.0)</f>
        <v>976</v>
      </c>
    </row>
    <row r="40">
      <c r="A40" s="253">
        <f>IFERROR(__xludf.DUMMYFUNCTION("""COMPUTED_VALUE"""),44013.0)</f>
        <v>44013</v>
      </c>
      <c r="B40" s="254">
        <f>IFERROR(__xludf.DUMMYFUNCTION("""COMPUTED_VALUE"""),144.0)</f>
        <v>144</v>
      </c>
      <c r="C40" s="254">
        <f>IFERROR(__xludf.DUMMYFUNCTION("""COMPUTED_VALUE"""),95.0)</f>
        <v>95</v>
      </c>
      <c r="D40" s="254">
        <f>IFERROR(__xludf.DUMMYFUNCTION("""COMPUTED_VALUE"""),24712.0)</f>
        <v>24712</v>
      </c>
      <c r="E40" s="254">
        <f>IFERROR(__xludf.DUMMYFUNCTION("""COMPUTED_VALUE"""),4098.0)</f>
        <v>4098</v>
      </c>
      <c r="F40" s="185">
        <f>IFERROR(__xludf.DUMMYFUNCTION("""COMPUTED_VALUE"""),237207.0)</f>
        <v>237207</v>
      </c>
      <c r="G40" s="185">
        <f>IFERROR(__xludf.DUMMYFUNCTION("""COMPUTED_VALUE"""),4242.0)</f>
        <v>4242</v>
      </c>
      <c r="H40" s="185">
        <f>IFERROR(__xludf.DUMMYFUNCTION("""COMPUTED_VALUE"""),261919.0)</f>
        <v>261919</v>
      </c>
      <c r="I40" s="254">
        <f>IFERROR(__xludf.DUMMYFUNCTION("""COMPUTED_VALUE"""),79.0)</f>
        <v>79</v>
      </c>
      <c r="J40" s="254">
        <f>IFERROR(__xludf.DUMMYFUNCTION("""COMPUTED_VALUE"""),50.0)</f>
        <v>50</v>
      </c>
      <c r="K40" s="254">
        <f>IFERROR(__xludf.DUMMYFUNCTION("""COMPUTED_VALUE"""),16912.0)</f>
        <v>16912</v>
      </c>
      <c r="L40" s="254">
        <f>IFERROR(__xludf.DUMMYFUNCTION("""COMPUTED_VALUE"""),1866.0)</f>
        <v>1866</v>
      </c>
      <c r="M40" s="254">
        <f>IFERROR(__xludf.DUMMYFUNCTION("""COMPUTED_VALUE"""),133861.0)</f>
        <v>133861</v>
      </c>
      <c r="N40" s="254">
        <f>IFERROR(__xludf.DUMMYFUNCTION("""COMPUTED_VALUE"""),150773.0)</f>
        <v>150773</v>
      </c>
      <c r="O40" s="254">
        <f>IFERROR(__xludf.DUMMYFUNCTION("""COMPUTED_VALUE"""),8.0)</f>
        <v>8</v>
      </c>
      <c r="P40" s="254">
        <f>IFERROR(__xludf.DUMMYFUNCTION("""COMPUTED_VALUE"""),2048.0)</f>
        <v>2048</v>
      </c>
      <c r="Q40" s="254">
        <f>IFERROR(__xludf.DUMMYFUNCTION("""COMPUTED_VALUE"""),10.0)</f>
        <v>10</v>
      </c>
      <c r="R40" s="254">
        <f>IFERROR(__xludf.DUMMYFUNCTION("""COMPUTED_VALUE"""),1692.0)</f>
        <v>1692</v>
      </c>
      <c r="S40" s="254">
        <f>IFERROR(__xludf.DUMMYFUNCTION("""COMPUTED_VALUE"""),0.0)</f>
        <v>0</v>
      </c>
      <c r="T40" s="254">
        <f>IFERROR(__xludf.DUMMYFUNCTION("""COMPUTED_VALUE"""),305.0)</f>
        <v>305</v>
      </c>
      <c r="U40" s="254">
        <f>IFERROR(__xludf.DUMMYFUNCTION("""COMPUTED_VALUE"""),51.0)</f>
        <v>51</v>
      </c>
      <c r="V40" s="254">
        <f>IFERROR(__xludf.DUMMYFUNCTION("""COMPUTED_VALUE"""),54.0)</f>
        <v>54</v>
      </c>
      <c r="W40" s="254">
        <f>IFERROR(__xludf.DUMMYFUNCTION("""COMPUTED_VALUE"""),11.0)</f>
        <v>11</v>
      </c>
      <c r="X40" s="254">
        <f>IFERROR(__xludf.DUMMYFUNCTION("""COMPUTED_VALUE"""),11.0)</f>
        <v>11</v>
      </c>
      <c r="Y40" s="254">
        <f>IFERROR(__xludf.DUMMYFUNCTION("""COMPUTED_VALUE"""),1.0)</f>
        <v>1</v>
      </c>
      <c r="Z40" s="254">
        <f>IFERROR(__xludf.DUMMYFUNCTION("""COMPUTED_VALUE"""),977.0)</f>
        <v>977</v>
      </c>
    </row>
    <row r="41">
      <c r="A41" s="253">
        <f>IFERROR(__xludf.DUMMYFUNCTION("""COMPUTED_VALUE"""),44014.0)</f>
        <v>44014</v>
      </c>
      <c r="B41" s="254">
        <f>IFERROR(__xludf.DUMMYFUNCTION("""COMPUTED_VALUE"""),103.0)</f>
        <v>103</v>
      </c>
      <c r="C41" s="254">
        <f>IFERROR(__xludf.DUMMYFUNCTION("""COMPUTED_VALUE"""),101.0)</f>
        <v>101</v>
      </c>
      <c r="D41" s="254">
        <f>IFERROR(__xludf.DUMMYFUNCTION("""COMPUTED_VALUE"""),24815.0)</f>
        <v>24815</v>
      </c>
      <c r="E41" s="254">
        <f>IFERROR(__xludf.DUMMYFUNCTION("""COMPUTED_VALUE"""),2803.0)</f>
        <v>2803</v>
      </c>
      <c r="F41" s="185">
        <f>IFERROR(__xludf.DUMMYFUNCTION("""COMPUTED_VALUE"""),240010.0)</f>
        <v>240010</v>
      </c>
      <c r="G41" s="185">
        <f>IFERROR(__xludf.DUMMYFUNCTION("""COMPUTED_VALUE"""),2906.0)</f>
        <v>2906</v>
      </c>
      <c r="H41" s="185">
        <f>IFERROR(__xludf.DUMMYFUNCTION("""COMPUTED_VALUE"""),264825.0)</f>
        <v>264825</v>
      </c>
      <c r="I41" s="254">
        <f>IFERROR(__xludf.DUMMYFUNCTION("""COMPUTED_VALUE"""),59.0)</f>
        <v>59</v>
      </c>
      <c r="J41" s="254">
        <f>IFERROR(__xludf.DUMMYFUNCTION("""COMPUTED_VALUE"""),57.0)</f>
        <v>57</v>
      </c>
      <c r="K41" s="254">
        <f>IFERROR(__xludf.DUMMYFUNCTION("""COMPUTED_VALUE"""),16971.0)</f>
        <v>16971</v>
      </c>
      <c r="L41" s="254">
        <f>IFERROR(__xludf.DUMMYFUNCTION("""COMPUTED_VALUE"""),1044.0)</f>
        <v>1044</v>
      </c>
      <c r="M41" s="254">
        <f>IFERROR(__xludf.DUMMYFUNCTION("""COMPUTED_VALUE"""),134905.0)</f>
        <v>134905</v>
      </c>
      <c r="N41" s="254">
        <f>IFERROR(__xludf.DUMMYFUNCTION("""COMPUTED_VALUE"""),151876.0)</f>
        <v>151876</v>
      </c>
      <c r="O41" s="254">
        <f>IFERROR(__xludf.DUMMYFUNCTION("""COMPUTED_VALUE"""),5.0)</f>
        <v>5</v>
      </c>
      <c r="P41" s="254">
        <f>IFERROR(__xludf.DUMMYFUNCTION("""COMPUTED_VALUE"""),2053.0)</f>
        <v>2053</v>
      </c>
      <c r="Q41" s="254">
        <f>IFERROR(__xludf.DUMMYFUNCTION("""COMPUTED_VALUE"""),5.0)</f>
        <v>5</v>
      </c>
      <c r="R41" s="254">
        <f>IFERROR(__xludf.DUMMYFUNCTION("""COMPUTED_VALUE"""),1697.0)</f>
        <v>1697</v>
      </c>
      <c r="S41" s="254">
        <f>IFERROR(__xludf.DUMMYFUNCTION("""COMPUTED_VALUE"""),1.0)</f>
        <v>1</v>
      </c>
      <c r="T41" s="254">
        <f>IFERROR(__xludf.DUMMYFUNCTION("""COMPUTED_VALUE"""),306.0)</f>
        <v>306</v>
      </c>
      <c r="U41" s="254">
        <f>IFERROR(__xludf.DUMMYFUNCTION("""COMPUTED_VALUE"""),50.0)</f>
        <v>50</v>
      </c>
      <c r="V41" s="254">
        <f>IFERROR(__xludf.DUMMYFUNCTION("""COMPUTED_VALUE"""),51.0)</f>
        <v>51</v>
      </c>
      <c r="W41" s="254">
        <f>IFERROR(__xludf.DUMMYFUNCTION("""COMPUTED_VALUE"""),10.0)</f>
        <v>10</v>
      </c>
      <c r="X41" s="254">
        <f>IFERROR(__xludf.DUMMYFUNCTION("""COMPUTED_VALUE"""),10.0)</f>
        <v>10</v>
      </c>
      <c r="Y41" s="254">
        <f>IFERROR(__xludf.DUMMYFUNCTION("""COMPUTED_VALUE"""),3.0)</f>
        <v>3</v>
      </c>
      <c r="Z41" s="254">
        <f>IFERROR(__xludf.DUMMYFUNCTION("""COMPUTED_VALUE"""),980.0)</f>
        <v>980</v>
      </c>
    </row>
    <row r="42">
      <c r="A42" s="253">
        <f>IFERROR(__xludf.DUMMYFUNCTION("""COMPUTED_VALUE"""),44015.0)</f>
        <v>44015</v>
      </c>
      <c r="B42" s="254">
        <f>IFERROR(__xludf.DUMMYFUNCTION("""COMPUTED_VALUE"""),50.0)</f>
        <v>50</v>
      </c>
      <c r="C42" s="254">
        <f>IFERROR(__xludf.DUMMYFUNCTION("""COMPUTED_VALUE"""),99.0)</f>
        <v>99</v>
      </c>
      <c r="D42" s="254">
        <f>IFERROR(__xludf.DUMMYFUNCTION("""COMPUTED_VALUE"""),24865.0)</f>
        <v>24865</v>
      </c>
      <c r="E42" s="254">
        <f>IFERROR(__xludf.DUMMYFUNCTION("""COMPUTED_VALUE"""),2079.0)</f>
        <v>2079</v>
      </c>
      <c r="F42" s="185">
        <f>IFERROR(__xludf.DUMMYFUNCTION("""COMPUTED_VALUE"""),242089.0)</f>
        <v>242089</v>
      </c>
      <c r="G42" s="185">
        <f>IFERROR(__xludf.DUMMYFUNCTION("""COMPUTED_VALUE"""),2129.0)</f>
        <v>2129</v>
      </c>
      <c r="H42" s="185">
        <f>IFERROR(__xludf.DUMMYFUNCTION("""COMPUTED_VALUE"""),266954.0)</f>
        <v>266954</v>
      </c>
      <c r="I42" s="254">
        <f>IFERROR(__xludf.DUMMYFUNCTION("""COMPUTED_VALUE"""),25.0)</f>
        <v>25</v>
      </c>
      <c r="J42" s="254">
        <f>IFERROR(__xludf.DUMMYFUNCTION("""COMPUTED_VALUE"""),54.0)</f>
        <v>54</v>
      </c>
      <c r="K42" s="254">
        <f>IFERROR(__xludf.DUMMYFUNCTION("""COMPUTED_VALUE"""),16996.0)</f>
        <v>16996</v>
      </c>
      <c r="L42" s="254">
        <f>IFERROR(__xludf.DUMMYFUNCTION("""COMPUTED_VALUE"""),759.0)</f>
        <v>759</v>
      </c>
      <c r="M42" s="254">
        <f>IFERROR(__xludf.DUMMYFUNCTION("""COMPUTED_VALUE"""),135664.0)</f>
        <v>135664</v>
      </c>
      <c r="N42" s="254">
        <f>IFERROR(__xludf.DUMMYFUNCTION("""COMPUTED_VALUE"""),152660.0)</f>
        <v>152660</v>
      </c>
      <c r="O42" s="254">
        <f>IFERROR(__xludf.DUMMYFUNCTION("""COMPUTED_VALUE"""),9.0)</f>
        <v>9</v>
      </c>
      <c r="P42" s="254">
        <f>IFERROR(__xludf.DUMMYFUNCTION("""COMPUTED_VALUE"""),2062.0)</f>
        <v>2062</v>
      </c>
      <c r="Q42" s="254">
        <f>IFERROR(__xludf.DUMMYFUNCTION("""COMPUTED_VALUE"""),6.0)</f>
        <v>6</v>
      </c>
      <c r="R42" s="254">
        <f>IFERROR(__xludf.DUMMYFUNCTION("""COMPUTED_VALUE"""),1703.0)</f>
        <v>1703</v>
      </c>
      <c r="S42" s="254">
        <f>IFERROR(__xludf.DUMMYFUNCTION("""COMPUTED_VALUE"""),0.0)</f>
        <v>0</v>
      </c>
      <c r="T42" s="254">
        <f>IFERROR(__xludf.DUMMYFUNCTION("""COMPUTED_VALUE"""),306.0)</f>
        <v>306</v>
      </c>
      <c r="U42" s="254">
        <f>IFERROR(__xludf.DUMMYFUNCTION("""COMPUTED_VALUE"""),53.0)</f>
        <v>53</v>
      </c>
      <c r="V42" s="254">
        <f>IFERROR(__xludf.DUMMYFUNCTION("""COMPUTED_VALUE"""),51.0)</f>
        <v>51</v>
      </c>
      <c r="W42" s="254">
        <f>IFERROR(__xludf.DUMMYFUNCTION("""COMPUTED_VALUE"""),9.0)</f>
        <v>9</v>
      </c>
      <c r="X42" s="254">
        <f>IFERROR(__xludf.DUMMYFUNCTION("""COMPUTED_VALUE"""),9.0)</f>
        <v>9</v>
      </c>
      <c r="Y42" s="254">
        <f>IFERROR(__xludf.DUMMYFUNCTION("""COMPUTED_VALUE"""),3.0)</f>
        <v>3</v>
      </c>
      <c r="Z42" s="254">
        <f>IFERROR(__xludf.DUMMYFUNCTION("""COMPUTED_VALUE"""),983.0)</f>
        <v>983</v>
      </c>
    </row>
    <row r="43">
      <c r="A43" s="253">
        <f>IFERROR(__xludf.DUMMYFUNCTION("""COMPUTED_VALUE"""),44016.0)</f>
        <v>44016</v>
      </c>
      <c r="B43" s="254">
        <f>IFERROR(__xludf.DUMMYFUNCTION("""COMPUTED_VALUE"""),57.0)</f>
        <v>57</v>
      </c>
      <c r="C43" s="254">
        <f>IFERROR(__xludf.DUMMYFUNCTION("""COMPUTED_VALUE"""),70.0)</f>
        <v>70</v>
      </c>
      <c r="D43" s="254">
        <f>IFERROR(__xludf.DUMMYFUNCTION("""COMPUTED_VALUE"""),24922.0)</f>
        <v>24922</v>
      </c>
      <c r="E43" s="254">
        <f>IFERROR(__xludf.DUMMYFUNCTION("""COMPUTED_VALUE"""),2345.0)</f>
        <v>2345</v>
      </c>
      <c r="F43" s="185">
        <f>IFERROR(__xludf.DUMMYFUNCTION("""COMPUTED_VALUE"""),244434.0)</f>
        <v>244434</v>
      </c>
      <c r="G43" s="185">
        <f>IFERROR(__xludf.DUMMYFUNCTION("""COMPUTED_VALUE"""),2402.0)</f>
        <v>2402</v>
      </c>
      <c r="H43" s="185">
        <f>IFERROR(__xludf.DUMMYFUNCTION("""COMPUTED_VALUE"""),269356.0)</f>
        <v>269356</v>
      </c>
      <c r="I43" s="254">
        <f>IFERROR(__xludf.DUMMYFUNCTION("""COMPUTED_VALUE"""),33.0)</f>
        <v>33</v>
      </c>
      <c r="J43" s="254">
        <f>IFERROR(__xludf.DUMMYFUNCTION("""COMPUTED_VALUE"""),39.0)</f>
        <v>39</v>
      </c>
      <c r="K43" s="254">
        <f>IFERROR(__xludf.DUMMYFUNCTION("""COMPUTED_VALUE"""),17029.0)</f>
        <v>17029</v>
      </c>
      <c r="L43" s="254">
        <f>IFERROR(__xludf.DUMMYFUNCTION("""COMPUTED_VALUE"""),970.0)</f>
        <v>970</v>
      </c>
      <c r="M43" s="254">
        <f>IFERROR(__xludf.DUMMYFUNCTION("""COMPUTED_VALUE"""),136634.0)</f>
        <v>136634</v>
      </c>
      <c r="N43" s="254">
        <f>IFERROR(__xludf.DUMMYFUNCTION("""COMPUTED_VALUE"""),153663.0)</f>
        <v>153663</v>
      </c>
      <c r="O43" s="254">
        <f>IFERROR(__xludf.DUMMYFUNCTION("""COMPUTED_VALUE"""),2.0)</f>
        <v>2</v>
      </c>
      <c r="P43" s="254">
        <f>IFERROR(__xludf.DUMMYFUNCTION("""COMPUTED_VALUE"""),2064.0)</f>
        <v>2064</v>
      </c>
      <c r="Q43" s="254">
        <f>IFERROR(__xludf.DUMMYFUNCTION("""COMPUTED_VALUE"""),4.0)</f>
        <v>4</v>
      </c>
      <c r="R43" s="254">
        <f>IFERROR(__xludf.DUMMYFUNCTION("""COMPUTED_VALUE"""),1707.0)</f>
        <v>1707</v>
      </c>
      <c r="S43" s="254">
        <f>IFERROR(__xludf.DUMMYFUNCTION("""COMPUTED_VALUE"""),1.0)</f>
        <v>1</v>
      </c>
      <c r="T43" s="254">
        <f>IFERROR(__xludf.DUMMYFUNCTION("""COMPUTED_VALUE"""),307.0)</f>
        <v>307</v>
      </c>
      <c r="U43" s="254">
        <f>IFERROR(__xludf.DUMMYFUNCTION("""COMPUTED_VALUE"""),50.0)</f>
        <v>50</v>
      </c>
      <c r="V43" s="254">
        <f>IFERROR(__xludf.DUMMYFUNCTION("""COMPUTED_VALUE"""),51.0)</f>
        <v>51</v>
      </c>
      <c r="W43" s="254">
        <f>IFERROR(__xludf.DUMMYFUNCTION("""COMPUTED_VALUE"""),10.0)</f>
        <v>10</v>
      </c>
      <c r="X43" s="254">
        <f>IFERROR(__xludf.DUMMYFUNCTION("""COMPUTED_VALUE"""),9.0)</f>
        <v>9</v>
      </c>
      <c r="Y43" s="254">
        <f>IFERROR(__xludf.DUMMYFUNCTION("""COMPUTED_VALUE"""),2.0)</f>
        <v>2</v>
      </c>
      <c r="Z43" s="254">
        <f>IFERROR(__xludf.DUMMYFUNCTION("""COMPUTED_VALUE"""),985.0)</f>
        <v>985</v>
      </c>
    </row>
    <row r="44">
      <c r="A44" s="253">
        <f>IFERROR(__xludf.DUMMYFUNCTION("""COMPUTED_VALUE"""),44017.0)</f>
        <v>44017</v>
      </c>
      <c r="B44" s="254">
        <f>IFERROR(__xludf.DUMMYFUNCTION("""COMPUTED_VALUE"""),49.0)</f>
        <v>49</v>
      </c>
      <c r="C44" s="254">
        <f>IFERROR(__xludf.DUMMYFUNCTION("""COMPUTED_VALUE"""),52.0)</f>
        <v>52</v>
      </c>
      <c r="D44" s="254">
        <f>IFERROR(__xludf.DUMMYFUNCTION("""COMPUTED_VALUE"""),24971.0)</f>
        <v>24971</v>
      </c>
      <c r="E44" s="254">
        <f>IFERROR(__xludf.DUMMYFUNCTION("""COMPUTED_VALUE"""),2932.0)</f>
        <v>2932</v>
      </c>
      <c r="F44" s="185">
        <f>IFERROR(__xludf.DUMMYFUNCTION("""COMPUTED_VALUE"""),247366.0)</f>
        <v>247366</v>
      </c>
      <c r="G44" s="185">
        <f>IFERROR(__xludf.DUMMYFUNCTION("""COMPUTED_VALUE"""),2981.0)</f>
        <v>2981</v>
      </c>
      <c r="H44" s="185">
        <f>IFERROR(__xludf.DUMMYFUNCTION("""COMPUTED_VALUE"""),272337.0)</f>
        <v>272337</v>
      </c>
      <c r="I44" s="254">
        <f>IFERROR(__xludf.DUMMYFUNCTION("""COMPUTED_VALUE"""),26.0)</f>
        <v>26</v>
      </c>
      <c r="J44" s="254">
        <f>IFERROR(__xludf.DUMMYFUNCTION("""COMPUTED_VALUE"""),28.0)</f>
        <v>28</v>
      </c>
      <c r="K44" s="254">
        <f>IFERROR(__xludf.DUMMYFUNCTION("""COMPUTED_VALUE"""),17055.0)</f>
        <v>17055</v>
      </c>
      <c r="L44" s="254">
        <f>IFERROR(__xludf.DUMMYFUNCTION("""COMPUTED_VALUE"""),1380.0)</f>
        <v>1380</v>
      </c>
      <c r="M44" s="254">
        <f>IFERROR(__xludf.DUMMYFUNCTION("""COMPUTED_VALUE"""),138014.0)</f>
        <v>138014</v>
      </c>
      <c r="N44" s="254">
        <f>IFERROR(__xludf.DUMMYFUNCTION("""COMPUTED_VALUE"""),155069.0)</f>
        <v>155069</v>
      </c>
      <c r="O44" s="254">
        <f>IFERROR(__xludf.DUMMYFUNCTION("""COMPUTED_VALUE"""),1.0)</f>
        <v>1</v>
      </c>
      <c r="P44" s="254">
        <f>IFERROR(__xludf.DUMMYFUNCTION("""COMPUTED_VALUE"""),2065.0)</f>
        <v>2065</v>
      </c>
      <c r="Q44" s="254">
        <f>IFERROR(__xludf.DUMMYFUNCTION("""COMPUTED_VALUE"""),2.0)</f>
        <v>2</v>
      </c>
      <c r="R44" s="254">
        <f>IFERROR(__xludf.DUMMYFUNCTION("""COMPUTED_VALUE"""),1709.0)</f>
        <v>1709</v>
      </c>
      <c r="S44" s="254">
        <f>IFERROR(__xludf.DUMMYFUNCTION("""COMPUTED_VALUE"""),1.0)</f>
        <v>1</v>
      </c>
      <c r="T44" s="254">
        <f>IFERROR(__xludf.DUMMYFUNCTION("""COMPUTED_VALUE"""),308.0)</f>
        <v>308</v>
      </c>
      <c r="U44" s="254">
        <f>IFERROR(__xludf.DUMMYFUNCTION("""COMPUTED_VALUE"""),48.0)</f>
        <v>48</v>
      </c>
      <c r="V44" s="254">
        <f>IFERROR(__xludf.DUMMYFUNCTION("""COMPUTED_VALUE"""),50.0)</f>
        <v>50</v>
      </c>
      <c r="W44" s="254">
        <f>IFERROR(__xludf.DUMMYFUNCTION("""COMPUTED_VALUE"""),8.0)</f>
        <v>8</v>
      </c>
      <c r="X44" s="254">
        <f>IFERROR(__xludf.DUMMYFUNCTION("""COMPUTED_VALUE"""),8.0)</f>
        <v>8</v>
      </c>
      <c r="Y44" s="254">
        <f>IFERROR(__xludf.DUMMYFUNCTION("""COMPUTED_VALUE"""),2.0)</f>
        <v>2</v>
      </c>
      <c r="Z44" s="254">
        <f>IFERROR(__xludf.DUMMYFUNCTION("""COMPUTED_VALUE"""),987.0)</f>
        <v>987</v>
      </c>
    </row>
    <row r="45">
      <c r="A45" s="253">
        <f>IFERROR(__xludf.DUMMYFUNCTION("""COMPUTED_VALUE"""),44018.0)</f>
        <v>44018</v>
      </c>
      <c r="B45" s="254">
        <f>IFERROR(__xludf.DUMMYFUNCTION("""COMPUTED_VALUE"""),101.0)</f>
        <v>101</v>
      </c>
      <c r="C45" s="254">
        <f>IFERROR(__xludf.DUMMYFUNCTION("""COMPUTED_VALUE"""),69.0)</f>
        <v>69</v>
      </c>
      <c r="D45" s="254">
        <f>IFERROR(__xludf.DUMMYFUNCTION("""COMPUTED_VALUE"""),25072.0)</f>
        <v>25072</v>
      </c>
      <c r="E45" s="254">
        <f>IFERROR(__xludf.DUMMYFUNCTION("""COMPUTED_VALUE"""),2814.0)</f>
        <v>2814</v>
      </c>
      <c r="F45" s="185">
        <f>IFERROR(__xludf.DUMMYFUNCTION("""COMPUTED_VALUE"""),250180.0)</f>
        <v>250180</v>
      </c>
      <c r="G45" s="185">
        <f>IFERROR(__xludf.DUMMYFUNCTION("""COMPUTED_VALUE"""),2915.0)</f>
        <v>2915</v>
      </c>
      <c r="H45" s="185">
        <f>IFERROR(__xludf.DUMMYFUNCTION("""COMPUTED_VALUE"""),275252.0)</f>
        <v>275252</v>
      </c>
      <c r="I45" s="254">
        <f>IFERROR(__xludf.DUMMYFUNCTION("""COMPUTED_VALUE"""),57.0)</f>
        <v>57</v>
      </c>
      <c r="J45" s="254">
        <f>IFERROR(__xludf.DUMMYFUNCTION("""COMPUTED_VALUE"""),39.0)</f>
        <v>39</v>
      </c>
      <c r="K45" s="254">
        <f>IFERROR(__xludf.DUMMYFUNCTION("""COMPUTED_VALUE"""),17112.0)</f>
        <v>17112</v>
      </c>
      <c r="L45" s="254">
        <f>IFERROR(__xludf.DUMMYFUNCTION("""COMPUTED_VALUE"""),1508.0)</f>
        <v>1508</v>
      </c>
      <c r="M45" s="254">
        <f>IFERROR(__xludf.DUMMYFUNCTION("""COMPUTED_VALUE"""),139522.0)</f>
        <v>139522</v>
      </c>
      <c r="N45" s="254">
        <f>IFERROR(__xludf.DUMMYFUNCTION("""COMPUTED_VALUE"""),156634.0)</f>
        <v>156634</v>
      </c>
      <c r="O45" s="254">
        <f>IFERROR(__xludf.DUMMYFUNCTION("""COMPUTED_VALUE"""),6.0)</f>
        <v>6</v>
      </c>
      <c r="P45" s="254">
        <f>IFERROR(__xludf.DUMMYFUNCTION("""COMPUTED_VALUE"""),2071.0)</f>
        <v>2071</v>
      </c>
      <c r="Q45" s="254">
        <f>IFERROR(__xludf.DUMMYFUNCTION("""COMPUTED_VALUE"""),6.0)</f>
        <v>6</v>
      </c>
      <c r="R45" s="254">
        <f>IFERROR(__xludf.DUMMYFUNCTION("""COMPUTED_VALUE"""),1715.0)</f>
        <v>1715</v>
      </c>
      <c r="S45" s="254">
        <f>IFERROR(__xludf.DUMMYFUNCTION("""COMPUTED_VALUE"""),0.0)</f>
        <v>0</v>
      </c>
      <c r="T45" s="254">
        <f>IFERROR(__xludf.DUMMYFUNCTION("""COMPUTED_VALUE"""),308.0)</f>
        <v>308</v>
      </c>
      <c r="U45" s="254">
        <f>IFERROR(__xludf.DUMMYFUNCTION("""COMPUTED_VALUE"""),48.0)</f>
        <v>48</v>
      </c>
      <c r="V45" s="254">
        <f>IFERROR(__xludf.DUMMYFUNCTION("""COMPUTED_VALUE"""),49.0)</f>
        <v>49</v>
      </c>
      <c r="W45" s="254">
        <f>IFERROR(__xludf.DUMMYFUNCTION("""COMPUTED_VALUE"""),9.0)</f>
        <v>9</v>
      </c>
      <c r="X45" s="254">
        <f>IFERROR(__xludf.DUMMYFUNCTION("""COMPUTED_VALUE"""),9.0)</f>
        <v>9</v>
      </c>
      <c r="Y45" s="254">
        <f>IFERROR(__xludf.DUMMYFUNCTION("""COMPUTED_VALUE"""),4.0)</f>
        <v>4</v>
      </c>
      <c r="Z45" s="254">
        <f>IFERROR(__xludf.DUMMYFUNCTION("""COMPUTED_VALUE"""),991.0)</f>
        <v>991</v>
      </c>
    </row>
    <row r="46">
      <c r="A46" s="253">
        <f>IFERROR(__xludf.DUMMYFUNCTION("""COMPUTED_VALUE"""),44019.0)</f>
        <v>44019</v>
      </c>
      <c r="B46" s="254">
        <f>IFERROR(__xludf.DUMMYFUNCTION("""COMPUTED_VALUE"""),81.0)</f>
        <v>81</v>
      </c>
      <c r="C46" s="254">
        <f>IFERROR(__xludf.DUMMYFUNCTION("""COMPUTED_VALUE"""),77.0)</f>
        <v>77</v>
      </c>
      <c r="D46" s="254">
        <f>IFERROR(__xludf.DUMMYFUNCTION("""COMPUTED_VALUE"""),25153.0)</f>
        <v>25153</v>
      </c>
      <c r="E46" s="254">
        <f>IFERROR(__xludf.DUMMYFUNCTION("""COMPUTED_VALUE"""),3457.0)</f>
        <v>3457</v>
      </c>
      <c r="F46" s="185">
        <f>IFERROR(__xludf.DUMMYFUNCTION("""COMPUTED_VALUE"""),253637.0)</f>
        <v>253637</v>
      </c>
      <c r="G46" s="185">
        <f>IFERROR(__xludf.DUMMYFUNCTION("""COMPUTED_VALUE"""),3538.0)</f>
        <v>3538</v>
      </c>
      <c r="H46" s="185">
        <f>IFERROR(__xludf.DUMMYFUNCTION("""COMPUTED_VALUE"""),278790.0)</f>
        <v>278790</v>
      </c>
      <c r="I46" s="254">
        <f>IFERROR(__xludf.DUMMYFUNCTION("""COMPUTED_VALUE"""),47.0)</f>
        <v>47</v>
      </c>
      <c r="J46" s="254">
        <f>IFERROR(__xludf.DUMMYFUNCTION("""COMPUTED_VALUE"""),43.0)</f>
        <v>43</v>
      </c>
      <c r="K46" s="254">
        <f>IFERROR(__xludf.DUMMYFUNCTION("""COMPUTED_VALUE"""),17159.0)</f>
        <v>17159</v>
      </c>
      <c r="L46" s="254">
        <f>IFERROR(__xludf.DUMMYFUNCTION("""COMPUTED_VALUE"""),1498.0)</f>
        <v>1498</v>
      </c>
      <c r="M46" s="254">
        <f>IFERROR(__xludf.DUMMYFUNCTION("""COMPUTED_VALUE"""),141020.0)</f>
        <v>141020</v>
      </c>
      <c r="N46" s="254">
        <f>IFERROR(__xludf.DUMMYFUNCTION("""COMPUTED_VALUE"""),158179.0)</f>
        <v>158179</v>
      </c>
      <c r="O46" s="254">
        <f>IFERROR(__xludf.DUMMYFUNCTION("""COMPUTED_VALUE"""),5.0)</f>
        <v>5</v>
      </c>
      <c r="P46" s="254">
        <f>IFERROR(__xludf.DUMMYFUNCTION("""COMPUTED_VALUE"""),2076.0)</f>
        <v>2076</v>
      </c>
      <c r="Q46" s="254">
        <f>IFERROR(__xludf.DUMMYFUNCTION("""COMPUTED_VALUE"""),7.0)</f>
        <v>7</v>
      </c>
      <c r="R46" s="254">
        <f>IFERROR(__xludf.DUMMYFUNCTION("""COMPUTED_VALUE"""),1722.0)</f>
        <v>1722</v>
      </c>
      <c r="S46" s="254">
        <f>IFERROR(__xludf.DUMMYFUNCTION("""COMPUTED_VALUE"""),0.0)</f>
        <v>0</v>
      </c>
      <c r="T46" s="254">
        <f>IFERROR(__xludf.DUMMYFUNCTION("""COMPUTED_VALUE"""),308.0)</f>
        <v>308</v>
      </c>
      <c r="U46" s="254">
        <f>IFERROR(__xludf.DUMMYFUNCTION("""COMPUTED_VALUE"""),46.0)</f>
        <v>46</v>
      </c>
      <c r="V46" s="254">
        <f>IFERROR(__xludf.DUMMYFUNCTION("""COMPUTED_VALUE"""),47.0)</f>
        <v>47</v>
      </c>
      <c r="W46" s="254">
        <f>IFERROR(__xludf.DUMMYFUNCTION("""COMPUTED_VALUE"""),8.0)</f>
        <v>8</v>
      </c>
      <c r="X46" s="254">
        <f>IFERROR(__xludf.DUMMYFUNCTION("""COMPUTED_VALUE"""),8.0)</f>
        <v>8</v>
      </c>
      <c r="Y46" s="254">
        <f>IFERROR(__xludf.DUMMYFUNCTION("""COMPUTED_VALUE"""),2.0)</f>
        <v>2</v>
      </c>
      <c r="Z46" s="254">
        <f>IFERROR(__xludf.DUMMYFUNCTION("""COMPUTED_VALUE"""),993.0)</f>
        <v>993</v>
      </c>
    </row>
    <row r="47">
      <c r="A47" s="253">
        <f>IFERROR(__xludf.DUMMYFUNCTION("""COMPUTED_VALUE"""),44020.0)</f>
        <v>44020</v>
      </c>
      <c r="B47" s="254">
        <f>IFERROR(__xludf.DUMMYFUNCTION("""COMPUTED_VALUE"""),105.0)</f>
        <v>105</v>
      </c>
      <c r="C47" s="254">
        <f>IFERROR(__xludf.DUMMYFUNCTION("""COMPUTED_VALUE"""),96.0)</f>
        <v>96</v>
      </c>
      <c r="D47" s="254">
        <f>IFERROR(__xludf.DUMMYFUNCTION("""COMPUTED_VALUE"""),25258.0)</f>
        <v>25258</v>
      </c>
      <c r="E47" s="254">
        <f>IFERROR(__xludf.DUMMYFUNCTION("""COMPUTED_VALUE"""),3409.0)</f>
        <v>3409</v>
      </c>
      <c r="F47" s="185">
        <f>IFERROR(__xludf.DUMMYFUNCTION("""COMPUTED_VALUE"""),257046.0)</f>
        <v>257046</v>
      </c>
      <c r="G47" s="185">
        <f>IFERROR(__xludf.DUMMYFUNCTION("""COMPUTED_VALUE"""),3514.0)</f>
        <v>3514</v>
      </c>
      <c r="H47" s="185">
        <f>IFERROR(__xludf.DUMMYFUNCTION("""COMPUTED_VALUE"""),282304.0)</f>
        <v>282304</v>
      </c>
      <c r="I47" s="254">
        <f>IFERROR(__xludf.DUMMYFUNCTION("""COMPUTED_VALUE"""),64.0)</f>
        <v>64</v>
      </c>
      <c r="J47" s="254">
        <f>IFERROR(__xludf.DUMMYFUNCTION("""COMPUTED_VALUE"""),56.0)</f>
        <v>56</v>
      </c>
      <c r="K47" s="254">
        <f>IFERROR(__xludf.DUMMYFUNCTION("""COMPUTED_VALUE"""),17223.0)</f>
        <v>17223</v>
      </c>
      <c r="L47" s="254">
        <f>IFERROR(__xludf.DUMMYFUNCTION("""COMPUTED_VALUE"""),1362.0)</f>
        <v>1362</v>
      </c>
      <c r="M47" s="254">
        <f>IFERROR(__xludf.DUMMYFUNCTION("""COMPUTED_VALUE"""),142382.0)</f>
        <v>142382</v>
      </c>
      <c r="N47" s="254">
        <f>IFERROR(__xludf.DUMMYFUNCTION("""COMPUTED_VALUE"""),159605.0)</f>
        <v>159605</v>
      </c>
      <c r="O47" s="254">
        <f>IFERROR(__xludf.DUMMYFUNCTION("""COMPUTED_VALUE"""),4.0)</f>
        <v>4</v>
      </c>
      <c r="P47" s="254">
        <f>IFERROR(__xludf.DUMMYFUNCTION("""COMPUTED_VALUE"""),2080.0)</f>
        <v>2080</v>
      </c>
      <c r="Q47" s="254">
        <f>IFERROR(__xludf.DUMMYFUNCTION("""COMPUTED_VALUE"""),2.0)</f>
        <v>2</v>
      </c>
      <c r="R47" s="254">
        <f>IFERROR(__xludf.DUMMYFUNCTION("""COMPUTED_VALUE"""),1724.0)</f>
        <v>1724</v>
      </c>
      <c r="S47" s="254">
        <f>IFERROR(__xludf.DUMMYFUNCTION("""COMPUTED_VALUE"""),0.0)</f>
        <v>0</v>
      </c>
      <c r="T47" s="254">
        <f>IFERROR(__xludf.DUMMYFUNCTION("""COMPUTED_VALUE"""),308.0)</f>
        <v>308</v>
      </c>
      <c r="U47" s="254">
        <f>IFERROR(__xludf.DUMMYFUNCTION("""COMPUTED_VALUE"""),48.0)</f>
        <v>48</v>
      </c>
      <c r="V47" s="254">
        <f>IFERROR(__xludf.DUMMYFUNCTION("""COMPUTED_VALUE"""),47.0)</f>
        <v>47</v>
      </c>
      <c r="W47" s="254">
        <f>IFERROR(__xludf.DUMMYFUNCTION("""COMPUTED_VALUE"""),9.0)</f>
        <v>9</v>
      </c>
      <c r="X47" s="254">
        <f>IFERROR(__xludf.DUMMYFUNCTION("""COMPUTED_VALUE"""),8.0)</f>
        <v>8</v>
      </c>
      <c r="Y47" s="254">
        <f>IFERROR(__xludf.DUMMYFUNCTION("""COMPUTED_VALUE"""),0.0)</f>
        <v>0</v>
      </c>
      <c r="Z47" s="254">
        <f>IFERROR(__xludf.DUMMYFUNCTION("""COMPUTED_VALUE"""),993.0)</f>
        <v>993</v>
      </c>
    </row>
    <row r="48">
      <c r="A48" s="253">
        <f>IFERROR(__xludf.DUMMYFUNCTION("""COMPUTED_VALUE"""),44021.0)</f>
        <v>44021</v>
      </c>
      <c r="B48" s="254">
        <f>IFERROR(__xludf.DUMMYFUNCTION("""COMPUTED_VALUE"""),94.0)</f>
        <v>94</v>
      </c>
      <c r="C48" s="254">
        <f>IFERROR(__xludf.DUMMYFUNCTION("""COMPUTED_VALUE"""),93.0)</f>
        <v>93</v>
      </c>
      <c r="D48" s="254">
        <f>IFERROR(__xludf.DUMMYFUNCTION("""COMPUTED_VALUE"""),25352.0)</f>
        <v>25352</v>
      </c>
      <c r="E48" s="254">
        <f>IFERROR(__xludf.DUMMYFUNCTION("""COMPUTED_VALUE"""),3714.0)</f>
        <v>3714</v>
      </c>
      <c r="F48" s="185">
        <f>IFERROR(__xludf.DUMMYFUNCTION("""COMPUTED_VALUE"""),260760.0)</f>
        <v>260760</v>
      </c>
      <c r="G48" s="185">
        <f>IFERROR(__xludf.DUMMYFUNCTION("""COMPUTED_VALUE"""),3808.0)</f>
        <v>3808</v>
      </c>
      <c r="H48" s="185">
        <f>IFERROR(__xludf.DUMMYFUNCTION("""COMPUTED_VALUE"""),286112.0)</f>
        <v>286112</v>
      </c>
      <c r="I48" s="254">
        <f>IFERROR(__xludf.DUMMYFUNCTION("""COMPUTED_VALUE"""),50.0)</f>
        <v>50</v>
      </c>
      <c r="J48" s="254">
        <f>IFERROR(__xludf.DUMMYFUNCTION("""COMPUTED_VALUE"""),54.0)</f>
        <v>54</v>
      </c>
      <c r="K48" s="254">
        <f>IFERROR(__xludf.DUMMYFUNCTION("""COMPUTED_VALUE"""),17273.0)</f>
        <v>17273</v>
      </c>
      <c r="L48" s="254">
        <f>IFERROR(__xludf.DUMMYFUNCTION("""COMPUTED_VALUE"""),1564.0)</f>
        <v>1564</v>
      </c>
      <c r="M48" s="254">
        <f>IFERROR(__xludf.DUMMYFUNCTION("""COMPUTED_VALUE"""),143946.0)</f>
        <v>143946</v>
      </c>
      <c r="N48" s="254">
        <f>IFERROR(__xludf.DUMMYFUNCTION("""COMPUTED_VALUE"""),161219.0)</f>
        <v>161219</v>
      </c>
      <c r="O48" s="254">
        <f>IFERROR(__xludf.DUMMYFUNCTION("""COMPUTED_VALUE"""),9.0)</f>
        <v>9</v>
      </c>
      <c r="P48" s="254">
        <f>IFERROR(__xludf.DUMMYFUNCTION("""COMPUTED_VALUE"""),2089.0)</f>
        <v>2089</v>
      </c>
      <c r="Q48" s="254">
        <f>IFERROR(__xludf.DUMMYFUNCTION("""COMPUTED_VALUE"""),3.0)</f>
        <v>3</v>
      </c>
      <c r="R48" s="254">
        <f>IFERROR(__xludf.DUMMYFUNCTION("""COMPUTED_VALUE"""),1727.0)</f>
        <v>1727</v>
      </c>
      <c r="S48" s="254">
        <f>IFERROR(__xludf.DUMMYFUNCTION("""COMPUTED_VALUE"""),0.0)</f>
        <v>0</v>
      </c>
      <c r="T48" s="254">
        <f>IFERROR(__xludf.DUMMYFUNCTION("""COMPUTED_VALUE"""),308.0)</f>
        <v>308</v>
      </c>
      <c r="U48" s="254">
        <f>IFERROR(__xludf.DUMMYFUNCTION("""COMPUTED_VALUE"""),54.0)</f>
        <v>54</v>
      </c>
      <c r="V48" s="254">
        <f>IFERROR(__xludf.DUMMYFUNCTION("""COMPUTED_VALUE"""),49.0)</f>
        <v>49</v>
      </c>
      <c r="W48" s="254">
        <f>IFERROR(__xludf.DUMMYFUNCTION("""COMPUTED_VALUE"""),9.0)</f>
        <v>9</v>
      </c>
      <c r="X48" s="254">
        <f>IFERROR(__xludf.DUMMYFUNCTION("""COMPUTED_VALUE"""),8.0)</f>
        <v>8</v>
      </c>
      <c r="Y48" s="254">
        <f>IFERROR(__xludf.DUMMYFUNCTION("""COMPUTED_VALUE"""),0.0)</f>
        <v>0</v>
      </c>
      <c r="Z48" s="254">
        <f>IFERROR(__xludf.DUMMYFUNCTION("""COMPUTED_VALUE"""),993.0)</f>
        <v>993</v>
      </c>
    </row>
    <row r="49">
      <c r="A49" s="253">
        <f>IFERROR(__xludf.DUMMYFUNCTION("""COMPUTED_VALUE"""),44022.0)</f>
        <v>44022</v>
      </c>
      <c r="B49" s="254">
        <f>IFERROR(__xludf.DUMMYFUNCTION("""COMPUTED_VALUE"""),132.0)</f>
        <v>132</v>
      </c>
      <c r="C49" s="254">
        <f>IFERROR(__xludf.DUMMYFUNCTION("""COMPUTED_VALUE"""),110.0)</f>
        <v>110</v>
      </c>
      <c r="D49" s="254">
        <f>IFERROR(__xludf.DUMMYFUNCTION("""COMPUTED_VALUE"""),25484.0)</f>
        <v>25484</v>
      </c>
      <c r="E49" s="254">
        <f>IFERROR(__xludf.DUMMYFUNCTION("""COMPUTED_VALUE"""),4437.0)</f>
        <v>4437</v>
      </c>
      <c r="F49" s="185">
        <f>IFERROR(__xludf.DUMMYFUNCTION("""COMPUTED_VALUE"""),265197.0)</f>
        <v>265197</v>
      </c>
      <c r="G49" s="185">
        <f>IFERROR(__xludf.DUMMYFUNCTION("""COMPUTED_VALUE"""),4569.0)</f>
        <v>4569</v>
      </c>
      <c r="H49" s="185">
        <f>IFERROR(__xludf.DUMMYFUNCTION("""COMPUTED_VALUE"""),290681.0)</f>
        <v>290681</v>
      </c>
      <c r="I49" s="254">
        <f>IFERROR(__xludf.DUMMYFUNCTION("""COMPUTED_VALUE"""),80.0)</f>
        <v>80</v>
      </c>
      <c r="J49" s="254">
        <f>IFERROR(__xludf.DUMMYFUNCTION("""COMPUTED_VALUE"""),65.0)</f>
        <v>65</v>
      </c>
      <c r="K49" s="254">
        <f>IFERROR(__xludf.DUMMYFUNCTION("""COMPUTED_VALUE"""),17353.0)</f>
        <v>17353</v>
      </c>
      <c r="L49" s="254">
        <f>IFERROR(__xludf.DUMMYFUNCTION("""COMPUTED_VALUE"""),2001.0)</f>
        <v>2001</v>
      </c>
      <c r="M49" s="254">
        <f>IFERROR(__xludf.DUMMYFUNCTION("""COMPUTED_VALUE"""),145947.0)</f>
        <v>145947</v>
      </c>
      <c r="N49" s="254">
        <f>IFERROR(__xludf.DUMMYFUNCTION("""COMPUTED_VALUE"""),163300.0)</f>
        <v>163300</v>
      </c>
      <c r="O49" s="254">
        <f>IFERROR(__xludf.DUMMYFUNCTION("""COMPUTED_VALUE"""),6.0)</f>
        <v>6</v>
      </c>
      <c r="P49" s="254">
        <f>IFERROR(__xludf.DUMMYFUNCTION("""COMPUTED_VALUE"""),2095.0)</f>
        <v>2095</v>
      </c>
      <c r="Q49" s="254">
        <f>IFERROR(__xludf.DUMMYFUNCTION("""COMPUTED_VALUE"""),3.0)</f>
        <v>3</v>
      </c>
      <c r="R49" s="254">
        <f>IFERROR(__xludf.DUMMYFUNCTION("""COMPUTED_VALUE"""),1730.0)</f>
        <v>1730</v>
      </c>
      <c r="S49" s="254">
        <f>IFERROR(__xludf.DUMMYFUNCTION("""COMPUTED_VALUE"""),2.0)</f>
        <v>2</v>
      </c>
      <c r="T49" s="254">
        <f>IFERROR(__xludf.DUMMYFUNCTION("""COMPUTED_VALUE"""),310.0)</f>
        <v>310</v>
      </c>
      <c r="U49" s="254">
        <f>IFERROR(__xludf.DUMMYFUNCTION("""COMPUTED_VALUE"""),55.0)</f>
        <v>55</v>
      </c>
      <c r="V49" s="254">
        <f>IFERROR(__xludf.DUMMYFUNCTION("""COMPUTED_VALUE"""),52.0)</f>
        <v>52</v>
      </c>
      <c r="W49" s="254">
        <f>IFERROR(__xludf.DUMMYFUNCTION("""COMPUTED_VALUE"""),7.0)</f>
        <v>7</v>
      </c>
      <c r="X49" s="254">
        <f>IFERROR(__xludf.DUMMYFUNCTION("""COMPUTED_VALUE"""),7.0)</f>
        <v>7</v>
      </c>
      <c r="Y49" s="254">
        <f>IFERROR(__xludf.DUMMYFUNCTION("""COMPUTED_VALUE"""),3.0)</f>
        <v>3</v>
      </c>
      <c r="Z49" s="254">
        <f>IFERROR(__xludf.DUMMYFUNCTION("""COMPUTED_VALUE"""),996.0)</f>
        <v>996</v>
      </c>
    </row>
    <row r="50">
      <c r="A50" s="253">
        <f>IFERROR(__xludf.DUMMYFUNCTION("""COMPUTED_VALUE"""),44023.0)</f>
        <v>44023</v>
      </c>
      <c r="B50" s="254">
        <f>IFERROR(__xludf.DUMMYFUNCTION("""COMPUTED_VALUE"""),63.0)</f>
        <v>63</v>
      </c>
      <c r="C50" s="254">
        <f>IFERROR(__xludf.DUMMYFUNCTION("""COMPUTED_VALUE"""),96.0)</f>
        <v>96</v>
      </c>
      <c r="D50" s="254">
        <f>IFERROR(__xludf.DUMMYFUNCTION("""COMPUTED_VALUE"""),25547.0)</f>
        <v>25547</v>
      </c>
      <c r="E50" s="254">
        <f>IFERROR(__xludf.DUMMYFUNCTION("""COMPUTED_VALUE"""),2938.0)</f>
        <v>2938</v>
      </c>
      <c r="F50" s="185">
        <f>IFERROR(__xludf.DUMMYFUNCTION("""COMPUTED_VALUE"""),268135.0)</f>
        <v>268135</v>
      </c>
      <c r="G50" s="185">
        <f>IFERROR(__xludf.DUMMYFUNCTION("""COMPUTED_VALUE"""),3001.0)</f>
        <v>3001</v>
      </c>
      <c r="H50" s="185">
        <f>IFERROR(__xludf.DUMMYFUNCTION("""COMPUTED_VALUE"""),293682.0)</f>
        <v>293682</v>
      </c>
      <c r="I50" s="254">
        <f>IFERROR(__xludf.DUMMYFUNCTION("""COMPUTED_VALUE"""),36.0)</f>
        <v>36</v>
      </c>
      <c r="J50" s="254">
        <f>IFERROR(__xludf.DUMMYFUNCTION("""COMPUTED_VALUE"""),55.0)</f>
        <v>55</v>
      </c>
      <c r="K50" s="254">
        <f>IFERROR(__xludf.DUMMYFUNCTION("""COMPUTED_VALUE"""),17389.0)</f>
        <v>17389</v>
      </c>
      <c r="L50" s="254">
        <f>IFERROR(__xludf.DUMMYFUNCTION("""COMPUTED_VALUE"""),1272.0)</f>
        <v>1272</v>
      </c>
      <c r="M50" s="254">
        <f>IFERROR(__xludf.DUMMYFUNCTION("""COMPUTED_VALUE"""),147219.0)</f>
        <v>147219</v>
      </c>
      <c r="N50" s="254">
        <f>IFERROR(__xludf.DUMMYFUNCTION("""COMPUTED_VALUE"""),164608.0)</f>
        <v>164608</v>
      </c>
      <c r="O50" s="254">
        <f>IFERROR(__xludf.DUMMYFUNCTION("""COMPUTED_VALUE"""),6.0)</f>
        <v>6</v>
      </c>
      <c r="P50" s="254">
        <f>IFERROR(__xludf.DUMMYFUNCTION("""COMPUTED_VALUE"""),2101.0)</f>
        <v>2101</v>
      </c>
      <c r="Q50" s="254">
        <f>IFERROR(__xludf.DUMMYFUNCTION("""COMPUTED_VALUE"""),3.0)</f>
        <v>3</v>
      </c>
      <c r="R50" s="254">
        <f>IFERROR(__xludf.DUMMYFUNCTION("""COMPUTED_VALUE"""),1733.0)</f>
        <v>1733</v>
      </c>
      <c r="S50" s="254">
        <f>IFERROR(__xludf.DUMMYFUNCTION("""COMPUTED_VALUE"""),1.0)</f>
        <v>1</v>
      </c>
      <c r="T50" s="254">
        <f>IFERROR(__xludf.DUMMYFUNCTION("""COMPUTED_VALUE"""),311.0)</f>
        <v>311</v>
      </c>
      <c r="U50" s="254">
        <f>IFERROR(__xludf.DUMMYFUNCTION("""COMPUTED_VALUE"""),57.0)</f>
        <v>57</v>
      </c>
      <c r="V50" s="254">
        <f>IFERROR(__xludf.DUMMYFUNCTION("""COMPUTED_VALUE"""),55.0)</f>
        <v>55</v>
      </c>
      <c r="W50" s="254">
        <f>IFERROR(__xludf.DUMMYFUNCTION("""COMPUTED_VALUE"""),6.0)</f>
        <v>6</v>
      </c>
      <c r="X50" s="254">
        <f>IFERROR(__xludf.DUMMYFUNCTION("""COMPUTED_VALUE"""),6.0)</f>
        <v>6</v>
      </c>
      <c r="Y50" s="254">
        <f>IFERROR(__xludf.DUMMYFUNCTION("""COMPUTED_VALUE"""),3.0)</f>
        <v>3</v>
      </c>
      <c r="Z50" s="254">
        <f>IFERROR(__xludf.DUMMYFUNCTION("""COMPUTED_VALUE"""),999.0)</f>
        <v>999</v>
      </c>
    </row>
    <row r="51">
      <c r="A51" s="253">
        <f>IFERROR(__xludf.DUMMYFUNCTION("""COMPUTED_VALUE"""),44024.0)</f>
        <v>44024</v>
      </c>
      <c r="B51" s="254">
        <f>IFERROR(__xludf.DUMMYFUNCTION("""COMPUTED_VALUE"""),47.0)</f>
        <v>47</v>
      </c>
      <c r="C51" s="254">
        <f>IFERROR(__xludf.DUMMYFUNCTION("""COMPUTED_VALUE"""),81.0)</f>
        <v>81</v>
      </c>
      <c r="D51" s="254">
        <f>IFERROR(__xludf.DUMMYFUNCTION("""COMPUTED_VALUE"""),25594.0)</f>
        <v>25594</v>
      </c>
      <c r="E51" s="254">
        <f>IFERROR(__xludf.DUMMYFUNCTION("""COMPUTED_VALUE"""),1838.0)</f>
        <v>1838</v>
      </c>
      <c r="F51" s="185">
        <f>IFERROR(__xludf.DUMMYFUNCTION("""COMPUTED_VALUE"""),269973.0)</f>
        <v>269973</v>
      </c>
      <c r="G51" s="185">
        <f>IFERROR(__xludf.DUMMYFUNCTION("""COMPUTED_VALUE"""),1885.0)</f>
        <v>1885</v>
      </c>
      <c r="H51" s="185">
        <f>IFERROR(__xludf.DUMMYFUNCTION("""COMPUTED_VALUE"""),295567.0)</f>
        <v>295567</v>
      </c>
      <c r="I51" s="254">
        <f>IFERROR(__xludf.DUMMYFUNCTION("""COMPUTED_VALUE"""),34.0)</f>
        <v>34</v>
      </c>
      <c r="J51" s="254">
        <f>IFERROR(__xludf.DUMMYFUNCTION("""COMPUTED_VALUE"""),50.0)</f>
        <v>50</v>
      </c>
      <c r="K51" s="254">
        <f>IFERROR(__xludf.DUMMYFUNCTION("""COMPUTED_VALUE"""),17423.0)</f>
        <v>17423</v>
      </c>
      <c r="L51" s="254">
        <f>IFERROR(__xludf.DUMMYFUNCTION("""COMPUTED_VALUE"""),917.0)</f>
        <v>917</v>
      </c>
      <c r="M51" s="254">
        <f>IFERROR(__xludf.DUMMYFUNCTION("""COMPUTED_VALUE"""),148136.0)</f>
        <v>148136</v>
      </c>
      <c r="N51" s="254">
        <f>IFERROR(__xludf.DUMMYFUNCTION("""COMPUTED_VALUE"""),165559.0)</f>
        <v>165559</v>
      </c>
      <c r="O51" s="254">
        <f>IFERROR(__xludf.DUMMYFUNCTION("""COMPUTED_VALUE"""),1.0)</f>
        <v>1</v>
      </c>
      <c r="P51" s="254">
        <f>IFERROR(__xludf.DUMMYFUNCTION("""COMPUTED_VALUE"""),2102.0)</f>
        <v>2102</v>
      </c>
      <c r="Q51" s="254">
        <f>IFERROR(__xludf.DUMMYFUNCTION("""COMPUTED_VALUE"""),3.0)</f>
        <v>3</v>
      </c>
      <c r="R51" s="254">
        <f>IFERROR(__xludf.DUMMYFUNCTION("""COMPUTED_VALUE"""),1736.0)</f>
        <v>1736</v>
      </c>
      <c r="S51" s="254">
        <f>IFERROR(__xludf.DUMMYFUNCTION("""COMPUTED_VALUE"""),1.0)</f>
        <v>1</v>
      </c>
      <c r="T51" s="254">
        <f>IFERROR(__xludf.DUMMYFUNCTION("""COMPUTED_VALUE"""),312.0)</f>
        <v>312</v>
      </c>
      <c r="U51" s="254">
        <f>IFERROR(__xludf.DUMMYFUNCTION("""COMPUTED_VALUE"""),54.0)</f>
        <v>54</v>
      </c>
      <c r="V51" s="254">
        <f>IFERROR(__xludf.DUMMYFUNCTION("""COMPUTED_VALUE"""),55.0)</f>
        <v>55</v>
      </c>
      <c r="W51" s="254">
        <f>IFERROR(__xludf.DUMMYFUNCTION("""COMPUTED_VALUE"""),6.0)</f>
        <v>6</v>
      </c>
      <c r="X51" s="254">
        <f>IFERROR(__xludf.DUMMYFUNCTION("""COMPUTED_VALUE"""),5.0)</f>
        <v>5</v>
      </c>
      <c r="Y51" s="254">
        <f>IFERROR(__xludf.DUMMYFUNCTION("""COMPUTED_VALUE"""),3.0)</f>
        <v>3</v>
      </c>
      <c r="Z51" s="254">
        <f>IFERROR(__xludf.DUMMYFUNCTION("""COMPUTED_VALUE"""),1002.0)</f>
        <v>1002</v>
      </c>
    </row>
    <row r="52">
      <c r="A52" s="253">
        <f>IFERROR(__xludf.DUMMYFUNCTION("""COMPUTED_VALUE"""),44025.0)</f>
        <v>44025</v>
      </c>
      <c r="B52" s="254">
        <f>IFERROR(__xludf.DUMMYFUNCTION("""COMPUTED_VALUE"""),84.0)</f>
        <v>84</v>
      </c>
      <c r="C52" s="254">
        <f>IFERROR(__xludf.DUMMYFUNCTION("""COMPUTED_VALUE"""),65.0)</f>
        <v>65</v>
      </c>
      <c r="D52" s="254">
        <f>IFERROR(__xludf.DUMMYFUNCTION("""COMPUTED_VALUE"""),25678.0)</f>
        <v>25678</v>
      </c>
      <c r="E52" s="254">
        <f>IFERROR(__xludf.DUMMYFUNCTION("""COMPUTED_VALUE"""),3209.0)</f>
        <v>3209</v>
      </c>
      <c r="F52" s="185">
        <f>IFERROR(__xludf.DUMMYFUNCTION("""COMPUTED_VALUE"""),273182.0)</f>
        <v>273182</v>
      </c>
      <c r="G52" s="185">
        <f>IFERROR(__xludf.DUMMYFUNCTION("""COMPUTED_VALUE"""),3293.0)</f>
        <v>3293</v>
      </c>
      <c r="H52" s="185">
        <f>IFERROR(__xludf.DUMMYFUNCTION("""COMPUTED_VALUE"""),298860.0)</f>
        <v>298860</v>
      </c>
      <c r="I52" s="254">
        <f>IFERROR(__xludf.DUMMYFUNCTION("""COMPUTED_VALUE"""),61.0)</f>
        <v>61</v>
      </c>
      <c r="J52" s="254">
        <f>IFERROR(__xludf.DUMMYFUNCTION("""COMPUTED_VALUE"""),44.0)</f>
        <v>44</v>
      </c>
      <c r="K52" s="254">
        <f>IFERROR(__xludf.DUMMYFUNCTION("""COMPUTED_VALUE"""),17484.0)</f>
        <v>17484</v>
      </c>
      <c r="L52" s="254">
        <f>IFERROR(__xludf.DUMMYFUNCTION("""COMPUTED_VALUE"""),1458.0)</f>
        <v>1458</v>
      </c>
      <c r="M52" s="254">
        <f>IFERROR(__xludf.DUMMYFUNCTION("""COMPUTED_VALUE"""),149594.0)</f>
        <v>149594</v>
      </c>
      <c r="N52" s="254">
        <f>IFERROR(__xludf.DUMMYFUNCTION("""COMPUTED_VALUE"""),167078.0)</f>
        <v>167078</v>
      </c>
      <c r="O52" s="254">
        <f>IFERROR(__xludf.DUMMYFUNCTION("""COMPUTED_VALUE"""),8.0)</f>
        <v>8</v>
      </c>
      <c r="P52" s="254">
        <f>IFERROR(__xludf.DUMMYFUNCTION("""COMPUTED_VALUE"""),2110.0)</f>
        <v>2110</v>
      </c>
      <c r="Q52" s="254">
        <f>IFERROR(__xludf.DUMMYFUNCTION("""COMPUTED_VALUE"""),10.0)</f>
        <v>10</v>
      </c>
      <c r="R52" s="254">
        <f>IFERROR(__xludf.DUMMYFUNCTION("""COMPUTED_VALUE"""),1746.0)</f>
        <v>1746</v>
      </c>
      <c r="S52" s="254">
        <f>IFERROR(__xludf.DUMMYFUNCTION("""COMPUTED_VALUE"""),0.0)</f>
        <v>0</v>
      </c>
      <c r="T52" s="254">
        <f>IFERROR(__xludf.DUMMYFUNCTION("""COMPUTED_VALUE"""),312.0)</f>
        <v>312</v>
      </c>
      <c r="U52" s="254">
        <f>IFERROR(__xludf.DUMMYFUNCTION("""COMPUTED_VALUE"""),52.0)</f>
        <v>52</v>
      </c>
      <c r="V52" s="254">
        <f>IFERROR(__xludf.DUMMYFUNCTION("""COMPUTED_VALUE"""),54.0)</f>
        <v>54</v>
      </c>
      <c r="W52" s="254">
        <f>IFERROR(__xludf.DUMMYFUNCTION("""COMPUTED_VALUE"""),6.0)</f>
        <v>6</v>
      </c>
      <c r="X52" s="254">
        <f>IFERROR(__xludf.DUMMYFUNCTION("""COMPUTED_VALUE"""),5.0)</f>
        <v>5</v>
      </c>
      <c r="Y52" s="254">
        <f>IFERROR(__xludf.DUMMYFUNCTION("""COMPUTED_VALUE"""),1.0)</f>
        <v>1</v>
      </c>
      <c r="Z52" s="254">
        <f>IFERROR(__xludf.DUMMYFUNCTION("""COMPUTED_VALUE"""),1003.0)</f>
        <v>1003</v>
      </c>
    </row>
    <row r="53">
      <c r="A53" s="253">
        <f>IFERROR(__xludf.DUMMYFUNCTION("""COMPUTED_VALUE"""),44026.0)</f>
        <v>44026</v>
      </c>
      <c r="B53" s="254">
        <f>IFERROR(__xludf.DUMMYFUNCTION("""COMPUTED_VALUE"""),74.0)</f>
        <v>74</v>
      </c>
      <c r="C53" s="254">
        <f>IFERROR(__xludf.DUMMYFUNCTION("""COMPUTED_VALUE"""),68.0)</f>
        <v>68</v>
      </c>
      <c r="D53" s="254">
        <f>IFERROR(__xludf.DUMMYFUNCTION("""COMPUTED_VALUE"""),25752.0)</f>
        <v>25752</v>
      </c>
      <c r="E53" s="254">
        <f>IFERROR(__xludf.DUMMYFUNCTION("""COMPUTED_VALUE"""),3298.0)</f>
        <v>3298</v>
      </c>
      <c r="F53" s="185">
        <f>IFERROR(__xludf.DUMMYFUNCTION("""COMPUTED_VALUE"""),276480.0)</f>
        <v>276480</v>
      </c>
      <c r="G53" s="185">
        <f>IFERROR(__xludf.DUMMYFUNCTION("""COMPUTED_VALUE"""),3372.0)</f>
        <v>3372</v>
      </c>
      <c r="H53" s="185">
        <f>IFERROR(__xludf.DUMMYFUNCTION("""COMPUTED_VALUE"""),302232.0)</f>
        <v>302232</v>
      </c>
      <c r="I53" s="254">
        <f>IFERROR(__xludf.DUMMYFUNCTION("""COMPUTED_VALUE"""),44.0)</f>
        <v>44</v>
      </c>
      <c r="J53" s="254">
        <f>IFERROR(__xludf.DUMMYFUNCTION("""COMPUTED_VALUE"""),46.0)</f>
        <v>46</v>
      </c>
      <c r="K53" s="254">
        <f>IFERROR(__xludf.DUMMYFUNCTION("""COMPUTED_VALUE"""),17528.0)</f>
        <v>17528</v>
      </c>
      <c r="L53" s="254">
        <f>IFERROR(__xludf.DUMMYFUNCTION("""COMPUTED_VALUE"""),1338.0)</f>
        <v>1338</v>
      </c>
      <c r="M53" s="254">
        <f>IFERROR(__xludf.DUMMYFUNCTION("""COMPUTED_VALUE"""),150932.0)</f>
        <v>150932</v>
      </c>
      <c r="N53" s="254">
        <f>IFERROR(__xludf.DUMMYFUNCTION("""COMPUTED_VALUE"""),168460.0)</f>
        <v>168460</v>
      </c>
      <c r="O53" s="254">
        <f>IFERROR(__xludf.DUMMYFUNCTION("""COMPUTED_VALUE"""),7.0)</f>
        <v>7</v>
      </c>
      <c r="P53" s="254">
        <f>IFERROR(__xludf.DUMMYFUNCTION("""COMPUTED_VALUE"""),2117.0)</f>
        <v>2117</v>
      </c>
      <c r="Q53" s="254">
        <f>IFERROR(__xludf.DUMMYFUNCTION("""COMPUTED_VALUE"""),4.0)</f>
        <v>4</v>
      </c>
      <c r="R53" s="254">
        <f>IFERROR(__xludf.DUMMYFUNCTION("""COMPUTED_VALUE"""),1750.0)</f>
        <v>1750</v>
      </c>
      <c r="S53" s="254">
        <f>IFERROR(__xludf.DUMMYFUNCTION("""COMPUTED_VALUE"""),0.0)</f>
        <v>0</v>
      </c>
      <c r="T53" s="254">
        <f>IFERROR(__xludf.DUMMYFUNCTION("""COMPUTED_VALUE"""),312.0)</f>
        <v>312</v>
      </c>
      <c r="U53" s="254">
        <f>IFERROR(__xludf.DUMMYFUNCTION("""COMPUTED_VALUE"""),55.0)</f>
        <v>55</v>
      </c>
      <c r="V53" s="254">
        <f>IFERROR(__xludf.DUMMYFUNCTION("""COMPUTED_VALUE"""),54.0)</f>
        <v>54</v>
      </c>
      <c r="W53" s="254">
        <f>IFERROR(__xludf.DUMMYFUNCTION("""COMPUTED_VALUE"""),5.0)</f>
        <v>5</v>
      </c>
      <c r="X53" s="254">
        <f>IFERROR(__xludf.DUMMYFUNCTION("""COMPUTED_VALUE"""),5.0)</f>
        <v>5</v>
      </c>
      <c r="Y53" s="254">
        <f>IFERROR(__xludf.DUMMYFUNCTION("""COMPUTED_VALUE"""),1.0)</f>
        <v>1</v>
      </c>
      <c r="Z53" s="254">
        <f>IFERROR(__xludf.DUMMYFUNCTION("""COMPUTED_VALUE"""),1004.0)</f>
        <v>1004</v>
      </c>
    </row>
    <row r="54">
      <c r="A54" s="253">
        <f>IFERROR(__xludf.DUMMYFUNCTION("""COMPUTED_VALUE"""),44027.0)</f>
        <v>44027</v>
      </c>
      <c r="B54" s="254">
        <f>IFERROR(__xludf.DUMMYFUNCTION("""COMPUTED_VALUE"""),130.0)</f>
        <v>130</v>
      </c>
      <c r="C54" s="254">
        <f>IFERROR(__xludf.DUMMYFUNCTION("""COMPUTED_VALUE"""),96.0)</f>
        <v>96</v>
      </c>
      <c r="D54" s="254">
        <f>IFERROR(__xludf.DUMMYFUNCTION("""COMPUTED_VALUE"""),25882.0)</f>
        <v>25882</v>
      </c>
      <c r="E54" s="254">
        <f>IFERROR(__xludf.DUMMYFUNCTION("""COMPUTED_VALUE"""),4181.0)</f>
        <v>4181</v>
      </c>
      <c r="F54" s="185">
        <f>IFERROR(__xludf.DUMMYFUNCTION("""COMPUTED_VALUE"""),280661.0)</f>
        <v>280661</v>
      </c>
      <c r="G54" s="185">
        <f>IFERROR(__xludf.DUMMYFUNCTION("""COMPUTED_VALUE"""),4311.0)</f>
        <v>4311</v>
      </c>
      <c r="H54" s="185">
        <f>IFERROR(__xludf.DUMMYFUNCTION("""COMPUTED_VALUE"""),306543.0)</f>
        <v>306543</v>
      </c>
      <c r="I54" s="254">
        <f>IFERROR(__xludf.DUMMYFUNCTION("""COMPUTED_VALUE"""),100.0)</f>
        <v>100</v>
      </c>
      <c r="J54" s="254">
        <f>IFERROR(__xludf.DUMMYFUNCTION("""COMPUTED_VALUE"""),68.0)</f>
        <v>68</v>
      </c>
      <c r="K54" s="254">
        <f>IFERROR(__xludf.DUMMYFUNCTION("""COMPUTED_VALUE"""),17628.0)</f>
        <v>17628</v>
      </c>
      <c r="L54" s="254">
        <f>IFERROR(__xludf.DUMMYFUNCTION("""COMPUTED_VALUE"""),1694.0)</f>
        <v>1694</v>
      </c>
      <c r="M54" s="254">
        <f>IFERROR(__xludf.DUMMYFUNCTION("""COMPUTED_VALUE"""),152626.0)</f>
        <v>152626</v>
      </c>
      <c r="N54" s="254">
        <f>IFERROR(__xludf.DUMMYFUNCTION("""COMPUTED_VALUE"""),170254.0)</f>
        <v>170254</v>
      </c>
      <c r="O54" s="254">
        <f>IFERROR(__xludf.DUMMYFUNCTION("""COMPUTED_VALUE"""),5.0)</f>
        <v>5</v>
      </c>
      <c r="P54" s="254">
        <f>IFERROR(__xludf.DUMMYFUNCTION("""COMPUTED_VALUE"""),2122.0)</f>
        <v>2122</v>
      </c>
      <c r="Q54" s="254">
        <f>IFERROR(__xludf.DUMMYFUNCTION("""COMPUTED_VALUE"""),7.0)</f>
        <v>7</v>
      </c>
      <c r="R54" s="254">
        <f>IFERROR(__xludf.DUMMYFUNCTION("""COMPUTED_VALUE"""),1757.0)</f>
        <v>1757</v>
      </c>
      <c r="S54" s="254">
        <f>IFERROR(__xludf.DUMMYFUNCTION("""COMPUTED_VALUE"""),0.0)</f>
        <v>0</v>
      </c>
      <c r="T54" s="254">
        <f>IFERROR(__xludf.DUMMYFUNCTION("""COMPUTED_VALUE"""),312.0)</f>
        <v>312</v>
      </c>
      <c r="U54" s="254">
        <f>IFERROR(__xludf.DUMMYFUNCTION("""COMPUTED_VALUE"""),53.0)</f>
        <v>53</v>
      </c>
      <c r="V54" s="254">
        <f>IFERROR(__xludf.DUMMYFUNCTION("""COMPUTED_VALUE"""),53.0)</f>
        <v>53</v>
      </c>
      <c r="W54" s="254">
        <f>IFERROR(__xludf.DUMMYFUNCTION("""COMPUTED_VALUE"""),5.0)</f>
        <v>5</v>
      </c>
      <c r="X54" s="254">
        <f>IFERROR(__xludf.DUMMYFUNCTION("""COMPUTED_VALUE"""),4.0)</f>
        <v>4</v>
      </c>
      <c r="Y54" s="254">
        <f>IFERROR(__xludf.DUMMYFUNCTION("""COMPUTED_VALUE"""),0.0)</f>
        <v>0</v>
      </c>
      <c r="Z54" s="254">
        <f>IFERROR(__xludf.DUMMYFUNCTION("""COMPUTED_VALUE"""),1004.0)</f>
        <v>1004</v>
      </c>
    </row>
    <row r="55">
      <c r="A55" s="253">
        <f>IFERROR(__xludf.DUMMYFUNCTION("""COMPUTED_VALUE"""),44028.0)</f>
        <v>44028</v>
      </c>
      <c r="B55" s="254">
        <f>IFERROR(__xludf.DUMMYFUNCTION("""COMPUTED_VALUE"""),103.0)</f>
        <v>103</v>
      </c>
      <c r="C55" s="254">
        <f>IFERROR(__xludf.DUMMYFUNCTION("""COMPUTED_VALUE"""),102.0)</f>
        <v>102</v>
      </c>
      <c r="D55" s="254">
        <f>IFERROR(__xludf.DUMMYFUNCTION("""COMPUTED_VALUE"""),25985.0)</f>
        <v>25985</v>
      </c>
      <c r="E55" s="254">
        <f>IFERROR(__xludf.DUMMYFUNCTION("""COMPUTED_VALUE"""),3740.0)</f>
        <v>3740</v>
      </c>
      <c r="F55" s="185">
        <f>IFERROR(__xludf.DUMMYFUNCTION("""COMPUTED_VALUE"""),284401.0)</f>
        <v>284401</v>
      </c>
      <c r="G55" s="185">
        <f>IFERROR(__xludf.DUMMYFUNCTION("""COMPUTED_VALUE"""),3843.0)</f>
        <v>3843</v>
      </c>
      <c r="H55" s="185">
        <f>IFERROR(__xludf.DUMMYFUNCTION("""COMPUTED_VALUE"""),310386.0)</f>
        <v>310386</v>
      </c>
      <c r="I55" s="254">
        <f>IFERROR(__xludf.DUMMYFUNCTION("""COMPUTED_VALUE"""),76.0)</f>
        <v>76</v>
      </c>
      <c r="J55" s="254">
        <f>IFERROR(__xludf.DUMMYFUNCTION("""COMPUTED_VALUE"""),73.0)</f>
        <v>73</v>
      </c>
      <c r="K55" s="254">
        <f>IFERROR(__xludf.DUMMYFUNCTION("""COMPUTED_VALUE"""),17704.0)</f>
        <v>17704</v>
      </c>
      <c r="L55" s="254">
        <f>IFERROR(__xludf.DUMMYFUNCTION("""COMPUTED_VALUE"""),1560.0)</f>
        <v>1560</v>
      </c>
      <c r="M55" s="254">
        <f>IFERROR(__xludf.DUMMYFUNCTION("""COMPUTED_VALUE"""),154186.0)</f>
        <v>154186</v>
      </c>
      <c r="N55" s="254">
        <f>IFERROR(__xludf.DUMMYFUNCTION("""COMPUTED_VALUE"""),171890.0)</f>
        <v>171890</v>
      </c>
      <c r="O55" s="254">
        <f>IFERROR(__xludf.DUMMYFUNCTION("""COMPUTED_VALUE"""),6.0)</f>
        <v>6</v>
      </c>
      <c r="P55" s="254">
        <f>IFERROR(__xludf.DUMMYFUNCTION("""COMPUTED_VALUE"""),2128.0)</f>
        <v>2128</v>
      </c>
      <c r="Q55" s="254">
        <f>IFERROR(__xludf.DUMMYFUNCTION("""COMPUTED_VALUE"""),9.0)</f>
        <v>9</v>
      </c>
      <c r="R55" s="254">
        <f>IFERROR(__xludf.DUMMYFUNCTION("""COMPUTED_VALUE"""),1766.0)</f>
        <v>1766</v>
      </c>
      <c r="S55" s="254">
        <f>IFERROR(__xludf.DUMMYFUNCTION("""COMPUTED_VALUE"""),0.0)</f>
        <v>0</v>
      </c>
      <c r="T55" s="254">
        <f>IFERROR(__xludf.DUMMYFUNCTION("""COMPUTED_VALUE"""),312.0)</f>
        <v>312</v>
      </c>
      <c r="U55" s="254">
        <f>IFERROR(__xludf.DUMMYFUNCTION("""COMPUTED_VALUE"""),50.0)</f>
        <v>50</v>
      </c>
      <c r="V55" s="254">
        <f>IFERROR(__xludf.DUMMYFUNCTION("""COMPUTED_VALUE"""),53.0)</f>
        <v>53</v>
      </c>
      <c r="W55" s="254">
        <f>IFERROR(__xludf.DUMMYFUNCTION("""COMPUTED_VALUE"""),6.0)</f>
        <v>6</v>
      </c>
      <c r="X55" s="254">
        <f>IFERROR(__xludf.DUMMYFUNCTION("""COMPUTED_VALUE"""),5.0)</f>
        <v>5</v>
      </c>
      <c r="Y55" s="254">
        <f>IFERROR(__xludf.DUMMYFUNCTION("""COMPUTED_VALUE"""),1.0)</f>
        <v>1</v>
      </c>
      <c r="Z55" s="254">
        <f>IFERROR(__xludf.DUMMYFUNCTION("""COMPUTED_VALUE"""),1005.0)</f>
        <v>1005</v>
      </c>
    </row>
    <row r="56">
      <c r="A56" s="253">
        <f>IFERROR(__xludf.DUMMYFUNCTION("""COMPUTED_VALUE"""),44029.0)</f>
        <v>44029</v>
      </c>
      <c r="B56" s="254">
        <f>IFERROR(__xludf.DUMMYFUNCTION("""COMPUTED_VALUE"""),156.0)</f>
        <v>156</v>
      </c>
      <c r="C56" s="254">
        <f>IFERROR(__xludf.DUMMYFUNCTION("""COMPUTED_VALUE"""),130.0)</f>
        <v>130</v>
      </c>
      <c r="D56" s="254">
        <f>IFERROR(__xludf.DUMMYFUNCTION("""COMPUTED_VALUE"""),26141.0)</f>
        <v>26141</v>
      </c>
      <c r="E56" s="254">
        <f>IFERROR(__xludf.DUMMYFUNCTION("""COMPUTED_VALUE"""),4239.0)</f>
        <v>4239</v>
      </c>
      <c r="F56" s="185">
        <f>IFERROR(__xludf.DUMMYFUNCTION("""COMPUTED_VALUE"""),288640.0)</f>
        <v>288640</v>
      </c>
      <c r="G56" s="185">
        <f>IFERROR(__xludf.DUMMYFUNCTION("""COMPUTED_VALUE"""),4395.0)</f>
        <v>4395</v>
      </c>
      <c r="H56" s="185">
        <f>IFERROR(__xludf.DUMMYFUNCTION("""COMPUTED_VALUE"""),314781.0)</f>
        <v>314781</v>
      </c>
      <c r="I56" s="254">
        <f>IFERROR(__xludf.DUMMYFUNCTION("""COMPUTED_VALUE"""),79.0)</f>
        <v>79</v>
      </c>
      <c r="J56" s="254">
        <f>IFERROR(__xludf.DUMMYFUNCTION("""COMPUTED_VALUE"""),85.0)</f>
        <v>85</v>
      </c>
      <c r="K56" s="254">
        <f>IFERROR(__xludf.DUMMYFUNCTION("""COMPUTED_VALUE"""),17783.0)</f>
        <v>17783</v>
      </c>
      <c r="L56" s="254">
        <f>IFERROR(__xludf.DUMMYFUNCTION("""COMPUTED_VALUE"""),1792.0)</f>
        <v>1792</v>
      </c>
      <c r="M56" s="254">
        <f>IFERROR(__xludf.DUMMYFUNCTION("""COMPUTED_VALUE"""),155978.0)</f>
        <v>155978</v>
      </c>
      <c r="N56" s="254">
        <f>IFERROR(__xludf.DUMMYFUNCTION("""COMPUTED_VALUE"""),173761.0)</f>
        <v>173761</v>
      </c>
      <c r="O56" s="254">
        <f>IFERROR(__xludf.DUMMYFUNCTION("""COMPUTED_VALUE"""),14.0)</f>
        <v>14</v>
      </c>
      <c r="P56" s="254">
        <f>IFERROR(__xludf.DUMMYFUNCTION("""COMPUTED_VALUE"""),2142.0)</f>
        <v>2142</v>
      </c>
      <c r="Q56" s="254">
        <f>IFERROR(__xludf.DUMMYFUNCTION("""COMPUTED_VALUE"""),3.0)</f>
        <v>3</v>
      </c>
      <c r="R56" s="254">
        <f>IFERROR(__xludf.DUMMYFUNCTION("""COMPUTED_VALUE"""),1769.0)</f>
        <v>1769</v>
      </c>
      <c r="S56" s="254">
        <f>IFERROR(__xludf.DUMMYFUNCTION("""COMPUTED_VALUE"""),1.0)</f>
        <v>1</v>
      </c>
      <c r="T56" s="254">
        <f>IFERROR(__xludf.DUMMYFUNCTION("""COMPUTED_VALUE"""),313.0)</f>
        <v>313</v>
      </c>
      <c r="U56" s="254">
        <f>IFERROR(__xludf.DUMMYFUNCTION("""COMPUTED_VALUE"""),60.0)</f>
        <v>60</v>
      </c>
      <c r="V56" s="254">
        <f>IFERROR(__xludf.DUMMYFUNCTION("""COMPUTED_VALUE"""),54.0)</f>
        <v>54</v>
      </c>
      <c r="W56" s="254">
        <f>IFERROR(__xludf.DUMMYFUNCTION("""COMPUTED_VALUE"""),5.0)</f>
        <v>5</v>
      </c>
      <c r="X56" s="254">
        <f>IFERROR(__xludf.DUMMYFUNCTION("""COMPUTED_VALUE"""),5.0)</f>
        <v>5</v>
      </c>
      <c r="Y56" s="254">
        <f>IFERROR(__xludf.DUMMYFUNCTION("""COMPUTED_VALUE"""),2.0)</f>
        <v>2</v>
      </c>
      <c r="Z56" s="254">
        <f>IFERROR(__xludf.DUMMYFUNCTION("""COMPUTED_VALUE"""),1007.0)</f>
        <v>1007</v>
      </c>
    </row>
    <row r="57">
      <c r="A57" s="253">
        <f>IFERROR(__xludf.DUMMYFUNCTION("""COMPUTED_VALUE"""),44030.0)</f>
        <v>44030</v>
      </c>
      <c r="B57" s="254">
        <f>IFERROR(__xludf.DUMMYFUNCTION("""COMPUTED_VALUE"""),85.0)</f>
        <v>85</v>
      </c>
      <c r="C57" s="254">
        <f>IFERROR(__xludf.DUMMYFUNCTION("""COMPUTED_VALUE"""),115.0)</f>
        <v>115</v>
      </c>
      <c r="D57" s="254">
        <f>IFERROR(__xludf.DUMMYFUNCTION("""COMPUTED_VALUE"""),26226.0)</f>
        <v>26226</v>
      </c>
      <c r="E57" s="254">
        <f>IFERROR(__xludf.DUMMYFUNCTION("""COMPUTED_VALUE"""),3272.0)</f>
        <v>3272</v>
      </c>
      <c r="F57" s="185">
        <f>IFERROR(__xludf.DUMMYFUNCTION("""COMPUTED_VALUE"""),291912.0)</f>
        <v>291912</v>
      </c>
      <c r="G57" s="185">
        <f>IFERROR(__xludf.DUMMYFUNCTION("""COMPUTED_VALUE"""),3357.0)</f>
        <v>3357</v>
      </c>
      <c r="H57" s="185">
        <f>IFERROR(__xludf.DUMMYFUNCTION("""COMPUTED_VALUE"""),318138.0)</f>
        <v>318138</v>
      </c>
      <c r="I57" s="254">
        <f>IFERROR(__xludf.DUMMYFUNCTION("""COMPUTED_VALUE"""),70.0)</f>
        <v>70</v>
      </c>
      <c r="J57" s="254">
        <f>IFERROR(__xludf.DUMMYFUNCTION("""COMPUTED_VALUE"""),75.0)</f>
        <v>75</v>
      </c>
      <c r="K57" s="254">
        <f>IFERROR(__xludf.DUMMYFUNCTION("""COMPUTED_VALUE"""),17853.0)</f>
        <v>17853</v>
      </c>
      <c r="L57" s="254">
        <f>IFERROR(__xludf.DUMMYFUNCTION("""COMPUTED_VALUE"""),1353.0)</f>
        <v>1353</v>
      </c>
      <c r="M57" s="254">
        <f>IFERROR(__xludf.DUMMYFUNCTION("""COMPUTED_VALUE"""),157331.0)</f>
        <v>157331</v>
      </c>
      <c r="N57" s="254">
        <f>IFERROR(__xludf.DUMMYFUNCTION("""COMPUTED_VALUE"""),175184.0)</f>
        <v>175184</v>
      </c>
      <c r="O57" s="254">
        <f>IFERROR(__xludf.DUMMYFUNCTION("""COMPUTED_VALUE"""),5.0)</f>
        <v>5</v>
      </c>
      <c r="P57" s="254">
        <f>IFERROR(__xludf.DUMMYFUNCTION("""COMPUTED_VALUE"""),2147.0)</f>
        <v>2147</v>
      </c>
      <c r="Q57" s="254">
        <f>IFERROR(__xludf.DUMMYFUNCTION("""COMPUTED_VALUE"""),9.0)</f>
        <v>9</v>
      </c>
      <c r="R57" s="254">
        <f>IFERROR(__xludf.DUMMYFUNCTION("""COMPUTED_VALUE"""),1778.0)</f>
        <v>1778</v>
      </c>
      <c r="S57" s="254">
        <f>IFERROR(__xludf.DUMMYFUNCTION("""COMPUTED_VALUE"""),1.0)</f>
        <v>1</v>
      </c>
      <c r="T57" s="254">
        <f>IFERROR(__xludf.DUMMYFUNCTION("""COMPUTED_VALUE"""),314.0)</f>
        <v>314</v>
      </c>
      <c r="U57" s="254">
        <f>IFERROR(__xludf.DUMMYFUNCTION("""COMPUTED_VALUE"""),55.0)</f>
        <v>55</v>
      </c>
      <c r="V57" s="254">
        <f>IFERROR(__xludf.DUMMYFUNCTION("""COMPUTED_VALUE"""),55.0)</f>
        <v>55</v>
      </c>
      <c r="W57" s="254">
        <f>IFERROR(__xludf.DUMMYFUNCTION("""COMPUTED_VALUE"""),5.0)</f>
        <v>5</v>
      </c>
      <c r="X57" s="254">
        <f>IFERROR(__xludf.DUMMYFUNCTION("""COMPUTED_VALUE"""),4.0)</f>
        <v>4</v>
      </c>
      <c r="Y57" s="254">
        <f>IFERROR(__xludf.DUMMYFUNCTION("""COMPUTED_VALUE"""),4.0)</f>
        <v>4</v>
      </c>
      <c r="Z57" s="254">
        <f>IFERROR(__xludf.DUMMYFUNCTION("""COMPUTED_VALUE"""),1011.0)</f>
        <v>1011</v>
      </c>
    </row>
    <row r="58">
      <c r="A58" s="253">
        <f>IFERROR(__xludf.DUMMYFUNCTION("""COMPUTED_VALUE"""),44031.0)</f>
        <v>44031</v>
      </c>
      <c r="B58" s="254">
        <f>IFERROR(__xludf.DUMMYFUNCTION("""COMPUTED_VALUE"""),82.0)</f>
        <v>82</v>
      </c>
      <c r="C58" s="254">
        <f>IFERROR(__xludf.DUMMYFUNCTION("""COMPUTED_VALUE"""),108.0)</f>
        <v>108</v>
      </c>
      <c r="D58" s="254">
        <f>IFERROR(__xludf.DUMMYFUNCTION("""COMPUTED_VALUE"""),26308.0)</f>
        <v>26308</v>
      </c>
      <c r="E58" s="254">
        <f>IFERROR(__xludf.DUMMYFUNCTION("""COMPUTED_VALUE"""),2696.0)</f>
        <v>2696</v>
      </c>
      <c r="F58" s="185">
        <f>IFERROR(__xludf.DUMMYFUNCTION("""COMPUTED_VALUE"""),294608.0)</f>
        <v>294608</v>
      </c>
      <c r="G58" s="185">
        <f>IFERROR(__xludf.DUMMYFUNCTION("""COMPUTED_VALUE"""),2778.0)</f>
        <v>2778</v>
      </c>
      <c r="H58" s="185">
        <f>IFERROR(__xludf.DUMMYFUNCTION("""COMPUTED_VALUE"""),320916.0)</f>
        <v>320916</v>
      </c>
      <c r="I58" s="254">
        <f>IFERROR(__xludf.DUMMYFUNCTION("""COMPUTED_VALUE"""),57.0)</f>
        <v>57</v>
      </c>
      <c r="J58" s="254">
        <f>IFERROR(__xludf.DUMMYFUNCTION("""COMPUTED_VALUE"""),69.0)</f>
        <v>69</v>
      </c>
      <c r="K58" s="254">
        <f>IFERROR(__xludf.DUMMYFUNCTION("""COMPUTED_VALUE"""),17910.0)</f>
        <v>17910</v>
      </c>
      <c r="L58" s="254">
        <f>IFERROR(__xludf.DUMMYFUNCTION("""COMPUTED_VALUE"""),1106.0)</f>
        <v>1106</v>
      </c>
      <c r="M58" s="254">
        <f>IFERROR(__xludf.DUMMYFUNCTION("""COMPUTED_VALUE"""),158437.0)</f>
        <v>158437</v>
      </c>
      <c r="N58" s="254">
        <f>IFERROR(__xludf.DUMMYFUNCTION("""COMPUTED_VALUE"""),176347.0)</f>
        <v>176347</v>
      </c>
      <c r="O58" s="254">
        <f>IFERROR(__xludf.DUMMYFUNCTION("""COMPUTED_VALUE"""),7.0)</f>
        <v>7</v>
      </c>
      <c r="P58" s="254">
        <f>IFERROR(__xludf.DUMMYFUNCTION("""COMPUTED_VALUE"""),2154.0)</f>
        <v>2154</v>
      </c>
      <c r="Q58" s="254">
        <f>IFERROR(__xludf.DUMMYFUNCTION("""COMPUTED_VALUE"""),3.0)</f>
        <v>3</v>
      </c>
      <c r="R58" s="254">
        <f>IFERROR(__xludf.DUMMYFUNCTION("""COMPUTED_VALUE"""),1781.0)</f>
        <v>1781</v>
      </c>
      <c r="S58" s="254">
        <f>IFERROR(__xludf.DUMMYFUNCTION("""COMPUTED_VALUE"""),0.0)</f>
        <v>0</v>
      </c>
      <c r="T58" s="254">
        <f>IFERROR(__xludf.DUMMYFUNCTION("""COMPUTED_VALUE"""),314.0)</f>
        <v>314</v>
      </c>
      <c r="U58" s="254">
        <f>IFERROR(__xludf.DUMMYFUNCTION("""COMPUTED_VALUE"""),59.0)</f>
        <v>59</v>
      </c>
      <c r="V58" s="254">
        <f>IFERROR(__xludf.DUMMYFUNCTION("""COMPUTED_VALUE"""),58.0)</f>
        <v>58</v>
      </c>
      <c r="W58" s="254">
        <f>IFERROR(__xludf.DUMMYFUNCTION("""COMPUTED_VALUE"""),6.0)</f>
        <v>6</v>
      </c>
      <c r="X58" s="254">
        <f>IFERROR(__xludf.DUMMYFUNCTION("""COMPUTED_VALUE"""),4.0)</f>
        <v>4</v>
      </c>
      <c r="Y58" s="254">
        <f>IFERROR(__xludf.DUMMYFUNCTION("""COMPUTED_VALUE"""),2.0)</f>
        <v>2</v>
      </c>
      <c r="Z58" s="254">
        <f>IFERROR(__xludf.DUMMYFUNCTION("""COMPUTED_VALUE"""),1013.0)</f>
        <v>1013</v>
      </c>
    </row>
    <row r="59">
      <c r="A59" s="253">
        <f>IFERROR(__xludf.DUMMYFUNCTION("""COMPUTED_VALUE"""),44032.0)</f>
        <v>44032</v>
      </c>
      <c r="B59" s="254">
        <f>IFERROR(__xludf.DUMMYFUNCTION("""COMPUTED_VALUE"""),71.0)</f>
        <v>71</v>
      </c>
      <c r="C59" s="254">
        <f>IFERROR(__xludf.DUMMYFUNCTION("""COMPUTED_VALUE"""),79.0)</f>
        <v>79</v>
      </c>
      <c r="D59" s="254">
        <f>IFERROR(__xludf.DUMMYFUNCTION("""COMPUTED_VALUE"""),26379.0)</f>
        <v>26379</v>
      </c>
      <c r="E59" s="254">
        <f>IFERROR(__xludf.DUMMYFUNCTION("""COMPUTED_VALUE"""),2666.0)</f>
        <v>2666</v>
      </c>
      <c r="F59" s="185">
        <f>IFERROR(__xludf.DUMMYFUNCTION("""COMPUTED_VALUE"""),297274.0)</f>
        <v>297274</v>
      </c>
      <c r="G59" s="185">
        <f>IFERROR(__xludf.DUMMYFUNCTION("""COMPUTED_VALUE"""),2737.0)</f>
        <v>2737</v>
      </c>
      <c r="H59" s="185">
        <f>IFERROR(__xludf.DUMMYFUNCTION("""COMPUTED_VALUE"""),323653.0)</f>
        <v>323653</v>
      </c>
      <c r="I59" s="254">
        <f>IFERROR(__xludf.DUMMYFUNCTION("""COMPUTED_VALUE"""),68.0)</f>
        <v>68</v>
      </c>
      <c r="J59" s="254">
        <f>IFERROR(__xludf.DUMMYFUNCTION("""COMPUTED_VALUE"""),65.0)</f>
        <v>65</v>
      </c>
      <c r="K59" s="254">
        <f>IFERROR(__xludf.DUMMYFUNCTION("""COMPUTED_VALUE"""),17978.0)</f>
        <v>17978</v>
      </c>
      <c r="L59" s="254">
        <f>IFERROR(__xludf.DUMMYFUNCTION("""COMPUTED_VALUE"""),1411.0)</f>
        <v>1411</v>
      </c>
      <c r="M59" s="254">
        <f>IFERROR(__xludf.DUMMYFUNCTION("""COMPUTED_VALUE"""),159848.0)</f>
        <v>159848</v>
      </c>
      <c r="N59" s="254">
        <f>IFERROR(__xludf.DUMMYFUNCTION("""COMPUTED_VALUE"""),177826.0)</f>
        <v>177826</v>
      </c>
      <c r="O59" s="254">
        <f>IFERROR(__xludf.DUMMYFUNCTION("""COMPUTED_VALUE"""),9.0)</f>
        <v>9</v>
      </c>
      <c r="P59" s="254">
        <f>IFERROR(__xludf.DUMMYFUNCTION("""COMPUTED_VALUE"""),2163.0)</f>
        <v>2163</v>
      </c>
      <c r="Q59" s="254">
        <f>IFERROR(__xludf.DUMMYFUNCTION("""COMPUTED_VALUE"""),7.0)</f>
        <v>7</v>
      </c>
      <c r="R59" s="254">
        <f>IFERROR(__xludf.DUMMYFUNCTION("""COMPUTED_VALUE"""),1788.0)</f>
        <v>1788</v>
      </c>
      <c r="S59" s="254">
        <f>IFERROR(__xludf.DUMMYFUNCTION("""COMPUTED_VALUE"""),0.0)</f>
        <v>0</v>
      </c>
      <c r="T59" s="254">
        <f>IFERROR(__xludf.DUMMYFUNCTION("""COMPUTED_VALUE"""),314.0)</f>
        <v>314</v>
      </c>
      <c r="U59" s="254">
        <f>IFERROR(__xludf.DUMMYFUNCTION("""COMPUTED_VALUE"""),61.0)</f>
        <v>61</v>
      </c>
      <c r="V59" s="254">
        <f>IFERROR(__xludf.DUMMYFUNCTION("""COMPUTED_VALUE"""),58.0)</f>
        <v>58</v>
      </c>
      <c r="W59" s="254">
        <f>IFERROR(__xludf.DUMMYFUNCTION("""COMPUTED_VALUE"""),7.0)</f>
        <v>7</v>
      </c>
      <c r="X59" s="254">
        <f>IFERROR(__xludf.DUMMYFUNCTION("""COMPUTED_VALUE"""),5.0)</f>
        <v>5</v>
      </c>
      <c r="Y59" s="254">
        <f>IFERROR(__xludf.DUMMYFUNCTION("""COMPUTED_VALUE"""),2.0)</f>
        <v>2</v>
      </c>
      <c r="Z59" s="254">
        <f>IFERROR(__xludf.DUMMYFUNCTION("""COMPUTED_VALUE"""),1015.0)</f>
        <v>1015</v>
      </c>
    </row>
    <row r="60">
      <c r="A60" s="253">
        <f>IFERROR(__xludf.DUMMYFUNCTION("""COMPUTED_VALUE"""),44033.0)</f>
        <v>44033</v>
      </c>
      <c r="B60" s="254">
        <f>IFERROR(__xludf.DUMMYFUNCTION("""COMPUTED_VALUE"""),130.0)</f>
        <v>130</v>
      </c>
      <c r="C60" s="254">
        <f>IFERROR(__xludf.DUMMYFUNCTION("""COMPUTED_VALUE"""),94.0)</f>
        <v>94</v>
      </c>
      <c r="D60" s="254">
        <f>IFERROR(__xludf.DUMMYFUNCTION("""COMPUTED_VALUE"""),26509.0)</f>
        <v>26509</v>
      </c>
      <c r="E60" s="254">
        <f>IFERROR(__xludf.DUMMYFUNCTION("""COMPUTED_VALUE"""),4304.0)</f>
        <v>4304</v>
      </c>
      <c r="F60" s="185">
        <f>IFERROR(__xludf.DUMMYFUNCTION("""COMPUTED_VALUE"""),301578.0)</f>
        <v>301578</v>
      </c>
      <c r="G60" s="185">
        <f>IFERROR(__xludf.DUMMYFUNCTION("""COMPUTED_VALUE"""),4434.0)</f>
        <v>4434</v>
      </c>
      <c r="H60" s="185">
        <f>IFERROR(__xludf.DUMMYFUNCTION("""COMPUTED_VALUE"""),328087.0)</f>
        <v>328087</v>
      </c>
      <c r="I60" s="254">
        <f>IFERROR(__xludf.DUMMYFUNCTION("""COMPUTED_VALUE"""),108.0)</f>
        <v>108</v>
      </c>
      <c r="J60" s="254">
        <f>IFERROR(__xludf.DUMMYFUNCTION("""COMPUTED_VALUE"""),78.0)</f>
        <v>78</v>
      </c>
      <c r="K60" s="254">
        <f>IFERROR(__xludf.DUMMYFUNCTION("""COMPUTED_VALUE"""),18086.0)</f>
        <v>18086</v>
      </c>
      <c r="L60" s="254">
        <f>IFERROR(__xludf.DUMMYFUNCTION("""COMPUTED_VALUE"""),1865.0)</f>
        <v>1865</v>
      </c>
      <c r="M60" s="254">
        <f>IFERROR(__xludf.DUMMYFUNCTION("""COMPUTED_VALUE"""),161713.0)</f>
        <v>161713</v>
      </c>
      <c r="N60" s="254">
        <f>IFERROR(__xludf.DUMMYFUNCTION("""COMPUTED_VALUE"""),179799.0)</f>
        <v>179799</v>
      </c>
      <c r="O60" s="254">
        <f>IFERROR(__xludf.DUMMYFUNCTION("""COMPUTED_VALUE"""),9.0)</f>
        <v>9</v>
      </c>
      <c r="P60" s="254">
        <f>IFERROR(__xludf.DUMMYFUNCTION("""COMPUTED_VALUE"""),2172.0)</f>
        <v>2172</v>
      </c>
      <c r="Q60" s="254">
        <f>IFERROR(__xludf.DUMMYFUNCTION("""COMPUTED_VALUE"""),11.0)</f>
        <v>11</v>
      </c>
      <c r="R60" s="254">
        <f>IFERROR(__xludf.DUMMYFUNCTION("""COMPUTED_VALUE"""),1799.0)</f>
        <v>1799</v>
      </c>
      <c r="S60" s="254">
        <f>IFERROR(__xludf.DUMMYFUNCTION("""COMPUTED_VALUE"""),0.0)</f>
        <v>0</v>
      </c>
      <c r="T60" s="254">
        <f>IFERROR(__xludf.DUMMYFUNCTION("""COMPUTED_VALUE"""),314.0)</f>
        <v>314</v>
      </c>
      <c r="U60" s="254">
        <f>IFERROR(__xludf.DUMMYFUNCTION("""COMPUTED_VALUE"""),59.0)</f>
        <v>59</v>
      </c>
      <c r="V60" s="254">
        <f>IFERROR(__xludf.DUMMYFUNCTION("""COMPUTED_VALUE"""),60.0)</f>
        <v>60</v>
      </c>
      <c r="W60" s="254">
        <f>IFERROR(__xludf.DUMMYFUNCTION("""COMPUTED_VALUE"""),9.0)</f>
        <v>9</v>
      </c>
      <c r="X60" s="254">
        <f>IFERROR(__xludf.DUMMYFUNCTION("""COMPUTED_VALUE"""),6.0)</f>
        <v>6</v>
      </c>
      <c r="Y60" s="254">
        <f>IFERROR(__xludf.DUMMYFUNCTION("""COMPUTED_VALUE"""),1.0)</f>
        <v>1</v>
      </c>
      <c r="Z60" s="254">
        <f>IFERROR(__xludf.DUMMYFUNCTION("""COMPUTED_VALUE"""),1016.0)</f>
        <v>1016</v>
      </c>
    </row>
    <row r="61">
      <c r="A61" s="253">
        <f>IFERROR(__xludf.DUMMYFUNCTION("""COMPUTED_VALUE"""),44034.0)</f>
        <v>44034</v>
      </c>
      <c r="B61" s="254">
        <f>IFERROR(__xludf.DUMMYFUNCTION("""COMPUTED_VALUE"""),130.0)</f>
        <v>130</v>
      </c>
      <c r="C61" s="254">
        <f>IFERROR(__xludf.DUMMYFUNCTION("""COMPUTED_VALUE"""),110.0)</f>
        <v>110</v>
      </c>
      <c r="D61" s="254">
        <f>IFERROR(__xludf.DUMMYFUNCTION("""COMPUTED_VALUE"""),26639.0)</f>
        <v>26639</v>
      </c>
      <c r="E61" s="254">
        <f>IFERROR(__xludf.DUMMYFUNCTION("""COMPUTED_VALUE"""),3928.0)</f>
        <v>3928</v>
      </c>
      <c r="F61" s="185">
        <f>IFERROR(__xludf.DUMMYFUNCTION("""COMPUTED_VALUE"""),305506.0)</f>
        <v>305506</v>
      </c>
      <c r="G61" s="185">
        <f>IFERROR(__xludf.DUMMYFUNCTION("""COMPUTED_VALUE"""),4058.0)</f>
        <v>4058</v>
      </c>
      <c r="H61" s="185">
        <f>IFERROR(__xludf.DUMMYFUNCTION("""COMPUTED_VALUE"""),332145.0)</f>
        <v>332145</v>
      </c>
      <c r="I61" s="254">
        <f>IFERROR(__xludf.DUMMYFUNCTION("""COMPUTED_VALUE"""),86.0)</f>
        <v>86</v>
      </c>
      <c r="J61" s="254">
        <f>IFERROR(__xludf.DUMMYFUNCTION("""COMPUTED_VALUE"""),87.0)</f>
        <v>87</v>
      </c>
      <c r="K61" s="254">
        <f>IFERROR(__xludf.DUMMYFUNCTION("""COMPUTED_VALUE"""),18172.0)</f>
        <v>18172</v>
      </c>
      <c r="L61" s="254">
        <f>IFERROR(__xludf.DUMMYFUNCTION("""COMPUTED_VALUE"""),1616.0)</f>
        <v>1616</v>
      </c>
      <c r="M61" s="254">
        <f>IFERROR(__xludf.DUMMYFUNCTION("""COMPUTED_VALUE"""),163329.0)</f>
        <v>163329</v>
      </c>
      <c r="N61" s="254">
        <f>IFERROR(__xludf.DUMMYFUNCTION("""COMPUTED_VALUE"""),181501.0)</f>
        <v>181501</v>
      </c>
      <c r="O61" s="254">
        <f>IFERROR(__xludf.DUMMYFUNCTION("""COMPUTED_VALUE"""),7.0)</f>
        <v>7</v>
      </c>
      <c r="P61" s="254">
        <f>IFERROR(__xludf.DUMMYFUNCTION("""COMPUTED_VALUE"""),2179.0)</f>
        <v>2179</v>
      </c>
      <c r="Q61" s="254">
        <f>IFERROR(__xludf.DUMMYFUNCTION("""COMPUTED_VALUE"""),8.0)</f>
        <v>8</v>
      </c>
      <c r="R61" s="254">
        <f>IFERROR(__xludf.DUMMYFUNCTION("""COMPUTED_VALUE"""),1807.0)</f>
        <v>1807</v>
      </c>
      <c r="S61" s="254">
        <f>IFERROR(__xludf.DUMMYFUNCTION("""COMPUTED_VALUE"""),1.0)</f>
        <v>1</v>
      </c>
      <c r="T61" s="254">
        <f>IFERROR(__xludf.DUMMYFUNCTION("""COMPUTED_VALUE"""),315.0)</f>
        <v>315</v>
      </c>
      <c r="U61" s="254">
        <f>IFERROR(__xludf.DUMMYFUNCTION("""COMPUTED_VALUE"""),57.0)</f>
        <v>57</v>
      </c>
      <c r="V61" s="254">
        <f>IFERROR(__xludf.DUMMYFUNCTION("""COMPUTED_VALUE"""),59.0)</f>
        <v>59</v>
      </c>
      <c r="W61" s="254">
        <f>IFERROR(__xludf.DUMMYFUNCTION("""COMPUTED_VALUE"""),7.0)</f>
        <v>7</v>
      </c>
      <c r="X61" s="254">
        <f>IFERROR(__xludf.DUMMYFUNCTION("""COMPUTED_VALUE"""),6.0)</f>
        <v>6</v>
      </c>
      <c r="Y61" s="254">
        <f>IFERROR(__xludf.DUMMYFUNCTION("""COMPUTED_VALUE"""),1.0)</f>
        <v>1</v>
      </c>
      <c r="Z61" s="254">
        <f>IFERROR(__xludf.DUMMYFUNCTION("""COMPUTED_VALUE"""),1017.0)</f>
        <v>1017</v>
      </c>
    </row>
    <row r="62">
      <c r="A62" s="253">
        <f>IFERROR(__xludf.DUMMYFUNCTION("""COMPUTED_VALUE"""),44035.0)</f>
        <v>44035</v>
      </c>
      <c r="B62" s="254">
        <f>IFERROR(__xludf.DUMMYFUNCTION("""COMPUTED_VALUE"""),141.0)</f>
        <v>141</v>
      </c>
      <c r="C62" s="254">
        <f>IFERROR(__xludf.DUMMYFUNCTION("""COMPUTED_VALUE"""),134.0)</f>
        <v>134</v>
      </c>
      <c r="D62" s="254">
        <f>IFERROR(__xludf.DUMMYFUNCTION("""COMPUTED_VALUE"""),26780.0)</f>
        <v>26780</v>
      </c>
      <c r="E62" s="254">
        <f>IFERROR(__xludf.DUMMYFUNCTION("""COMPUTED_VALUE"""),4415.0)</f>
        <v>4415</v>
      </c>
      <c r="F62" s="185">
        <f>IFERROR(__xludf.DUMMYFUNCTION("""COMPUTED_VALUE"""),309921.0)</f>
        <v>309921</v>
      </c>
      <c r="G62" s="185">
        <f>IFERROR(__xludf.DUMMYFUNCTION("""COMPUTED_VALUE"""),4556.0)</f>
        <v>4556</v>
      </c>
      <c r="H62" s="185">
        <f>IFERROR(__xludf.DUMMYFUNCTION("""COMPUTED_VALUE"""),336701.0)</f>
        <v>336701</v>
      </c>
      <c r="I62" s="254">
        <f>IFERROR(__xludf.DUMMYFUNCTION("""COMPUTED_VALUE"""),115.0)</f>
        <v>115</v>
      </c>
      <c r="J62" s="254">
        <f>IFERROR(__xludf.DUMMYFUNCTION("""COMPUTED_VALUE"""),103.0)</f>
        <v>103</v>
      </c>
      <c r="K62" s="254">
        <f>IFERROR(__xludf.DUMMYFUNCTION("""COMPUTED_VALUE"""),18287.0)</f>
        <v>18287</v>
      </c>
      <c r="L62" s="254">
        <f>IFERROR(__xludf.DUMMYFUNCTION("""COMPUTED_VALUE"""),1909.0)</f>
        <v>1909</v>
      </c>
      <c r="M62" s="254">
        <f>IFERROR(__xludf.DUMMYFUNCTION("""COMPUTED_VALUE"""),165238.0)</f>
        <v>165238</v>
      </c>
      <c r="N62" s="254">
        <f>IFERROR(__xludf.DUMMYFUNCTION("""COMPUTED_VALUE"""),183525.0)</f>
        <v>183525</v>
      </c>
      <c r="O62" s="254">
        <f>IFERROR(__xludf.DUMMYFUNCTION("""COMPUTED_VALUE"""),8.0)</f>
        <v>8</v>
      </c>
      <c r="P62" s="254">
        <f>IFERROR(__xludf.DUMMYFUNCTION("""COMPUTED_VALUE"""),2187.0)</f>
        <v>2187</v>
      </c>
      <c r="Q62" s="254">
        <f>IFERROR(__xludf.DUMMYFUNCTION("""COMPUTED_VALUE"""),6.0)</f>
        <v>6</v>
      </c>
      <c r="R62" s="254">
        <f>IFERROR(__xludf.DUMMYFUNCTION("""COMPUTED_VALUE"""),1813.0)</f>
        <v>1813</v>
      </c>
      <c r="S62" s="254">
        <f>IFERROR(__xludf.DUMMYFUNCTION("""COMPUTED_VALUE"""),0.0)</f>
        <v>0</v>
      </c>
      <c r="T62" s="254">
        <f>IFERROR(__xludf.DUMMYFUNCTION("""COMPUTED_VALUE"""),315.0)</f>
        <v>315</v>
      </c>
      <c r="U62" s="254">
        <f>IFERROR(__xludf.DUMMYFUNCTION("""COMPUTED_VALUE"""),59.0)</f>
        <v>59</v>
      </c>
      <c r="V62" s="254">
        <f>IFERROR(__xludf.DUMMYFUNCTION("""COMPUTED_VALUE"""),58.0)</f>
        <v>58</v>
      </c>
      <c r="W62" s="254">
        <f>IFERROR(__xludf.DUMMYFUNCTION("""COMPUTED_VALUE"""),8.0)</f>
        <v>8</v>
      </c>
      <c r="X62" s="254">
        <f>IFERROR(__xludf.DUMMYFUNCTION("""COMPUTED_VALUE"""),7.0)</f>
        <v>7</v>
      </c>
      <c r="Y62" s="254">
        <f>IFERROR(__xludf.DUMMYFUNCTION("""COMPUTED_VALUE"""),0.0)</f>
        <v>0</v>
      </c>
      <c r="Z62" s="254">
        <f>IFERROR(__xludf.DUMMYFUNCTION("""COMPUTED_VALUE"""),1017.0)</f>
        <v>1017</v>
      </c>
    </row>
    <row r="63">
      <c r="A63" s="253">
        <f>IFERROR(__xludf.DUMMYFUNCTION("""COMPUTED_VALUE"""),44036.0)</f>
        <v>44036</v>
      </c>
      <c r="B63" s="254">
        <f>IFERROR(__xludf.DUMMYFUNCTION("""COMPUTED_VALUE"""),172.0)</f>
        <v>172</v>
      </c>
      <c r="C63" s="254">
        <f>IFERROR(__xludf.DUMMYFUNCTION("""COMPUTED_VALUE"""),148.0)</f>
        <v>148</v>
      </c>
      <c r="D63" s="254">
        <f>IFERROR(__xludf.DUMMYFUNCTION("""COMPUTED_VALUE"""),26952.0)</f>
        <v>26952</v>
      </c>
      <c r="E63" s="254">
        <f>IFERROR(__xludf.DUMMYFUNCTION("""COMPUTED_VALUE"""),5966.0)</f>
        <v>5966</v>
      </c>
      <c r="F63" s="185">
        <f>IFERROR(__xludf.DUMMYFUNCTION("""COMPUTED_VALUE"""),315887.0)</f>
        <v>315887</v>
      </c>
      <c r="G63" s="185">
        <f>IFERROR(__xludf.DUMMYFUNCTION("""COMPUTED_VALUE"""),6138.0)</f>
        <v>6138</v>
      </c>
      <c r="H63" s="185">
        <f>IFERROR(__xludf.DUMMYFUNCTION("""COMPUTED_VALUE"""),342839.0)</f>
        <v>342839</v>
      </c>
      <c r="I63" s="254">
        <f>IFERROR(__xludf.DUMMYFUNCTION("""COMPUTED_VALUE"""),119.0)</f>
        <v>119</v>
      </c>
      <c r="J63" s="254">
        <f>IFERROR(__xludf.DUMMYFUNCTION("""COMPUTED_VALUE"""),107.0)</f>
        <v>107</v>
      </c>
      <c r="K63" s="254">
        <f>IFERROR(__xludf.DUMMYFUNCTION("""COMPUTED_VALUE"""),18406.0)</f>
        <v>18406</v>
      </c>
      <c r="L63" s="254">
        <f>IFERROR(__xludf.DUMMYFUNCTION("""COMPUTED_VALUE"""),2244.0)</f>
        <v>2244</v>
      </c>
      <c r="M63" s="254">
        <f>IFERROR(__xludf.DUMMYFUNCTION("""COMPUTED_VALUE"""),167482.0)</f>
        <v>167482</v>
      </c>
      <c r="N63" s="254">
        <f>IFERROR(__xludf.DUMMYFUNCTION("""COMPUTED_VALUE"""),185888.0)</f>
        <v>185888</v>
      </c>
      <c r="O63" s="254">
        <f>IFERROR(__xludf.DUMMYFUNCTION("""COMPUTED_VALUE"""),15.0)</f>
        <v>15</v>
      </c>
      <c r="P63" s="254">
        <f>IFERROR(__xludf.DUMMYFUNCTION("""COMPUTED_VALUE"""),2202.0)</f>
        <v>2202</v>
      </c>
      <c r="Q63" s="254">
        <f>IFERROR(__xludf.DUMMYFUNCTION("""COMPUTED_VALUE"""),12.0)</f>
        <v>12</v>
      </c>
      <c r="R63" s="254">
        <f>IFERROR(__xludf.DUMMYFUNCTION("""COMPUTED_VALUE"""),1825.0)</f>
        <v>1825</v>
      </c>
      <c r="S63" s="254">
        <f>IFERROR(__xludf.DUMMYFUNCTION("""COMPUTED_VALUE"""),0.0)</f>
        <v>0</v>
      </c>
      <c r="T63" s="254">
        <f>IFERROR(__xludf.DUMMYFUNCTION("""COMPUTED_VALUE"""),315.0)</f>
        <v>315</v>
      </c>
      <c r="U63" s="254">
        <f>IFERROR(__xludf.DUMMYFUNCTION("""COMPUTED_VALUE"""),62.0)</f>
        <v>62</v>
      </c>
      <c r="V63" s="254">
        <f>IFERROR(__xludf.DUMMYFUNCTION("""COMPUTED_VALUE"""),59.0)</f>
        <v>59</v>
      </c>
      <c r="W63" s="254">
        <f>IFERROR(__xludf.DUMMYFUNCTION("""COMPUTED_VALUE"""),9.0)</f>
        <v>9</v>
      </c>
      <c r="X63" s="254">
        <f>IFERROR(__xludf.DUMMYFUNCTION("""COMPUTED_VALUE"""),7.0)</f>
        <v>7</v>
      </c>
      <c r="Y63" s="254">
        <f>IFERROR(__xludf.DUMMYFUNCTION("""COMPUTED_VALUE"""),0.0)</f>
        <v>0</v>
      </c>
      <c r="Z63" s="254">
        <f>IFERROR(__xludf.DUMMYFUNCTION("""COMPUTED_VALUE"""),1017.0)</f>
        <v>1017</v>
      </c>
    </row>
    <row r="64">
      <c r="A64" s="253">
        <f>IFERROR(__xludf.DUMMYFUNCTION("""COMPUTED_VALUE"""),44037.0)</f>
        <v>44037</v>
      </c>
      <c r="B64" s="254">
        <f>IFERROR(__xludf.DUMMYFUNCTION("""COMPUTED_VALUE"""),134.0)</f>
        <v>134</v>
      </c>
      <c r="C64" s="254">
        <f>IFERROR(__xludf.DUMMYFUNCTION("""COMPUTED_VALUE"""),149.0)</f>
        <v>149</v>
      </c>
      <c r="D64" s="254">
        <f>IFERROR(__xludf.DUMMYFUNCTION("""COMPUTED_VALUE"""),27086.0)</f>
        <v>27086</v>
      </c>
      <c r="E64" s="254">
        <f>IFERROR(__xludf.DUMMYFUNCTION("""COMPUTED_VALUE"""),4398.0)</f>
        <v>4398</v>
      </c>
      <c r="F64" s="185">
        <f>IFERROR(__xludf.DUMMYFUNCTION("""COMPUTED_VALUE"""),320285.0)</f>
        <v>320285</v>
      </c>
      <c r="G64" s="185">
        <f>IFERROR(__xludf.DUMMYFUNCTION("""COMPUTED_VALUE"""),4532.0)</f>
        <v>4532</v>
      </c>
      <c r="H64" s="185">
        <f>IFERROR(__xludf.DUMMYFUNCTION("""COMPUTED_VALUE"""),347371.0)</f>
        <v>347371</v>
      </c>
      <c r="I64" s="254">
        <f>IFERROR(__xludf.DUMMYFUNCTION("""COMPUTED_VALUE"""),108.0)</f>
        <v>108</v>
      </c>
      <c r="J64" s="254">
        <f>IFERROR(__xludf.DUMMYFUNCTION("""COMPUTED_VALUE"""),114.0)</f>
        <v>114</v>
      </c>
      <c r="K64" s="254">
        <f>IFERROR(__xludf.DUMMYFUNCTION("""COMPUTED_VALUE"""),18514.0)</f>
        <v>18514</v>
      </c>
      <c r="L64" s="254">
        <f>IFERROR(__xludf.DUMMYFUNCTION("""COMPUTED_VALUE"""),2033.0)</f>
        <v>2033</v>
      </c>
      <c r="M64" s="254">
        <f>IFERROR(__xludf.DUMMYFUNCTION("""COMPUTED_VALUE"""),169515.0)</f>
        <v>169515</v>
      </c>
      <c r="N64" s="254">
        <f>IFERROR(__xludf.DUMMYFUNCTION("""COMPUTED_VALUE"""),188029.0)</f>
        <v>188029</v>
      </c>
      <c r="O64" s="254">
        <f>IFERROR(__xludf.DUMMYFUNCTION("""COMPUTED_VALUE"""),7.0)</f>
        <v>7</v>
      </c>
      <c r="P64" s="254">
        <f>IFERROR(__xludf.DUMMYFUNCTION("""COMPUTED_VALUE"""),2209.0)</f>
        <v>2209</v>
      </c>
      <c r="Q64" s="254">
        <f>IFERROR(__xludf.DUMMYFUNCTION("""COMPUTED_VALUE"""),7.0)</f>
        <v>7</v>
      </c>
      <c r="R64" s="254">
        <f>IFERROR(__xludf.DUMMYFUNCTION("""COMPUTED_VALUE"""),1832.0)</f>
        <v>1832</v>
      </c>
      <c r="S64" s="254">
        <f>IFERROR(__xludf.DUMMYFUNCTION("""COMPUTED_VALUE"""),0.0)</f>
        <v>0</v>
      </c>
      <c r="T64" s="254">
        <f>IFERROR(__xludf.DUMMYFUNCTION("""COMPUTED_VALUE"""),315.0)</f>
        <v>315</v>
      </c>
      <c r="U64" s="254">
        <f>IFERROR(__xludf.DUMMYFUNCTION("""COMPUTED_VALUE"""),62.0)</f>
        <v>62</v>
      </c>
      <c r="V64" s="254">
        <f>IFERROR(__xludf.DUMMYFUNCTION("""COMPUTED_VALUE"""),61.0)</f>
        <v>61</v>
      </c>
      <c r="W64" s="254">
        <f>IFERROR(__xludf.DUMMYFUNCTION("""COMPUTED_VALUE"""),10.0)</f>
        <v>10</v>
      </c>
      <c r="X64" s="254">
        <f>IFERROR(__xludf.DUMMYFUNCTION("""COMPUTED_VALUE"""),8.0)</f>
        <v>8</v>
      </c>
      <c r="Y64" s="254">
        <f>IFERROR(__xludf.DUMMYFUNCTION("""COMPUTED_VALUE"""),3.0)</f>
        <v>3</v>
      </c>
      <c r="Z64" s="254">
        <f>IFERROR(__xludf.DUMMYFUNCTION("""COMPUTED_VALUE"""),1020.0)</f>
        <v>1020</v>
      </c>
    </row>
    <row r="65">
      <c r="A65" s="253">
        <f>IFERROR(__xludf.DUMMYFUNCTION("""COMPUTED_VALUE"""),44038.0)</f>
        <v>44038</v>
      </c>
      <c r="B65" s="254">
        <f>IFERROR(__xludf.DUMMYFUNCTION("""COMPUTED_VALUE"""),62.0)</f>
        <v>62</v>
      </c>
      <c r="C65" s="254">
        <f>IFERROR(__xludf.DUMMYFUNCTION("""COMPUTED_VALUE"""),123.0)</f>
        <v>123</v>
      </c>
      <c r="D65" s="254">
        <f>IFERROR(__xludf.DUMMYFUNCTION("""COMPUTED_VALUE"""),27148.0)</f>
        <v>27148</v>
      </c>
      <c r="E65" s="254">
        <f>IFERROR(__xludf.DUMMYFUNCTION("""COMPUTED_VALUE"""),3033.0)</f>
        <v>3033</v>
      </c>
      <c r="F65" s="185">
        <f>IFERROR(__xludf.DUMMYFUNCTION("""COMPUTED_VALUE"""),323318.0)</f>
        <v>323318</v>
      </c>
      <c r="G65" s="185">
        <f>IFERROR(__xludf.DUMMYFUNCTION("""COMPUTED_VALUE"""),3095.0)</f>
        <v>3095</v>
      </c>
      <c r="H65" s="185">
        <f>IFERROR(__xludf.DUMMYFUNCTION("""COMPUTED_VALUE"""),350466.0)</f>
        <v>350466</v>
      </c>
      <c r="I65" s="254">
        <f>IFERROR(__xludf.DUMMYFUNCTION("""COMPUTED_VALUE"""),54.0)</f>
        <v>54</v>
      </c>
      <c r="J65" s="254">
        <f>IFERROR(__xludf.DUMMYFUNCTION("""COMPUTED_VALUE"""),94.0)</f>
        <v>94</v>
      </c>
      <c r="K65" s="254">
        <f>IFERROR(__xludf.DUMMYFUNCTION("""COMPUTED_VALUE"""),18568.0)</f>
        <v>18568</v>
      </c>
      <c r="L65" s="254">
        <f>IFERROR(__xludf.DUMMYFUNCTION("""COMPUTED_VALUE"""),1301.0)</f>
        <v>1301</v>
      </c>
      <c r="M65" s="254">
        <f>IFERROR(__xludf.DUMMYFUNCTION("""COMPUTED_VALUE"""),170816.0)</f>
        <v>170816</v>
      </c>
      <c r="N65" s="254">
        <f>IFERROR(__xludf.DUMMYFUNCTION("""COMPUTED_VALUE"""),189384.0)</f>
        <v>189384</v>
      </c>
      <c r="O65" s="254">
        <f>IFERROR(__xludf.DUMMYFUNCTION("""COMPUTED_VALUE"""),8.0)</f>
        <v>8</v>
      </c>
      <c r="P65" s="254">
        <f>IFERROR(__xludf.DUMMYFUNCTION("""COMPUTED_VALUE"""),2217.0)</f>
        <v>2217</v>
      </c>
      <c r="Q65" s="254">
        <f>IFERROR(__xludf.DUMMYFUNCTION("""COMPUTED_VALUE"""),9.0)</f>
        <v>9</v>
      </c>
      <c r="R65" s="254">
        <f>IFERROR(__xludf.DUMMYFUNCTION("""COMPUTED_VALUE"""),1841.0)</f>
        <v>1841</v>
      </c>
      <c r="S65" s="254">
        <f>IFERROR(__xludf.DUMMYFUNCTION("""COMPUTED_VALUE"""),0.0)</f>
        <v>0</v>
      </c>
      <c r="T65" s="254">
        <f>IFERROR(__xludf.DUMMYFUNCTION("""COMPUTED_VALUE"""),315.0)</f>
        <v>315</v>
      </c>
      <c r="U65" s="254">
        <f>IFERROR(__xludf.DUMMYFUNCTION("""COMPUTED_VALUE"""),61.0)</f>
        <v>61</v>
      </c>
      <c r="V65" s="254">
        <f>IFERROR(__xludf.DUMMYFUNCTION("""COMPUTED_VALUE"""),62.0)</f>
        <v>62</v>
      </c>
      <c r="W65" s="254">
        <f>IFERROR(__xludf.DUMMYFUNCTION("""COMPUTED_VALUE"""),11.0)</f>
        <v>11</v>
      </c>
      <c r="X65" s="254">
        <f>IFERROR(__xludf.DUMMYFUNCTION("""COMPUTED_VALUE"""),7.0)</f>
        <v>7</v>
      </c>
      <c r="Y65" s="254">
        <f>IFERROR(__xludf.DUMMYFUNCTION("""COMPUTED_VALUE"""),1.0)</f>
        <v>1</v>
      </c>
      <c r="Z65" s="254">
        <f>IFERROR(__xludf.DUMMYFUNCTION("""COMPUTED_VALUE"""),1021.0)</f>
        <v>1021</v>
      </c>
    </row>
    <row r="66">
      <c r="A66" s="253">
        <f>IFERROR(__xludf.DUMMYFUNCTION("""COMPUTED_VALUE"""),44039.0)</f>
        <v>44039</v>
      </c>
      <c r="B66" s="254">
        <f>IFERROR(__xludf.DUMMYFUNCTION("""COMPUTED_VALUE"""),188.0)</f>
        <v>188</v>
      </c>
      <c r="C66" s="254">
        <f>IFERROR(__xludf.DUMMYFUNCTION("""COMPUTED_VALUE"""),128.0)</f>
        <v>128</v>
      </c>
      <c r="D66" s="254">
        <f>IFERROR(__xludf.DUMMYFUNCTION("""COMPUTED_VALUE"""),27336.0)</f>
        <v>27336</v>
      </c>
      <c r="E66" s="254">
        <f>IFERROR(__xludf.DUMMYFUNCTION("""COMPUTED_VALUE"""),4191.0)</f>
        <v>4191</v>
      </c>
      <c r="F66" s="185">
        <f>IFERROR(__xludf.DUMMYFUNCTION("""COMPUTED_VALUE"""),327509.0)</f>
        <v>327509</v>
      </c>
      <c r="G66" s="185">
        <f>IFERROR(__xludf.DUMMYFUNCTION("""COMPUTED_VALUE"""),4379.0)</f>
        <v>4379</v>
      </c>
      <c r="H66" s="185">
        <f>IFERROR(__xludf.DUMMYFUNCTION("""COMPUTED_VALUE"""),354845.0)</f>
        <v>354845</v>
      </c>
      <c r="I66" s="254">
        <f>IFERROR(__xludf.DUMMYFUNCTION("""COMPUTED_VALUE"""),138.0)</f>
        <v>138</v>
      </c>
      <c r="J66" s="254">
        <f>IFERROR(__xludf.DUMMYFUNCTION("""COMPUTED_VALUE"""),100.0)</f>
        <v>100</v>
      </c>
      <c r="K66" s="254">
        <f>IFERROR(__xludf.DUMMYFUNCTION("""COMPUTED_VALUE"""),18706.0)</f>
        <v>18706</v>
      </c>
      <c r="L66" s="254">
        <f>IFERROR(__xludf.DUMMYFUNCTION("""COMPUTED_VALUE"""),2268.0)</f>
        <v>2268</v>
      </c>
      <c r="M66" s="254">
        <f>IFERROR(__xludf.DUMMYFUNCTION("""COMPUTED_VALUE"""),173084.0)</f>
        <v>173084</v>
      </c>
      <c r="N66" s="254">
        <f>IFERROR(__xludf.DUMMYFUNCTION("""COMPUTED_VALUE"""),191790.0)</f>
        <v>191790</v>
      </c>
      <c r="O66" s="254">
        <f>IFERROR(__xludf.DUMMYFUNCTION("""COMPUTED_VALUE"""),12.0)</f>
        <v>12</v>
      </c>
      <c r="P66" s="254">
        <f>IFERROR(__xludf.DUMMYFUNCTION("""COMPUTED_VALUE"""),2229.0)</f>
        <v>2229</v>
      </c>
      <c r="Q66" s="254">
        <f>IFERROR(__xludf.DUMMYFUNCTION("""COMPUTED_VALUE"""),7.0)</f>
        <v>7</v>
      </c>
      <c r="R66" s="254">
        <f>IFERROR(__xludf.DUMMYFUNCTION("""COMPUTED_VALUE"""),1848.0)</f>
        <v>1848</v>
      </c>
      <c r="S66" s="254">
        <f>IFERROR(__xludf.DUMMYFUNCTION("""COMPUTED_VALUE"""),0.0)</f>
        <v>0</v>
      </c>
      <c r="T66" s="254">
        <f>IFERROR(__xludf.DUMMYFUNCTION("""COMPUTED_VALUE"""),315.0)</f>
        <v>315</v>
      </c>
      <c r="U66" s="254">
        <f>IFERROR(__xludf.DUMMYFUNCTION("""COMPUTED_VALUE"""),66.0)</f>
        <v>66</v>
      </c>
      <c r="V66" s="254">
        <f>IFERROR(__xludf.DUMMYFUNCTION("""COMPUTED_VALUE"""),63.0)</f>
        <v>63</v>
      </c>
      <c r="W66" s="254">
        <f>IFERROR(__xludf.DUMMYFUNCTION("""COMPUTED_VALUE"""),13.0)</f>
        <v>13</v>
      </c>
      <c r="X66" s="254">
        <f>IFERROR(__xludf.DUMMYFUNCTION("""COMPUTED_VALUE"""),8.0)</f>
        <v>8</v>
      </c>
      <c r="Y66" s="254">
        <f>IFERROR(__xludf.DUMMYFUNCTION("""COMPUTED_VALUE"""),1.0)</f>
        <v>1</v>
      </c>
      <c r="Z66" s="254">
        <f>IFERROR(__xludf.DUMMYFUNCTION("""COMPUTED_VALUE"""),1022.0)</f>
        <v>1022</v>
      </c>
    </row>
    <row r="67">
      <c r="A67" s="253">
        <f>IFERROR(__xludf.DUMMYFUNCTION("""COMPUTED_VALUE"""),44040.0)</f>
        <v>44040</v>
      </c>
      <c r="B67" s="254">
        <f>IFERROR(__xludf.DUMMYFUNCTION("""COMPUTED_VALUE"""),105.0)</f>
        <v>105</v>
      </c>
      <c r="C67" s="254">
        <f>IFERROR(__xludf.DUMMYFUNCTION("""COMPUTED_VALUE"""),118.0)</f>
        <v>118</v>
      </c>
      <c r="D67" s="254">
        <f>IFERROR(__xludf.DUMMYFUNCTION("""COMPUTED_VALUE"""),27441.0)</f>
        <v>27441</v>
      </c>
      <c r="E67" s="254">
        <f>IFERROR(__xludf.DUMMYFUNCTION("""COMPUTED_VALUE"""),3840.0)</f>
        <v>3840</v>
      </c>
      <c r="F67" s="185">
        <f>IFERROR(__xludf.DUMMYFUNCTION("""COMPUTED_VALUE"""),331349.0)</f>
        <v>331349</v>
      </c>
      <c r="G67" s="185">
        <f>IFERROR(__xludf.DUMMYFUNCTION("""COMPUTED_VALUE"""),3945.0)</f>
        <v>3945</v>
      </c>
      <c r="H67" s="185">
        <f>IFERROR(__xludf.DUMMYFUNCTION("""COMPUTED_VALUE"""),358790.0)</f>
        <v>358790</v>
      </c>
      <c r="I67" s="254">
        <f>IFERROR(__xludf.DUMMYFUNCTION("""COMPUTED_VALUE"""),95.0)</f>
        <v>95</v>
      </c>
      <c r="J67" s="254">
        <f>IFERROR(__xludf.DUMMYFUNCTION("""COMPUTED_VALUE"""),96.0)</f>
        <v>96</v>
      </c>
      <c r="K67" s="254">
        <f>IFERROR(__xludf.DUMMYFUNCTION("""COMPUTED_VALUE"""),18801.0)</f>
        <v>18801</v>
      </c>
      <c r="L67" s="254">
        <f>IFERROR(__xludf.DUMMYFUNCTION("""COMPUTED_VALUE"""),1590.0)</f>
        <v>1590</v>
      </c>
      <c r="M67" s="254">
        <f>IFERROR(__xludf.DUMMYFUNCTION("""COMPUTED_VALUE"""),174674.0)</f>
        <v>174674</v>
      </c>
      <c r="N67" s="254">
        <f>IFERROR(__xludf.DUMMYFUNCTION("""COMPUTED_VALUE"""),193475.0)</f>
        <v>193475</v>
      </c>
      <c r="O67" s="254">
        <f>IFERROR(__xludf.DUMMYFUNCTION("""COMPUTED_VALUE"""),5.0)</f>
        <v>5</v>
      </c>
      <c r="P67" s="254">
        <f>IFERROR(__xludf.DUMMYFUNCTION("""COMPUTED_VALUE"""),2234.0)</f>
        <v>2234</v>
      </c>
      <c r="Q67" s="254">
        <f>IFERROR(__xludf.DUMMYFUNCTION("""COMPUTED_VALUE"""),5.0)</f>
        <v>5</v>
      </c>
      <c r="R67" s="254">
        <f>IFERROR(__xludf.DUMMYFUNCTION("""COMPUTED_VALUE"""),1853.0)</f>
        <v>1853</v>
      </c>
      <c r="S67" s="254">
        <f>IFERROR(__xludf.DUMMYFUNCTION("""COMPUTED_VALUE"""),0.0)</f>
        <v>0</v>
      </c>
      <c r="T67" s="254">
        <f>IFERROR(__xludf.DUMMYFUNCTION("""COMPUTED_VALUE"""),315.0)</f>
        <v>315</v>
      </c>
      <c r="U67" s="254">
        <f>IFERROR(__xludf.DUMMYFUNCTION("""COMPUTED_VALUE"""),66.0)</f>
        <v>66</v>
      </c>
      <c r="V67" s="254">
        <f>IFERROR(__xludf.DUMMYFUNCTION("""COMPUTED_VALUE"""),64.0)</f>
        <v>64</v>
      </c>
      <c r="W67" s="254">
        <f>IFERROR(__xludf.DUMMYFUNCTION("""COMPUTED_VALUE"""),14.0)</f>
        <v>14</v>
      </c>
      <c r="X67" s="254">
        <f>IFERROR(__xludf.DUMMYFUNCTION("""COMPUTED_VALUE"""),7.0)</f>
        <v>7</v>
      </c>
      <c r="Y67" s="254">
        <f>IFERROR(__xludf.DUMMYFUNCTION("""COMPUTED_VALUE"""),1.0)</f>
        <v>1</v>
      </c>
      <c r="Z67" s="254">
        <f>IFERROR(__xludf.DUMMYFUNCTION("""COMPUTED_VALUE"""),1023.0)</f>
        <v>1023</v>
      </c>
    </row>
    <row r="68">
      <c r="A68" s="253">
        <f>IFERROR(__xludf.DUMMYFUNCTION("""COMPUTED_VALUE"""),44041.0)</f>
        <v>44041</v>
      </c>
      <c r="B68" s="254">
        <f>IFERROR(__xludf.DUMMYFUNCTION("""COMPUTED_VALUE"""),190.0)</f>
        <v>190</v>
      </c>
      <c r="C68" s="254">
        <f>IFERROR(__xludf.DUMMYFUNCTION("""COMPUTED_VALUE"""),161.0)</f>
        <v>161</v>
      </c>
      <c r="D68" s="254">
        <f>IFERROR(__xludf.DUMMYFUNCTION("""COMPUTED_VALUE"""),27631.0)</f>
        <v>27631</v>
      </c>
      <c r="E68" s="254">
        <f>IFERROR(__xludf.DUMMYFUNCTION("""COMPUTED_VALUE"""),5139.0)</f>
        <v>5139</v>
      </c>
      <c r="F68" s="185">
        <f>IFERROR(__xludf.DUMMYFUNCTION("""COMPUTED_VALUE"""),336488.0)</f>
        <v>336488</v>
      </c>
      <c r="G68" s="185">
        <f>IFERROR(__xludf.DUMMYFUNCTION("""COMPUTED_VALUE"""),5329.0)</f>
        <v>5329</v>
      </c>
      <c r="H68" s="185">
        <f>IFERROR(__xludf.DUMMYFUNCTION("""COMPUTED_VALUE"""),364119.0)</f>
        <v>364119</v>
      </c>
      <c r="I68" s="254">
        <f>IFERROR(__xludf.DUMMYFUNCTION("""COMPUTED_VALUE"""),154.0)</f>
        <v>154</v>
      </c>
      <c r="J68" s="254">
        <f>IFERROR(__xludf.DUMMYFUNCTION("""COMPUTED_VALUE"""),129.0)</f>
        <v>129</v>
      </c>
      <c r="K68" s="254">
        <f>IFERROR(__xludf.DUMMYFUNCTION("""COMPUTED_VALUE"""),18955.0)</f>
        <v>18955</v>
      </c>
      <c r="L68" s="254">
        <f>IFERROR(__xludf.DUMMYFUNCTION("""COMPUTED_VALUE"""),2226.0)</f>
        <v>2226</v>
      </c>
      <c r="M68" s="254">
        <f>IFERROR(__xludf.DUMMYFUNCTION("""COMPUTED_VALUE"""),176900.0)</f>
        <v>176900</v>
      </c>
      <c r="N68" s="254">
        <f>IFERROR(__xludf.DUMMYFUNCTION("""COMPUTED_VALUE"""),195855.0)</f>
        <v>195855</v>
      </c>
      <c r="O68" s="254">
        <f>IFERROR(__xludf.DUMMYFUNCTION("""COMPUTED_VALUE"""),9.0)</f>
        <v>9</v>
      </c>
      <c r="P68" s="254">
        <f>IFERROR(__xludf.DUMMYFUNCTION("""COMPUTED_VALUE"""),2243.0)</f>
        <v>2243</v>
      </c>
      <c r="Q68" s="254">
        <f>IFERROR(__xludf.DUMMYFUNCTION("""COMPUTED_VALUE"""),10.0)</f>
        <v>10</v>
      </c>
      <c r="R68" s="254">
        <f>IFERROR(__xludf.DUMMYFUNCTION("""COMPUTED_VALUE"""),1863.0)</f>
        <v>1863</v>
      </c>
      <c r="S68" s="254">
        <f>IFERROR(__xludf.DUMMYFUNCTION("""COMPUTED_VALUE"""),0.0)</f>
        <v>0</v>
      </c>
      <c r="T68" s="254">
        <f>IFERROR(__xludf.DUMMYFUNCTION("""COMPUTED_VALUE"""),315.0)</f>
        <v>315</v>
      </c>
      <c r="U68" s="254">
        <f>IFERROR(__xludf.DUMMYFUNCTION("""COMPUTED_VALUE"""),65.0)</f>
        <v>65</v>
      </c>
      <c r="V68" s="254">
        <f>IFERROR(__xludf.DUMMYFUNCTION("""COMPUTED_VALUE"""),66.0)</f>
        <v>66</v>
      </c>
      <c r="W68" s="254">
        <f>IFERROR(__xludf.DUMMYFUNCTION("""COMPUTED_VALUE"""),15.0)</f>
        <v>15</v>
      </c>
      <c r="X68" s="254">
        <f>IFERROR(__xludf.DUMMYFUNCTION("""COMPUTED_VALUE"""),7.0)</f>
        <v>7</v>
      </c>
      <c r="Y68" s="254">
        <f>IFERROR(__xludf.DUMMYFUNCTION("""COMPUTED_VALUE"""),0.0)</f>
        <v>0</v>
      </c>
      <c r="Z68" s="254">
        <f>IFERROR(__xludf.DUMMYFUNCTION("""COMPUTED_VALUE"""),1023.0)</f>
        <v>1023</v>
      </c>
    </row>
    <row r="69">
      <c r="A69" s="253">
        <f>IFERROR(__xludf.DUMMYFUNCTION("""COMPUTED_VALUE"""),44042.0)</f>
        <v>44042</v>
      </c>
      <c r="B69" s="254">
        <f>IFERROR(__xludf.DUMMYFUNCTION("""COMPUTED_VALUE"""),121.0)</f>
        <v>121</v>
      </c>
      <c r="C69" s="254">
        <f>IFERROR(__xludf.DUMMYFUNCTION("""COMPUTED_VALUE"""),139.0)</f>
        <v>139</v>
      </c>
      <c r="D69" s="254">
        <f>IFERROR(__xludf.DUMMYFUNCTION("""COMPUTED_VALUE"""),27752.0)</f>
        <v>27752</v>
      </c>
      <c r="E69" s="254">
        <f>IFERROR(__xludf.DUMMYFUNCTION("""COMPUTED_VALUE"""),4345.0)</f>
        <v>4345</v>
      </c>
      <c r="F69" s="185">
        <f>IFERROR(__xludf.DUMMYFUNCTION("""COMPUTED_VALUE"""),340833.0)</f>
        <v>340833</v>
      </c>
      <c r="G69" s="185">
        <f>IFERROR(__xludf.DUMMYFUNCTION("""COMPUTED_VALUE"""),4466.0)</f>
        <v>4466</v>
      </c>
      <c r="H69" s="185">
        <f>IFERROR(__xludf.DUMMYFUNCTION("""COMPUTED_VALUE"""),368585.0)</f>
        <v>368585</v>
      </c>
      <c r="I69" s="254">
        <f>IFERROR(__xludf.DUMMYFUNCTION("""COMPUTED_VALUE"""),97.0)</f>
        <v>97</v>
      </c>
      <c r="J69" s="254">
        <f>IFERROR(__xludf.DUMMYFUNCTION("""COMPUTED_VALUE"""),115.0)</f>
        <v>115</v>
      </c>
      <c r="K69" s="254">
        <f>IFERROR(__xludf.DUMMYFUNCTION("""COMPUTED_VALUE"""),19052.0)</f>
        <v>19052</v>
      </c>
      <c r="L69" s="254">
        <f>IFERROR(__xludf.DUMMYFUNCTION("""COMPUTED_VALUE"""),1576.0)</f>
        <v>1576</v>
      </c>
      <c r="M69" s="254">
        <f>IFERROR(__xludf.DUMMYFUNCTION("""COMPUTED_VALUE"""),178476.0)</f>
        <v>178476</v>
      </c>
      <c r="N69" s="254">
        <f>IFERROR(__xludf.DUMMYFUNCTION("""COMPUTED_VALUE"""),197528.0)</f>
        <v>197528</v>
      </c>
      <c r="O69" s="254">
        <f>IFERROR(__xludf.DUMMYFUNCTION("""COMPUTED_VALUE"""),6.0)</f>
        <v>6</v>
      </c>
      <c r="P69" s="254">
        <f>IFERROR(__xludf.DUMMYFUNCTION("""COMPUTED_VALUE"""),2249.0)</f>
        <v>2249</v>
      </c>
      <c r="Q69" s="254">
        <f>IFERROR(__xludf.DUMMYFUNCTION("""COMPUTED_VALUE"""),2.0)</f>
        <v>2</v>
      </c>
      <c r="R69" s="254">
        <f>IFERROR(__xludf.DUMMYFUNCTION("""COMPUTED_VALUE"""),1865.0)</f>
        <v>1865</v>
      </c>
      <c r="S69" s="254">
        <f>IFERROR(__xludf.DUMMYFUNCTION("""COMPUTED_VALUE"""),1.0)</f>
        <v>1</v>
      </c>
      <c r="T69" s="254">
        <f>IFERROR(__xludf.DUMMYFUNCTION("""COMPUTED_VALUE"""),316.0)</f>
        <v>316</v>
      </c>
      <c r="U69" s="254">
        <f>IFERROR(__xludf.DUMMYFUNCTION("""COMPUTED_VALUE"""),68.0)</f>
        <v>68</v>
      </c>
      <c r="V69" s="254">
        <f>IFERROR(__xludf.DUMMYFUNCTION("""COMPUTED_VALUE"""),66.0)</f>
        <v>66</v>
      </c>
      <c r="W69" s="254">
        <f>IFERROR(__xludf.DUMMYFUNCTION("""COMPUTED_VALUE"""),15.0)</f>
        <v>15</v>
      </c>
      <c r="X69" s="254">
        <f>IFERROR(__xludf.DUMMYFUNCTION("""COMPUTED_VALUE"""),6.0)</f>
        <v>6</v>
      </c>
      <c r="Y69" s="254">
        <f>IFERROR(__xludf.DUMMYFUNCTION("""COMPUTED_VALUE"""),1.0)</f>
        <v>1</v>
      </c>
      <c r="Z69" s="254">
        <f>IFERROR(__xludf.DUMMYFUNCTION("""COMPUTED_VALUE"""),1024.0)</f>
        <v>1024</v>
      </c>
    </row>
    <row r="70">
      <c r="A70" s="253">
        <f>IFERROR(__xludf.DUMMYFUNCTION("""COMPUTED_VALUE"""),44043.0)</f>
        <v>44043</v>
      </c>
      <c r="B70" s="254">
        <f>IFERROR(__xludf.DUMMYFUNCTION("""COMPUTED_VALUE"""),131.0)</f>
        <v>131</v>
      </c>
      <c r="C70" s="254">
        <f>IFERROR(__xludf.DUMMYFUNCTION("""COMPUTED_VALUE"""),147.0)</f>
        <v>147</v>
      </c>
      <c r="D70" s="254">
        <f>IFERROR(__xludf.DUMMYFUNCTION("""COMPUTED_VALUE"""),27883.0)</f>
        <v>27883</v>
      </c>
      <c r="E70" s="254">
        <f>IFERROR(__xludf.DUMMYFUNCTION("""COMPUTED_VALUE"""),5512.0)</f>
        <v>5512</v>
      </c>
      <c r="F70" s="185">
        <f>IFERROR(__xludf.DUMMYFUNCTION("""COMPUTED_VALUE"""),346345.0)</f>
        <v>346345</v>
      </c>
      <c r="G70" s="185">
        <f>IFERROR(__xludf.DUMMYFUNCTION("""COMPUTED_VALUE"""),5643.0)</f>
        <v>5643</v>
      </c>
      <c r="H70" s="185">
        <f>IFERROR(__xludf.DUMMYFUNCTION("""COMPUTED_VALUE"""),374228.0)</f>
        <v>374228</v>
      </c>
      <c r="I70" s="254">
        <f>IFERROR(__xludf.DUMMYFUNCTION("""COMPUTED_VALUE"""),89.0)</f>
        <v>89</v>
      </c>
      <c r="J70" s="254">
        <f>IFERROR(__xludf.DUMMYFUNCTION("""COMPUTED_VALUE"""),113.0)</f>
        <v>113</v>
      </c>
      <c r="K70" s="254">
        <f>IFERROR(__xludf.DUMMYFUNCTION("""COMPUTED_VALUE"""),19141.0)</f>
        <v>19141</v>
      </c>
      <c r="L70" s="254">
        <f>IFERROR(__xludf.DUMMYFUNCTION("""COMPUTED_VALUE"""),1782.0)</f>
        <v>1782</v>
      </c>
      <c r="M70" s="254">
        <f>IFERROR(__xludf.DUMMYFUNCTION("""COMPUTED_VALUE"""),180258.0)</f>
        <v>180258</v>
      </c>
      <c r="N70" s="254">
        <f>IFERROR(__xludf.DUMMYFUNCTION("""COMPUTED_VALUE"""),199399.0)</f>
        <v>199399</v>
      </c>
      <c r="O70" s="254">
        <f>IFERROR(__xludf.DUMMYFUNCTION("""COMPUTED_VALUE"""),7.0)</f>
        <v>7</v>
      </c>
      <c r="P70" s="254">
        <f>IFERROR(__xludf.DUMMYFUNCTION("""COMPUTED_VALUE"""),2256.0)</f>
        <v>2256</v>
      </c>
      <c r="Q70" s="254">
        <f>IFERROR(__xludf.DUMMYFUNCTION("""COMPUTED_VALUE"""),9.0)</f>
        <v>9</v>
      </c>
      <c r="R70" s="254">
        <f>IFERROR(__xludf.DUMMYFUNCTION("""COMPUTED_VALUE"""),1874.0)</f>
        <v>1874</v>
      </c>
      <c r="S70" s="254">
        <f>IFERROR(__xludf.DUMMYFUNCTION("""COMPUTED_VALUE"""),0.0)</f>
        <v>0</v>
      </c>
      <c r="T70" s="254">
        <f>IFERROR(__xludf.DUMMYFUNCTION("""COMPUTED_VALUE"""),316.0)</f>
        <v>316</v>
      </c>
      <c r="U70" s="254">
        <f>IFERROR(__xludf.DUMMYFUNCTION("""COMPUTED_VALUE"""),66.0)</f>
        <v>66</v>
      </c>
      <c r="V70" s="254">
        <f>IFERROR(__xludf.DUMMYFUNCTION("""COMPUTED_VALUE"""),66.0)</f>
        <v>66</v>
      </c>
      <c r="W70" s="254">
        <f>IFERROR(__xludf.DUMMYFUNCTION("""COMPUTED_VALUE"""),15.0)</f>
        <v>15</v>
      </c>
      <c r="X70" s="254">
        <f>IFERROR(__xludf.DUMMYFUNCTION("""COMPUTED_VALUE"""),7.0)</f>
        <v>7</v>
      </c>
      <c r="Y70" s="254">
        <f>IFERROR(__xludf.DUMMYFUNCTION("""COMPUTED_VALUE"""),1.0)</f>
        <v>1</v>
      </c>
      <c r="Z70" s="254">
        <f>IFERROR(__xludf.DUMMYFUNCTION("""COMPUTED_VALUE"""),1025.0)</f>
        <v>1025</v>
      </c>
    </row>
    <row r="71">
      <c r="A71" s="253">
        <f>IFERROR(__xludf.DUMMYFUNCTION("""COMPUTED_VALUE"""),44044.0)</f>
        <v>44044</v>
      </c>
      <c r="B71" s="254">
        <f>IFERROR(__xludf.DUMMYFUNCTION("""COMPUTED_VALUE"""),109.0)</f>
        <v>109</v>
      </c>
      <c r="C71" s="254">
        <f>IFERROR(__xludf.DUMMYFUNCTION("""COMPUTED_VALUE"""),120.0)</f>
        <v>120</v>
      </c>
      <c r="D71" s="254">
        <f>IFERROR(__xludf.DUMMYFUNCTION("""COMPUTED_VALUE"""),27992.0)</f>
        <v>27992</v>
      </c>
      <c r="E71" s="254">
        <f>IFERROR(__xludf.DUMMYFUNCTION("""COMPUTED_VALUE"""),4294.0)</f>
        <v>4294</v>
      </c>
      <c r="F71" s="185">
        <f>IFERROR(__xludf.DUMMYFUNCTION("""COMPUTED_VALUE"""),350639.0)</f>
        <v>350639</v>
      </c>
      <c r="G71" s="185">
        <f>IFERROR(__xludf.DUMMYFUNCTION("""COMPUTED_VALUE"""),4403.0)</f>
        <v>4403</v>
      </c>
      <c r="H71" s="185">
        <f>IFERROR(__xludf.DUMMYFUNCTION("""COMPUTED_VALUE"""),378631.0)</f>
        <v>378631</v>
      </c>
      <c r="I71" s="254">
        <f>IFERROR(__xludf.DUMMYFUNCTION("""COMPUTED_VALUE"""),89.0)</f>
        <v>89</v>
      </c>
      <c r="J71" s="254">
        <f>IFERROR(__xludf.DUMMYFUNCTION("""COMPUTED_VALUE"""),92.0)</f>
        <v>92</v>
      </c>
      <c r="K71" s="254">
        <f>IFERROR(__xludf.DUMMYFUNCTION("""COMPUTED_VALUE"""),19230.0)</f>
        <v>19230</v>
      </c>
      <c r="L71" s="254">
        <f>IFERROR(__xludf.DUMMYFUNCTION("""COMPUTED_VALUE"""),1510.0)</f>
        <v>1510</v>
      </c>
      <c r="M71" s="254">
        <f>IFERROR(__xludf.DUMMYFUNCTION("""COMPUTED_VALUE"""),181768.0)</f>
        <v>181768</v>
      </c>
      <c r="N71" s="254">
        <f>IFERROR(__xludf.DUMMYFUNCTION("""COMPUTED_VALUE"""),200998.0)</f>
        <v>200998</v>
      </c>
      <c r="O71" s="254">
        <f>IFERROR(__xludf.DUMMYFUNCTION("""COMPUTED_VALUE"""),7.0)</f>
        <v>7</v>
      </c>
      <c r="P71" s="254">
        <f>IFERROR(__xludf.DUMMYFUNCTION("""COMPUTED_VALUE"""),2263.0)</f>
        <v>2263</v>
      </c>
      <c r="Q71" s="254">
        <f>IFERROR(__xludf.DUMMYFUNCTION("""COMPUTED_VALUE"""),2.0)</f>
        <v>2</v>
      </c>
      <c r="R71" s="254">
        <f>IFERROR(__xludf.DUMMYFUNCTION("""COMPUTED_VALUE"""),1876.0)</f>
        <v>1876</v>
      </c>
      <c r="S71" s="254">
        <f>IFERROR(__xludf.DUMMYFUNCTION("""COMPUTED_VALUE"""),0.0)</f>
        <v>0</v>
      </c>
      <c r="T71" s="254">
        <f>IFERROR(__xludf.DUMMYFUNCTION("""COMPUTED_VALUE"""),316.0)</f>
        <v>316</v>
      </c>
      <c r="U71" s="254">
        <f>IFERROR(__xludf.DUMMYFUNCTION("""COMPUTED_VALUE"""),71.0)</f>
        <v>71</v>
      </c>
      <c r="V71" s="254">
        <f>IFERROR(__xludf.DUMMYFUNCTION("""COMPUTED_VALUE"""),68.0)</f>
        <v>68</v>
      </c>
      <c r="W71" s="254">
        <f>IFERROR(__xludf.DUMMYFUNCTION("""COMPUTED_VALUE"""),14.0)</f>
        <v>14</v>
      </c>
      <c r="X71" s="254">
        <f>IFERROR(__xludf.DUMMYFUNCTION("""COMPUTED_VALUE"""),7.0)</f>
        <v>7</v>
      </c>
      <c r="Y71" s="254">
        <f>IFERROR(__xludf.DUMMYFUNCTION("""COMPUTED_VALUE"""),1.0)</f>
        <v>1</v>
      </c>
      <c r="Z71" s="254">
        <f>IFERROR(__xludf.DUMMYFUNCTION("""COMPUTED_VALUE"""),1026.0)</f>
        <v>1026</v>
      </c>
    </row>
    <row r="72">
      <c r="A72" s="253">
        <f>IFERROR(__xludf.DUMMYFUNCTION("""COMPUTED_VALUE"""),44045.0)</f>
        <v>44045</v>
      </c>
      <c r="B72" s="254">
        <f>IFERROR(__xludf.DUMMYFUNCTION("""COMPUTED_VALUE"""),84.0)</f>
        <v>84</v>
      </c>
      <c r="C72" s="254">
        <f>IFERROR(__xludf.DUMMYFUNCTION("""COMPUTED_VALUE"""),108.0)</f>
        <v>108</v>
      </c>
      <c r="D72" s="254">
        <f>IFERROR(__xludf.DUMMYFUNCTION("""COMPUTED_VALUE"""),28076.0)</f>
        <v>28076</v>
      </c>
      <c r="E72" s="254">
        <f>IFERROR(__xludf.DUMMYFUNCTION("""COMPUTED_VALUE"""),2804.0)</f>
        <v>2804</v>
      </c>
      <c r="F72" s="185">
        <f>IFERROR(__xludf.DUMMYFUNCTION("""COMPUTED_VALUE"""),353443.0)</f>
        <v>353443</v>
      </c>
      <c r="G72" s="185">
        <f>IFERROR(__xludf.DUMMYFUNCTION("""COMPUTED_VALUE"""),2888.0)</f>
        <v>2888</v>
      </c>
      <c r="H72" s="185">
        <f>IFERROR(__xludf.DUMMYFUNCTION("""COMPUTED_VALUE"""),381519.0)</f>
        <v>381519</v>
      </c>
      <c r="I72" s="254">
        <f>IFERROR(__xludf.DUMMYFUNCTION("""COMPUTED_VALUE"""),62.0)</f>
        <v>62</v>
      </c>
      <c r="J72" s="254">
        <f>IFERROR(__xludf.DUMMYFUNCTION("""COMPUTED_VALUE"""),80.0)</f>
        <v>80</v>
      </c>
      <c r="K72" s="254">
        <f>IFERROR(__xludf.DUMMYFUNCTION("""COMPUTED_VALUE"""),19292.0)</f>
        <v>19292</v>
      </c>
      <c r="L72" s="254">
        <f>IFERROR(__xludf.DUMMYFUNCTION("""COMPUTED_VALUE"""),1237.0)</f>
        <v>1237</v>
      </c>
      <c r="M72" s="254">
        <f>IFERROR(__xludf.DUMMYFUNCTION("""COMPUTED_VALUE"""),183005.0)</f>
        <v>183005</v>
      </c>
      <c r="N72" s="254">
        <f>IFERROR(__xludf.DUMMYFUNCTION("""COMPUTED_VALUE"""),202297.0)</f>
        <v>202297</v>
      </c>
      <c r="O72" s="254">
        <f>IFERROR(__xludf.DUMMYFUNCTION("""COMPUTED_VALUE"""),12.0)</f>
        <v>12</v>
      </c>
      <c r="P72" s="254">
        <f>IFERROR(__xludf.DUMMYFUNCTION("""COMPUTED_VALUE"""),2275.0)</f>
        <v>2275</v>
      </c>
      <c r="Q72" s="254">
        <f>IFERROR(__xludf.DUMMYFUNCTION("""COMPUTED_VALUE"""),12.0)</f>
        <v>12</v>
      </c>
      <c r="R72" s="254">
        <f>IFERROR(__xludf.DUMMYFUNCTION("""COMPUTED_VALUE"""),1888.0)</f>
        <v>1888</v>
      </c>
      <c r="S72" s="254">
        <f>IFERROR(__xludf.DUMMYFUNCTION("""COMPUTED_VALUE"""),2.0)</f>
        <v>2</v>
      </c>
      <c r="T72" s="254">
        <f>IFERROR(__xludf.DUMMYFUNCTION("""COMPUTED_VALUE"""),318.0)</f>
        <v>318</v>
      </c>
      <c r="U72" s="254">
        <f>IFERROR(__xludf.DUMMYFUNCTION("""COMPUTED_VALUE"""),69.0)</f>
        <v>69</v>
      </c>
      <c r="V72" s="254">
        <f>IFERROR(__xludf.DUMMYFUNCTION("""COMPUTED_VALUE"""),69.0)</f>
        <v>69</v>
      </c>
      <c r="W72" s="254">
        <f>IFERROR(__xludf.DUMMYFUNCTION("""COMPUTED_VALUE"""),14.0)</f>
        <v>14</v>
      </c>
      <c r="X72" s="254">
        <f>IFERROR(__xludf.DUMMYFUNCTION("""COMPUTED_VALUE"""),8.0)</f>
        <v>8</v>
      </c>
      <c r="Y72" s="254">
        <f>IFERROR(__xludf.DUMMYFUNCTION("""COMPUTED_VALUE"""),2.0)</f>
        <v>2</v>
      </c>
      <c r="Z72" s="254">
        <f>IFERROR(__xludf.DUMMYFUNCTION("""COMPUTED_VALUE"""),1028.0)</f>
        <v>1028</v>
      </c>
    </row>
    <row r="73">
      <c r="A73" s="253">
        <f>IFERROR(__xludf.DUMMYFUNCTION("""COMPUTED_VALUE"""),44046.0)</f>
        <v>44046</v>
      </c>
      <c r="B73" s="254">
        <f>IFERROR(__xludf.DUMMYFUNCTION("""COMPUTED_VALUE"""),188.0)</f>
        <v>188</v>
      </c>
      <c r="C73" s="254">
        <f>IFERROR(__xludf.DUMMYFUNCTION("""COMPUTED_VALUE"""),127.0)</f>
        <v>127</v>
      </c>
      <c r="D73" s="254">
        <f>IFERROR(__xludf.DUMMYFUNCTION("""COMPUTED_VALUE"""),28264.0)</f>
        <v>28264</v>
      </c>
      <c r="E73" s="254">
        <f>IFERROR(__xludf.DUMMYFUNCTION("""COMPUTED_VALUE"""),5248.0)</f>
        <v>5248</v>
      </c>
      <c r="F73" s="185">
        <f>IFERROR(__xludf.DUMMYFUNCTION("""COMPUTED_VALUE"""),358691.0)</f>
        <v>358691</v>
      </c>
      <c r="G73" s="185">
        <f>IFERROR(__xludf.DUMMYFUNCTION("""COMPUTED_VALUE"""),5436.0)</f>
        <v>5436</v>
      </c>
      <c r="H73" s="185">
        <f>IFERROR(__xludf.DUMMYFUNCTION("""COMPUTED_VALUE"""),386955.0)</f>
        <v>386955</v>
      </c>
      <c r="I73" s="254">
        <f>IFERROR(__xludf.DUMMYFUNCTION("""COMPUTED_VALUE"""),150.0)</f>
        <v>150</v>
      </c>
      <c r="J73" s="254">
        <f>IFERROR(__xludf.DUMMYFUNCTION("""COMPUTED_VALUE"""),100.0)</f>
        <v>100</v>
      </c>
      <c r="K73" s="254">
        <f>IFERROR(__xludf.DUMMYFUNCTION("""COMPUTED_VALUE"""),19442.0)</f>
        <v>19442</v>
      </c>
      <c r="L73" s="254">
        <f>IFERROR(__xludf.DUMMYFUNCTION("""COMPUTED_VALUE"""),2131.0)</f>
        <v>2131</v>
      </c>
      <c r="M73" s="254">
        <f>IFERROR(__xludf.DUMMYFUNCTION("""COMPUTED_VALUE"""),185136.0)</f>
        <v>185136</v>
      </c>
      <c r="N73" s="254">
        <f>IFERROR(__xludf.DUMMYFUNCTION("""COMPUTED_VALUE"""),204578.0)</f>
        <v>204578</v>
      </c>
      <c r="O73" s="254">
        <f>IFERROR(__xludf.DUMMYFUNCTION("""COMPUTED_VALUE"""),11.0)</f>
        <v>11</v>
      </c>
      <c r="P73" s="254">
        <f>IFERROR(__xludf.DUMMYFUNCTION("""COMPUTED_VALUE"""),2286.0)</f>
        <v>2286</v>
      </c>
      <c r="Q73" s="254">
        <f>IFERROR(__xludf.DUMMYFUNCTION("""COMPUTED_VALUE"""),10.0)</f>
        <v>10</v>
      </c>
      <c r="R73" s="254">
        <f>IFERROR(__xludf.DUMMYFUNCTION("""COMPUTED_VALUE"""),1898.0)</f>
        <v>1898</v>
      </c>
      <c r="S73" s="254">
        <f>IFERROR(__xludf.DUMMYFUNCTION("""COMPUTED_VALUE"""),0.0)</f>
        <v>0</v>
      </c>
      <c r="T73" s="254">
        <f>IFERROR(__xludf.DUMMYFUNCTION("""COMPUTED_VALUE"""),318.0)</f>
        <v>318</v>
      </c>
      <c r="U73" s="254">
        <f>IFERROR(__xludf.DUMMYFUNCTION("""COMPUTED_VALUE"""),70.0)</f>
        <v>70</v>
      </c>
      <c r="V73" s="254">
        <f>IFERROR(__xludf.DUMMYFUNCTION("""COMPUTED_VALUE"""),70.0)</f>
        <v>70</v>
      </c>
      <c r="W73" s="254">
        <f>IFERROR(__xludf.DUMMYFUNCTION("""COMPUTED_VALUE"""),16.0)</f>
        <v>16</v>
      </c>
      <c r="X73" s="254">
        <f>IFERROR(__xludf.DUMMYFUNCTION("""COMPUTED_VALUE"""),7.0)</f>
        <v>7</v>
      </c>
      <c r="Y73" s="254">
        <f>IFERROR(__xludf.DUMMYFUNCTION("""COMPUTED_VALUE"""),1.0)</f>
        <v>1</v>
      </c>
      <c r="Z73" s="254">
        <f>IFERROR(__xludf.DUMMYFUNCTION("""COMPUTED_VALUE"""),1029.0)</f>
        <v>1029</v>
      </c>
    </row>
    <row r="74">
      <c r="A74" s="253">
        <f>IFERROR(__xludf.DUMMYFUNCTION("""COMPUTED_VALUE"""),44047.0)</f>
        <v>44047</v>
      </c>
      <c r="B74" s="254">
        <f>IFERROR(__xludf.DUMMYFUNCTION("""COMPUTED_VALUE"""),125.0)</f>
        <v>125</v>
      </c>
      <c r="C74" s="254">
        <f>IFERROR(__xludf.DUMMYFUNCTION("""COMPUTED_VALUE"""),132.0)</f>
        <v>132</v>
      </c>
      <c r="D74" s="254">
        <f>IFERROR(__xludf.DUMMYFUNCTION("""COMPUTED_VALUE"""),28389.0)</f>
        <v>28389</v>
      </c>
      <c r="E74" s="254">
        <f>IFERROR(__xludf.DUMMYFUNCTION("""COMPUTED_VALUE"""),3691.0)</f>
        <v>3691</v>
      </c>
      <c r="F74" s="185">
        <f>IFERROR(__xludf.DUMMYFUNCTION("""COMPUTED_VALUE"""),362382.0)</f>
        <v>362382</v>
      </c>
      <c r="G74" s="185">
        <f>IFERROR(__xludf.DUMMYFUNCTION("""COMPUTED_VALUE"""),3816.0)</f>
        <v>3816</v>
      </c>
      <c r="H74" s="185">
        <f>IFERROR(__xludf.DUMMYFUNCTION("""COMPUTED_VALUE"""),390771.0)</f>
        <v>390771</v>
      </c>
      <c r="I74" s="254">
        <f>IFERROR(__xludf.DUMMYFUNCTION("""COMPUTED_VALUE"""),99.0)</f>
        <v>99</v>
      </c>
      <c r="J74" s="254">
        <f>IFERROR(__xludf.DUMMYFUNCTION("""COMPUTED_VALUE"""),104.0)</f>
        <v>104</v>
      </c>
      <c r="K74" s="254">
        <f>IFERROR(__xludf.DUMMYFUNCTION("""COMPUTED_VALUE"""),19541.0)</f>
        <v>19541</v>
      </c>
      <c r="L74" s="254">
        <f>IFERROR(__xludf.DUMMYFUNCTION("""COMPUTED_VALUE"""),1718.0)</f>
        <v>1718</v>
      </c>
      <c r="M74" s="254">
        <f>IFERROR(__xludf.DUMMYFUNCTION("""COMPUTED_VALUE"""),186854.0)</f>
        <v>186854</v>
      </c>
      <c r="N74" s="254">
        <f>IFERROR(__xludf.DUMMYFUNCTION("""COMPUTED_VALUE"""),206395.0)</f>
        <v>206395</v>
      </c>
      <c r="O74" s="254">
        <f>IFERROR(__xludf.DUMMYFUNCTION("""COMPUTED_VALUE"""),8.0)</f>
        <v>8</v>
      </c>
      <c r="P74" s="254">
        <f>IFERROR(__xludf.DUMMYFUNCTION("""COMPUTED_VALUE"""),2294.0)</f>
        <v>2294</v>
      </c>
      <c r="Q74" s="254">
        <f>IFERROR(__xludf.DUMMYFUNCTION("""COMPUTED_VALUE"""),5.0)</f>
        <v>5</v>
      </c>
      <c r="R74" s="254">
        <f>IFERROR(__xludf.DUMMYFUNCTION("""COMPUTED_VALUE"""),1903.0)</f>
        <v>1903</v>
      </c>
      <c r="S74" s="254">
        <f>IFERROR(__xludf.DUMMYFUNCTION("""COMPUTED_VALUE"""),1.0)</f>
        <v>1</v>
      </c>
      <c r="T74" s="254">
        <f>IFERROR(__xludf.DUMMYFUNCTION("""COMPUTED_VALUE"""),319.0)</f>
        <v>319</v>
      </c>
      <c r="U74" s="254">
        <f>IFERROR(__xludf.DUMMYFUNCTION("""COMPUTED_VALUE"""),72.0)</f>
        <v>72</v>
      </c>
      <c r="V74" s="254">
        <f>IFERROR(__xludf.DUMMYFUNCTION("""COMPUTED_VALUE"""),70.0)</f>
        <v>70</v>
      </c>
      <c r="W74" s="254">
        <f>IFERROR(__xludf.DUMMYFUNCTION("""COMPUTED_VALUE"""),12.0)</f>
        <v>12</v>
      </c>
      <c r="X74" s="254">
        <f>IFERROR(__xludf.DUMMYFUNCTION("""COMPUTED_VALUE"""),5.0)</f>
        <v>5</v>
      </c>
      <c r="Y74" s="254">
        <f>IFERROR(__xludf.DUMMYFUNCTION("""COMPUTED_VALUE"""),2.0)</f>
        <v>2</v>
      </c>
      <c r="Z74" s="254">
        <f>IFERROR(__xludf.DUMMYFUNCTION("""COMPUTED_VALUE"""),1031.0)</f>
        <v>1031</v>
      </c>
    </row>
    <row r="75">
      <c r="A75" s="253">
        <f>IFERROR(__xludf.DUMMYFUNCTION("""COMPUTED_VALUE"""),44048.0)</f>
        <v>44048</v>
      </c>
      <c r="B75" s="254">
        <f>IFERROR(__xludf.DUMMYFUNCTION("""COMPUTED_VALUE"""),147.0)</f>
        <v>147</v>
      </c>
      <c r="C75" s="254">
        <f>IFERROR(__xludf.DUMMYFUNCTION("""COMPUTED_VALUE"""),153.0)</f>
        <v>153</v>
      </c>
      <c r="D75" s="254">
        <f>IFERROR(__xludf.DUMMYFUNCTION("""COMPUTED_VALUE"""),28536.0)</f>
        <v>28536</v>
      </c>
      <c r="E75" s="254">
        <f>IFERROR(__xludf.DUMMYFUNCTION("""COMPUTED_VALUE"""),5935.0)</f>
        <v>5935</v>
      </c>
      <c r="F75" s="185">
        <f>IFERROR(__xludf.DUMMYFUNCTION("""COMPUTED_VALUE"""),368317.0)</f>
        <v>368317</v>
      </c>
      <c r="G75" s="185">
        <f>IFERROR(__xludf.DUMMYFUNCTION("""COMPUTED_VALUE"""),6082.0)</f>
        <v>6082</v>
      </c>
      <c r="H75" s="185">
        <f>IFERROR(__xludf.DUMMYFUNCTION("""COMPUTED_VALUE"""),396853.0)</f>
        <v>396853</v>
      </c>
      <c r="I75" s="254">
        <f>IFERROR(__xludf.DUMMYFUNCTION("""COMPUTED_VALUE"""),119.0)</f>
        <v>119</v>
      </c>
      <c r="J75" s="254">
        <f>IFERROR(__xludf.DUMMYFUNCTION("""COMPUTED_VALUE"""),123.0)</f>
        <v>123</v>
      </c>
      <c r="K75" s="254">
        <f>IFERROR(__xludf.DUMMYFUNCTION("""COMPUTED_VALUE"""),19660.0)</f>
        <v>19660</v>
      </c>
      <c r="L75" s="254">
        <f>IFERROR(__xludf.DUMMYFUNCTION("""COMPUTED_VALUE"""),2384.0)</f>
        <v>2384</v>
      </c>
      <c r="M75" s="254">
        <f>IFERROR(__xludf.DUMMYFUNCTION("""COMPUTED_VALUE"""),189238.0)</f>
        <v>189238</v>
      </c>
      <c r="N75" s="254">
        <f>IFERROR(__xludf.DUMMYFUNCTION("""COMPUTED_VALUE"""),208898.0)</f>
        <v>208898</v>
      </c>
      <c r="O75" s="254">
        <f>IFERROR(__xludf.DUMMYFUNCTION("""COMPUTED_VALUE"""),11.0)</f>
        <v>11</v>
      </c>
      <c r="P75" s="254">
        <f>IFERROR(__xludf.DUMMYFUNCTION("""COMPUTED_VALUE"""),2305.0)</f>
        <v>2305</v>
      </c>
      <c r="Q75" s="254">
        <f>IFERROR(__xludf.DUMMYFUNCTION("""COMPUTED_VALUE"""),9.0)</f>
        <v>9</v>
      </c>
      <c r="R75" s="254">
        <f>IFERROR(__xludf.DUMMYFUNCTION("""COMPUTED_VALUE"""),1912.0)</f>
        <v>1912</v>
      </c>
      <c r="S75" s="254">
        <f>IFERROR(__xludf.DUMMYFUNCTION("""COMPUTED_VALUE"""),1.0)</f>
        <v>1</v>
      </c>
      <c r="T75" s="254">
        <f>IFERROR(__xludf.DUMMYFUNCTION("""COMPUTED_VALUE"""),320.0)</f>
        <v>320</v>
      </c>
      <c r="U75" s="254">
        <f>IFERROR(__xludf.DUMMYFUNCTION("""COMPUTED_VALUE"""),73.0)</f>
        <v>73</v>
      </c>
      <c r="V75" s="254">
        <f>IFERROR(__xludf.DUMMYFUNCTION("""COMPUTED_VALUE"""),72.0)</f>
        <v>72</v>
      </c>
      <c r="W75" s="254">
        <f>IFERROR(__xludf.DUMMYFUNCTION("""COMPUTED_VALUE"""),10.0)</f>
        <v>10</v>
      </c>
      <c r="X75" s="254">
        <f>IFERROR(__xludf.DUMMYFUNCTION("""COMPUTED_VALUE"""),5.0)</f>
        <v>5</v>
      </c>
      <c r="Y75" s="254">
        <f>IFERROR(__xludf.DUMMYFUNCTION("""COMPUTED_VALUE"""),2.0)</f>
        <v>2</v>
      </c>
      <c r="Z75" s="254">
        <f>IFERROR(__xludf.DUMMYFUNCTION("""COMPUTED_VALUE"""),1033.0)</f>
        <v>1033</v>
      </c>
    </row>
    <row r="76">
      <c r="A76" s="253">
        <f>IFERROR(__xludf.DUMMYFUNCTION("""COMPUTED_VALUE"""),44049.0)</f>
        <v>44049</v>
      </c>
      <c r="B76" s="254">
        <f>IFERROR(__xludf.DUMMYFUNCTION("""COMPUTED_VALUE"""),169.0)</f>
        <v>169</v>
      </c>
      <c r="C76" s="254">
        <f>IFERROR(__xludf.DUMMYFUNCTION("""COMPUTED_VALUE"""),147.0)</f>
        <v>147</v>
      </c>
      <c r="D76" s="254">
        <f>IFERROR(__xludf.DUMMYFUNCTION("""COMPUTED_VALUE"""),28705.0)</f>
        <v>28705</v>
      </c>
      <c r="E76" s="254">
        <f>IFERROR(__xludf.DUMMYFUNCTION("""COMPUTED_VALUE"""),5546.0)</f>
        <v>5546</v>
      </c>
      <c r="F76" s="185">
        <f>IFERROR(__xludf.DUMMYFUNCTION("""COMPUTED_VALUE"""),373863.0)</f>
        <v>373863</v>
      </c>
      <c r="G76" s="185">
        <f>IFERROR(__xludf.DUMMYFUNCTION("""COMPUTED_VALUE"""),5715.0)</f>
        <v>5715</v>
      </c>
      <c r="H76" s="185">
        <f>IFERROR(__xludf.DUMMYFUNCTION("""COMPUTED_VALUE"""),402568.0)</f>
        <v>402568</v>
      </c>
      <c r="I76" s="254">
        <f>IFERROR(__xludf.DUMMYFUNCTION("""COMPUTED_VALUE"""),120.0)</f>
        <v>120</v>
      </c>
      <c r="J76" s="254">
        <f>IFERROR(__xludf.DUMMYFUNCTION("""COMPUTED_VALUE"""),113.0)</f>
        <v>113</v>
      </c>
      <c r="K76" s="254">
        <f>IFERROR(__xludf.DUMMYFUNCTION("""COMPUTED_VALUE"""),19780.0)</f>
        <v>19780</v>
      </c>
      <c r="L76" s="254">
        <f>IFERROR(__xludf.DUMMYFUNCTION("""COMPUTED_VALUE"""),2317.0)</f>
        <v>2317</v>
      </c>
      <c r="M76" s="254">
        <f>IFERROR(__xludf.DUMMYFUNCTION("""COMPUTED_VALUE"""),191555.0)</f>
        <v>191555</v>
      </c>
      <c r="N76" s="254">
        <f>IFERROR(__xludf.DUMMYFUNCTION("""COMPUTED_VALUE"""),211335.0)</f>
        <v>211335</v>
      </c>
      <c r="O76" s="254">
        <f>IFERROR(__xludf.DUMMYFUNCTION("""COMPUTED_VALUE"""),7.0)</f>
        <v>7</v>
      </c>
      <c r="P76" s="254">
        <f>IFERROR(__xludf.DUMMYFUNCTION("""COMPUTED_VALUE"""),2312.0)</f>
        <v>2312</v>
      </c>
      <c r="Q76" s="254">
        <f>IFERROR(__xludf.DUMMYFUNCTION("""COMPUTED_VALUE"""),9.0)</f>
        <v>9</v>
      </c>
      <c r="R76" s="254">
        <f>IFERROR(__xludf.DUMMYFUNCTION("""COMPUTED_VALUE"""),1921.0)</f>
        <v>1921</v>
      </c>
      <c r="S76" s="254">
        <f>IFERROR(__xludf.DUMMYFUNCTION("""COMPUTED_VALUE"""),0.0)</f>
        <v>0</v>
      </c>
      <c r="T76" s="254">
        <f>IFERROR(__xludf.DUMMYFUNCTION("""COMPUTED_VALUE"""),320.0)</f>
        <v>320</v>
      </c>
      <c r="U76" s="254">
        <f>IFERROR(__xludf.DUMMYFUNCTION("""COMPUTED_VALUE"""),71.0)</f>
        <v>71</v>
      </c>
      <c r="V76" s="254">
        <f>IFERROR(__xludf.DUMMYFUNCTION("""COMPUTED_VALUE"""),72.0)</f>
        <v>72</v>
      </c>
      <c r="W76" s="254">
        <f>IFERROR(__xludf.DUMMYFUNCTION("""COMPUTED_VALUE"""),9.0)</f>
        <v>9</v>
      </c>
      <c r="X76" s="254">
        <f>IFERROR(__xludf.DUMMYFUNCTION("""COMPUTED_VALUE"""),4.0)</f>
        <v>4</v>
      </c>
      <c r="Y76" s="254">
        <f>IFERROR(__xludf.DUMMYFUNCTION("""COMPUTED_VALUE"""),0.0)</f>
        <v>0</v>
      </c>
      <c r="Z76" s="254">
        <f>IFERROR(__xludf.DUMMYFUNCTION("""COMPUTED_VALUE"""),1033.0)</f>
        <v>1033</v>
      </c>
    </row>
    <row r="77">
      <c r="A77" s="253">
        <f>IFERROR(__xludf.DUMMYFUNCTION("""COMPUTED_VALUE"""),44050.0)</f>
        <v>44050</v>
      </c>
      <c r="B77" s="254">
        <f>IFERROR(__xludf.DUMMYFUNCTION("""COMPUTED_VALUE"""),123.0)</f>
        <v>123</v>
      </c>
      <c r="C77" s="254">
        <f>IFERROR(__xludf.DUMMYFUNCTION("""COMPUTED_VALUE"""),146.0)</f>
        <v>146</v>
      </c>
      <c r="D77" s="254">
        <f>IFERROR(__xludf.DUMMYFUNCTION("""COMPUTED_VALUE"""),28828.0)</f>
        <v>28828</v>
      </c>
      <c r="E77" s="254">
        <f>IFERROR(__xludf.DUMMYFUNCTION("""COMPUTED_VALUE"""),4851.0)</f>
        <v>4851</v>
      </c>
      <c r="F77" s="185">
        <f>IFERROR(__xludf.DUMMYFUNCTION("""COMPUTED_VALUE"""),378714.0)</f>
        <v>378714</v>
      </c>
      <c r="G77" s="185">
        <f>IFERROR(__xludf.DUMMYFUNCTION("""COMPUTED_VALUE"""),4974.0)</f>
        <v>4974</v>
      </c>
      <c r="H77" s="185">
        <f>IFERROR(__xludf.DUMMYFUNCTION("""COMPUTED_VALUE"""),407542.0)</f>
        <v>407542</v>
      </c>
      <c r="I77" s="254">
        <f>IFERROR(__xludf.DUMMYFUNCTION("""COMPUTED_VALUE"""),87.0)</f>
        <v>87</v>
      </c>
      <c r="J77" s="254">
        <f>IFERROR(__xludf.DUMMYFUNCTION("""COMPUTED_VALUE"""),109.0)</f>
        <v>109</v>
      </c>
      <c r="K77" s="254">
        <f>IFERROR(__xludf.DUMMYFUNCTION("""COMPUTED_VALUE"""),19867.0)</f>
        <v>19867</v>
      </c>
      <c r="L77" s="254">
        <f>IFERROR(__xludf.DUMMYFUNCTION("""COMPUTED_VALUE"""),2070.0)</f>
        <v>2070</v>
      </c>
      <c r="M77" s="254">
        <f>IFERROR(__xludf.DUMMYFUNCTION("""COMPUTED_VALUE"""),193625.0)</f>
        <v>193625</v>
      </c>
      <c r="N77" s="254">
        <f>IFERROR(__xludf.DUMMYFUNCTION("""COMPUTED_VALUE"""),213492.0)</f>
        <v>213492</v>
      </c>
      <c r="O77" s="254">
        <f>IFERROR(__xludf.DUMMYFUNCTION("""COMPUTED_VALUE"""),12.0)</f>
        <v>12</v>
      </c>
      <c r="P77" s="254">
        <f>IFERROR(__xludf.DUMMYFUNCTION("""COMPUTED_VALUE"""),2324.0)</f>
        <v>2324</v>
      </c>
      <c r="Q77" s="254">
        <f>IFERROR(__xludf.DUMMYFUNCTION("""COMPUTED_VALUE"""),9.0)</f>
        <v>9</v>
      </c>
      <c r="R77" s="254">
        <f>IFERROR(__xludf.DUMMYFUNCTION("""COMPUTED_VALUE"""),1930.0)</f>
        <v>1930</v>
      </c>
      <c r="S77" s="254">
        <f>IFERROR(__xludf.DUMMYFUNCTION("""COMPUTED_VALUE"""),1.0)</f>
        <v>1</v>
      </c>
      <c r="T77" s="254">
        <f>IFERROR(__xludf.DUMMYFUNCTION("""COMPUTED_VALUE"""),321.0)</f>
        <v>321</v>
      </c>
      <c r="U77" s="254">
        <f>IFERROR(__xludf.DUMMYFUNCTION("""COMPUTED_VALUE"""),73.0)</f>
        <v>73</v>
      </c>
      <c r="V77" s="254">
        <f>IFERROR(__xludf.DUMMYFUNCTION("""COMPUTED_VALUE"""),72.0)</f>
        <v>72</v>
      </c>
      <c r="W77" s="254">
        <f>IFERROR(__xludf.DUMMYFUNCTION("""COMPUTED_VALUE"""),9.0)</f>
        <v>9</v>
      </c>
      <c r="X77" s="254">
        <f>IFERROR(__xludf.DUMMYFUNCTION("""COMPUTED_VALUE"""),3.0)</f>
        <v>3</v>
      </c>
      <c r="Y77" s="254">
        <f>IFERROR(__xludf.DUMMYFUNCTION("""COMPUTED_VALUE"""),2.0)</f>
        <v>2</v>
      </c>
      <c r="Z77" s="254">
        <f>IFERROR(__xludf.DUMMYFUNCTION("""COMPUTED_VALUE"""),1035.0)</f>
        <v>1035</v>
      </c>
    </row>
    <row r="78">
      <c r="A78" s="253">
        <f>IFERROR(__xludf.DUMMYFUNCTION("""COMPUTED_VALUE"""),44051.0)</f>
        <v>44051</v>
      </c>
      <c r="B78" s="254">
        <f>IFERROR(__xludf.DUMMYFUNCTION("""COMPUTED_VALUE"""),123.0)</f>
        <v>123</v>
      </c>
      <c r="C78" s="254">
        <f>IFERROR(__xludf.DUMMYFUNCTION("""COMPUTED_VALUE"""),138.0)</f>
        <v>138</v>
      </c>
      <c r="D78" s="254">
        <f>IFERROR(__xludf.DUMMYFUNCTION("""COMPUTED_VALUE"""),28951.0)</f>
        <v>28951</v>
      </c>
      <c r="E78" s="254">
        <f>IFERROR(__xludf.DUMMYFUNCTION("""COMPUTED_VALUE"""),4112.0)</f>
        <v>4112</v>
      </c>
      <c r="F78" s="185">
        <f>IFERROR(__xludf.DUMMYFUNCTION("""COMPUTED_VALUE"""),382826.0)</f>
        <v>382826</v>
      </c>
      <c r="G78" s="185">
        <f>IFERROR(__xludf.DUMMYFUNCTION("""COMPUTED_VALUE"""),4235.0)</f>
        <v>4235</v>
      </c>
      <c r="H78" s="185">
        <f>IFERROR(__xludf.DUMMYFUNCTION("""COMPUTED_VALUE"""),411777.0)</f>
        <v>411777</v>
      </c>
      <c r="I78" s="254">
        <f>IFERROR(__xludf.DUMMYFUNCTION("""COMPUTED_VALUE"""),91.0)</f>
        <v>91</v>
      </c>
      <c r="J78" s="254">
        <f>IFERROR(__xludf.DUMMYFUNCTION("""COMPUTED_VALUE"""),99.0)</f>
        <v>99</v>
      </c>
      <c r="K78" s="254">
        <f>IFERROR(__xludf.DUMMYFUNCTION("""COMPUTED_VALUE"""),19958.0)</f>
        <v>19958</v>
      </c>
      <c r="L78" s="254">
        <f>IFERROR(__xludf.DUMMYFUNCTION("""COMPUTED_VALUE"""),1727.0)</f>
        <v>1727</v>
      </c>
      <c r="M78" s="254">
        <f>IFERROR(__xludf.DUMMYFUNCTION("""COMPUTED_VALUE"""),195352.0)</f>
        <v>195352</v>
      </c>
      <c r="N78" s="254">
        <f>IFERROR(__xludf.DUMMYFUNCTION("""COMPUTED_VALUE"""),215310.0)</f>
        <v>215310</v>
      </c>
      <c r="O78" s="254">
        <f>IFERROR(__xludf.DUMMYFUNCTION("""COMPUTED_VALUE"""),19.0)</f>
        <v>19</v>
      </c>
      <c r="P78" s="254">
        <f>IFERROR(__xludf.DUMMYFUNCTION("""COMPUTED_VALUE"""),2343.0)</f>
        <v>2343</v>
      </c>
      <c r="Q78" s="254">
        <f>IFERROR(__xludf.DUMMYFUNCTION("""COMPUTED_VALUE"""),6.0)</f>
        <v>6</v>
      </c>
      <c r="R78" s="254">
        <f>IFERROR(__xludf.DUMMYFUNCTION("""COMPUTED_VALUE"""),1936.0)</f>
        <v>1936</v>
      </c>
      <c r="S78" s="254">
        <f>IFERROR(__xludf.DUMMYFUNCTION("""COMPUTED_VALUE"""),1.0)</f>
        <v>1</v>
      </c>
      <c r="T78" s="254">
        <f>IFERROR(__xludf.DUMMYFUNCTION("""COMPUTED_VALUE"""),322.0)</f>
        <v>322</v>
      </c>
      <c r="U78" s="254">
        <f>IFERROR(__xludf.DUMMYFUNCTION("""COMPUTED_VALUE"""),85.0)</f>
        <v>85</v>
      </c>
      <c r="V78" s="254">
        <f>IFERROR(__xludf.DUMMYFUNCTION("""COMPUTED_VALUE"""),76.0)</f>
        <v>76</v>
      </c>
      <c r="W78" s="254">
        <f>IFERROR(__xludf.DUMMYFUNCTION("""COMPUTED_VALUE"""),8.0)</f>
        <v>8</v>
      </c>
      <c r="X78" s="254">
        <f>IFERROR(__xludf.DUMMYFUNCTION("""COMPUTED_VALUE"""),3.0)</f>
        <v>3</v>
      </c>
      <c r="Y78" s="254">
        <f>IFERROR(__xludf.DUMMYFUNCTION("""COMPUTED_VALUE"""),1.0)</f>
        <v>1</v>
      </c>
      <c r="Z78" s="254">
        <f>IFERROR(__xludf.DUMMYFUNCTION("""COMPUTED_VALUE"""),1036.0)</f>
        <v>1036</v>
      </c>
    </row>
    <row r="79">
      <c r="A79" s="253">
        <f>IFERROR(__xludf.DUMMYFUNCTION("""COMPUTED_VALUE"""),44052.0)</f>
        <v>44052</v>
      </c>
      <c r="B79" s="254">
        <f>IFERROR(__xludf.DUMMYFUNCTION("""COMPUTED_VALUE"""),42.0)</f>
        <v>42</v>
      </c>
      <c r="C79" s="254">
        <f>IFERROR(__xludf.DUMMYFUNCTION("""COMPUTED_VALUE"""),96.0)</f>
        <v>96</v>
      </c>
      <c r="D79" s="254">
        <f>IFERROR(__xludf.DUMMYFUNCTION("""COMPUTED_VALUE"""),28993.0)</f>
        <v>28993</v>
      </c>
      <c r="E79" s="254">
        <f>IFERROR(__xludf.DUMMYFUNCTION("""COMPUTED_VALUE"""),1727.0)</f>
        <v>1727</v>
      </c>
      <c r="F79" s="185">
        <f>IFERROR(__xludf.DUMMYFUNCTION("""COMPUTED_VALUE"""),384553.0)</f>
        <v>384553</v>
      </c>
      <c r="G79" s="185">
        <f>IFERROR(__xludf.DUMMYFUNCTION("""COMPUTED_VALUE"""),1769.0)</f>
        <v>1769</v>
      </c>
      <c r="H79" s="185">
        <f>IFERROR(__xludf.DUMMYFUNCTION("""COMPUTED_VALUE"""),413546.0)</f>
        <v>413546</v>
      </c>
      <c r="I79" s="254">
        <f>IFERROR(__xludf.DUMMYFUNCTION("""COMPUTED_VALUE"""),35.0)</f>
        <v>35</v>
      </c>
      <c r="J79" s="254">
        <f>IFERROR(__xludf.DUMMYFUNCTION("""COMPUTED_VALUE"""),71.0)</f>
        <v>71</v>
      </c>
      <c r="K79" s="254">
        <f>IFERROR(__xludf.DUMMYFUNCTION("""COMPUTED_VALUE"""),19993.0)</f>
        <v>19993</v>
      </c>
      <c r="L79" s="254">
        <f>IFERROR(__xludf.DUMMYFUNCTION("""COMPUTED_VALUE"""),1034.0)</f>
        <v>1034</v>
      </c>
      <c r="M79" s="254">
        <f>IFERROR(__xludf.DUMMYFUNCTION("""COMPUTED_VALUE"""),196386.0)</f>
        <v>196386</v>
      </c>
      <c r="N79" s="254">
        <f>IFERROR(__xludf.DUMMYFUNCTION("""COMPUTED_VALUE"""),216379.0)</f>
        <v>216379</v>
      </c>
      <c r="O79" s="254">
        <f>IFERROR(__xludf.DUMMYFUNCTION("""COMPUTED_VALUE"""),6.0)</f>
        <v>6</v>
      </c>
      <c r="P79" s="254">
        <f>IFERROR(__xludf.DUMMYFUNCTION("""COMPUTED_VALUE"""),2349.0)</f>
        <v>2349</v>
      </c>
      <c r="Q79" s="254">
        <f>IFERROR(__xludf.DUMMYFUNCTION("""COMPUTED_VALUE"""),8.0)</f>
        <v>8</v>
      </c>
      <c r="R79" s="254">
        <f>IFERROR(__xludf.DUMMYFUNCTION("""COMPUTED_VALUE"""),1944.0)</f>
        <v>1944</v>
      </c>
      <c r="S79" s="254">
        <f>IFERROR(__xludf.DUMMYFUNCTION("""COMPUTED_VALUE"""),0.0)</f>
        <v>0</v>
      </c>
      <c r="T79" s="254">
        <f>IFERROR(__xludf.DUMMYFUNCTION("""COMPUTED_VALUE"""),322.0)</f>
        <v>322</v>
      </c>
      <c r="U79" s="254">
        <f>IFERROR(__xludf.DUMMYFUNCTION("""COMPUTED_VALUE"""),83.0)</f>
        <v>83</v>
      </c>
      <c r="V79" s="254">
        <f>IFERROR(__xludf.DUMMYFUNCTION("""COMPUTED_VALUE"""),80.0)</f>
        <v>80</v>
      </c>
      <c r="W79" s="254">
        <f>IFERROR(__xludf.DUMMYFUNCTION("""COMPUTED_VALUE"""),9.0)</f>
        <v>9</v>
      </c>
      <c r="X79" s="254">
        <f>IFERROR(__xludf.DUMMYFUNCTION("""COMPUTED_VALUE"""),4.0)</f>
        <v>4</v>
      </c>
      <c r="Y79" s="254">
        <f>IFERROR(__xludf.DUMMYFUNCTION("""COMPUTED_VALUE"""),0.0)</f>
        <v>0</v>
      </c>
      <c r="Z79" s="254">
        <f>IFERROR(__xludf.DUMMYFUNCTION("""COMPUTED_VALUE"""),1036.0)</f>
        <v>1036</v>
      </c>
    </row>
    <row r="80">
      <c r="A80" s="253">
        <f>IFERROR(__xludf.DUMMYFUNCTION("""COMPUTED_VALUE"""),44053.0)</f>
        <v>44053</v>
      </c>
      <c r="B80" s="254">
        <f>IFERROR(__xludf.DUMMYFUNCTION("""COMPUTED_VALUE"""),149.0)</f>
        <v>149</v>
      </c>
      <c r="C80" s="254">
        <f>IFERROR(__xludf.DUMMYFUNCTION("""COMPUTED_VALUE"""),105.0)</f>
        <v>105</v>
      </c>
      <c r="D80" s="254">
        <f>IFERROR(__xludf.DUMMYFUNCTION("""COMPUTED_VALUE"""),29142.0)</f>
        <v>29142</v>
      </c>
      <c r="E80" s="254">
        <f>IFERROR(__xludf.DUMMYFUNCTION("""COMPUTED_VALUE"""),4587.0)</f>
        <v>4587</v>
      </c>
      <c r="F80" s="185">
        <f>IFERROR(__xludf.DUMMYFUNCTION("""COMPUTED_VALUE"""),389140.0)</f>
        <v>389140</v>
      </c>
      <c r="G80" s="185">
        <f>IFERROR(__xludf.DUMMYFUNCTION("""COMPUTED_VALUE"""),4736.0)</f>
        <v>4736</v>
      </c>
      <c r="H80" s="185">
        <f>IFERROR(__xludf.DUMMYFUNCTION("""COMPUTED_VALUE"""),418282.0)</f>
        <v>418282</v>
      </c>
      <c r="I80" s="254">
        <f>IFERROR(__xludf.DUMMYFUNCTION("""COMPUTED_VALUE"""),113.0)</f>
        <v>113</v>
      </c>
      <c r="J80" s="254">
        <f>IFERROR(__xludf.DUMMYFUNCTION("""COMPUTED_VALUE"""),80.0)</f>
        <v>80</v>
      </c>
      <c r="K80" s="254">
        <f>IFERROR(__xludf.DUMMYFUNCTION("""COMPUTED_VALUE"""),20106.0)</f>
        <v>20106</v>
      </c>
      <c r="L80" s="254">
        <f>IFERROR(__xludf.DUMMYFUNCTION("""COMPUTED_VALUE"""),1963.0)</f>
        <v>1963</v>
      </c>
      <c r="M80" s="254">
        <f>IFERROR(__xludf.DUMMYFUNCTION("""COMPUTED_VALUE"""),198349.0)</f>
        <v>198349</v>
      </c>
      <c r="N80" s="254">
        <f>IFERROR(__xludf.DUMMYFUNCTION("""COMPUTED_VALUE"""),218455.0)</f>
        <v>218455</v>
      </c>
      <c r="O80" s="254">
        <f>IFERROR(__xludf.DUMMYFUNCTION("""COMPUTED_VALUE"""),8.0)</f>
        <v>8</v>
      </c>
      <c r="P80" s="254">
        <f>IFERROR(__xludf.DUMMYFUNCTION("""COMPUTED_VALUE"""),2357.0)</f>
        <v>2357</v>
      </c>
      <c r="Q80" s="254">
        <f>IFERROR(__xludf.DUMMYFUNCTION("""COMPUTED_VALUE"""),9.0)</f>
        <v>9</v>
      </c>
      <c r="R80" s="254">
        <f>IFERROR(__xludf.DUMMYFUNCTION("""COMPUTED_VALUE"""),1953.0)</f>
        <v>1953</v>
      </c>
      <c r="S80" s="254">
        <f>IFERROR(__xludf.DUMMYFUNCTION("""COMPUTED_VALUE"""),0.0)</f>
        <v>0</v>
      </c>
      <c r="T80" s="254">
        <f>IFERROR(__xludf.DUMMYFUNCTION("""COMPUTED_VALUE"""),322.0)</f>
        <v>322</v>
      </c>
      <c r="U80" s="254">
        <f>IFERROR(__xludf.DUMMYFUNCTION("""COMPUTED_VALUE"""),82.0)</f>
        <v>82</v>
      </c>
      <c r="V80" s="254">
        <f>IFERROR(__xludf.DUMMYFUNCTION("""COMPUTED_VALUE"""),83.0)</f>
        <v>83</v>
      </c>
      <c r="W80" s="254">
        <f>IFERROR(__xludf.DUMMYFUNCTION("""COMPUTED_VALUE"""),9.0)</f>
        <v>9</v>
      </c>
      <c r="X80" s="254">
        <f>IFERROR(__xludf.DUMMYFUNCTION("""COMPUTED_VALUE"""),4.0)</f>
        <v>4</v>
      </c>
      <c r="Y80" s="254">
        <f>IFERROR(__xludf.DUMMYFUNCTION("""COMPUTED_VALUE"""),1.0)</f>
        <v>1</v>
      </c>
      <c r="Z80" s="254">
        <f>IFERROR(__xludf.DUMMYFUNCTION("""COMPUTED_VALUE"""),1037.0)</f>
        <v>1037</v>
      </c>
    </row>
    <row r="81">
      <c r="A81" s="253">
        <f>IFERROR(__xludf.DUMMYFUNCTION("""COMPUTED_VALUE"""),44054.0)</f>
        <v>44054</v>
      </c>
      <c r="B81" s="254">
        <f>IFERROR(__xludf.DUMMYFUNCTION("""COMPUTED_VALUE"""),106.0)</f>
        <v>106</v>
      </c>
      <c r="C81" s="254">
        <f>IFERROR(__xludf.DUMMYFUNCTION("""COMPUTED_VALUE"""),99.0)</f>
        <v>99</v>
      </c>
      <c r="D81" s="254">
        <f>IFERROR(__xludf.DUMMYFUNCTION("""COMPUTED_VALUE"""),29248.0)</f>
        <v>29248</v>
      </c>
      <c r="E81" s="254">
        <f>IFERROR(__xludf.DUMMYFUNCTION("""COMPUTED_VALUE"""),4334.0)</f>
        <v>4334</v>
      </c>
      <c r="F81" s="185">
        <f>IFERROR(__xludf.DUMMYFUNCTION("""COMPUTED_VALUE"""),393474.0)</f>
        <v>393474</v>
      </c>
      <c r="G81" s="185">
        <f>IFERROR(__xludf.DUMMYFUNCTION("""COMPUTED_VALUE"""),4440.0)</f>
        <v>4440</v>
      </c>
      <c r="H81" s="185">
        <f>IFERROR(__xludf.DUMMYFUNCTION("""COMPUTED_VALUE"""),422722.0)</f>
        <v>422722</v>
      </c>
      <c r="I81" s="254">
        <f>IFERROR(__xludf.DUMMYFUNCTION("""COMPUTED_VALUE"""),92.0)</f>
        <v>92</v>
      </c>
      <c r="J81" s="254">
        <f>IFERROR(__xludf.DUMMYFUNCTION("""COMPUTED_VALUE"""),80.0)</f>
        <v>80</v>
      </c>
      <c r="K81" s="254">
        <f>IFERROR(__xludf.DUMMYFUNCTION("""COMPUTED_VALUE"""),20198.0)</f>
        <v>20198</v>
      </c>
      <c r="L81" s="254">
        <f>IFERROR(__xludf.DUMMYFUNCTION("""COMPUTED_VALUE"""),2206.0)</f>
        <v>2206</v>
      </c>
      <c r="M81" s="254">
        <f>IFERROR(__xludf.DUMMYFUNCTION("""COMPUTED_VALUE"""),200555.0)</f>
        <v>200555</v>
      </c>
      <c r="N81" s="254">
        <f>IFERROR(__xludf.DUMMYFUNCTION("""COMPUTED_VALUE"""),220753.0)</f>
        <v>220753</v>
      </c>
      <c r="O81" s="254">
        <f>IFERROR(__xludf.DUMMYFUNCTION("""COMPUTED_VALUE"""),5.0)</f>
        <v>5</v>
      </c>
      <c r="P81" s="254">
        <f>IFERROR(__xludf.DUMMYFUNCTION("""COMPUTED_VALUE"""),2362.0)</f>
        <v>2362</v>
      </c>
      <c r="Q81" s="254">
        <f>IFERROR(__xludf.DUMMYFUNCTION("""COMPUTED_VALUE"""),13.0)</f>
        <v>13</v>
      </c>
      <c r="R81" s="254">
        <f>IFERROR(__xludf.DUMMYFUNCTION("""COMPUTED_VALUE"""),1966.0)</f>
        <v>1966</v>
      </c>
      <c r="S81" s="254">
        <f>IFERROR(__xludf.DUMMYFUNCTION("""COMPUTED_VALUE"""),0.0)</f>
        <v>0</v>
      </c>
      <c r="T81" s="254">
        <f>IFERROR(__xludf.DUMMYFUNCTION("""COMPUTED_VALUE"""),322.0)</f>
        <v>322</v>
      </c>
      <c r="U81" s="254">
        <f>IFERROR(__xludf.DUMMYFUNCTION("""COMPUTED_VALUE"""),74.0)</f>
        <v>74</v>
      </c>
      <c r="V81" s="254">
        <f>IFERROR(__xludf.DUMMYFUNCTION("""COMPUTED_VALUE"""),80.0)</f>
        <v>80</v>
      </c>
      <c r="W81" s="254">
        <f>IFERROR(__xludf.DUMMYFUNCTION("""COMPUTED_VALUE"""),10.0)</f>
        <v>10</v>
      </c>
      <c r="X81" s="254">
        <f>IFERROR(__xludf.DUMMYFUNCTION("""COMPUTED_VALUE"""),4.0)</f>
        <v>4</v>
      </c>
      <c r="Y81" s="254">
        <f>IFERROR(__xludf.DUMMYFUNCTION("""COMPUTED_VALUE"""),3.0)</f>
        <v>3</v>
      </c>
      <c r="Z81" s="254">
        <f>IFERROR(__xludf.DUMMYFUNCTION("""COMPUTED_VALUE"""),1040.0)</f>
        <v>1040</v>
      </c>
    </row>
    <row r="82">
      <c r="A82" s="253">
        <f>IFERROR(__xludf.DUMMYFUNCTION("""COMPUTED_VALUE"""),44055.0)</f>
        <v>44055</v>
      </c>
      <c r="B82" s="254">
        <f>IFERROR(__xludf.DUMMYFUNCTION("""COMPUTED_VALUE"""),121.0)</f>
        <v>121</v>
      </c>
      <c r="C82" s="254">
        <f>IFERROR(__xludf.DUMMYFUNCTION("""COMPUTED_VALUE"""),125.0)</f>
        <v>125</v>
      </c>
      <c r="D82" s="254">
        <f>IFERROR(__xludf.DUMMYFUNCTION("""COMPUTED_VALUE"""),29369.0)</f>
        <v>29369</v>
      </c>
      <c r="E82" s="254">
        <f>IFERROR(__xludf.DUMMYFUNCTION("""COMPUTED_VALUE"""),5188.0)</f>
        <v>5188</v>
      </c>
      <c r="F82" s="185">
        <f>IFERROR(__xludf.DUMMYFUNCTION("""COMPUTED_VALUE"""),398662.0)</f>
        <v>398662</v>
      </c>
      <c r="G82" s="185">
        <f>IFERROR(__xludf.DUMMYFUNCTION("""COMPUTED_VALUE"""),5309.0)</f>
        <v>5309</v>
      </c>
      <c r="H82" s="185">
        <f>IFERROR(__xludf.DUMMYFUNCTION("""COMPUTED_VALUE"""),428031.0)</f>
        <v>428031</v>
      </c>
      <c r="I82" s="254">
        <f>IFERROR(__xludf.DUMMYFUNCTION("""COMPUTED_VALUE"""),101.0)</f>
        <v>101</v>
      </c>
      <c r="J82" s="254">
        <f>IFERROR(__xludf.DUMMYFUNCTION("""COMPUTED_VALUE"""),102.0)</f>
        <v>102</v>
      </c>
      <c r="K82" s="254">
        <f>IFERROR(__xludf.DUMMYFUNCTION("""COMPUTED_VALUE"""),20299.0)</f>
        <v>20299</v>
      </c>
      <c r="L82" s="254">
        <f>IFERROR(__xludf.DUMMYFUNCTION("""COMPUTED_VALUE"""),2530.0)</f>
        <v>2530</v>
      </c>
      <c r="M82" s="254">
        <f>IFERROR(__xludf.DUMMYFUNCTION("""COMPUTED_VALUE"""),203085.0)</f>
        <v>203085</v>
      </c>
      <c r="N82" s="254">
        <f>IFERROR(__xludf.DUMMYFUNCTION("""COMPUTED_VALUE"""),223384.0)</f>
        <v>223384</v>
      </c>
      <c r="O82" s="254">
        <f>IFERROR(__xludf.DUMMYFUNCTION("""COMPUTED_VALUE"""),8.0)</f>
        <v>8</v>
      </c>
      <c r="P82" s="254">
        <f>IFERROR(__xludf.DUMMYFUNCTION("""COMPUTED_VALUE"""),2370.0)</f>
        <v>2370</v>
      </c>
      <c r="Q82" s="254">
        <f>IFERROR(__xludf.DUMMYFUNCTION("""COMPUTED_VALUE"""),11.0)</f>
        <v>11</v>
      </c>
      <c r="R82" s="254">
        <f>IFERROR(__xludf.DUMMYFUNCTION("""COMPUTED_VALUE"""),1977.0)</f>
        <v>1977</v>
      </c>
      <c r="S82" s="254">
        <f>IFERROR(__xludf.DUMMYFUNCTION("""COMPUTED_VALUE"""),0.0)</f>
        <v>0</v>
      </c>
      <c r="T82" s="254">
        <f>IFERROR(__xludf.DUMMYFUNCTION("""COMPUTED_VALUE"""),322.0)</f>
        <v>322</v>
      </c>
      <c r="U82" s="254">
        <f>IFERROR(__xludf.DUMMYFUNCTION("""COMPUTED_VALUE"""),71.0)</f>
        <v>71</v>
      </c>
      <c r="V82" s="254">
        <f>IFERROR(__xludf.DUMMYFUNCTION("""COMPUTED_VALUE"""),76.0)</f>
        <v>76</v>
      </c>
      <c r="W82" s="254">
        <f>IFERROR(__xludf.DUMMYFUNCTION("""COMPUTED_VALUE"""),9.0)</f>
        <v>9</v>
      </c>
      <c r="X82" s="254">
        <f>IFERROR(__xludf.DUMMYFUNCTION("""COMPUTED_VALUE"""),3.0)</f>
        <v>3</v>
      </c>
      <c r="Y82" s="254">
        <f>IFERROR(__xludf.DUMMYFUNCTION("""COMPUTED_VALUE"""),1.0)</f>
        <v>1</v>
      </c>
      <c r="Z82" s="254">
        <f>IFERROR(__xludf.DUMMYFUNCTION("""COMPUTED_VALUE"""),1041.0)</f>
        <v>1041</v>
      </c>
    </row>
    <row r="83">
      <c r="A83" s="253">
        <f>IFERROR(__xludf.DUMMYFUNCTION("""COMPUTED_VALUE"""),44056.0)</f>
        <v>44056</v>
      </c>
      <c r="B83" s="254">
        <f>IFERROR(__xludf.DUMMYFUNCTION("""COMPUTED_VALUE"""),135.0)</f>
        <v>135</v>
      </c>
      <c r="C83" s="254">
        <f>IFERROR(__xludf.DUMMYFUNCTION("""COMPUTED_VALUE"""),121.0)</f>
        <v>121</v>
      </c>
      <c r="D83" s="254">
        <f>IFERROR(__xludf.DUMMYFUNCTION("""COMPUTED_VALUE"""),29504.0)</f>
        <v>29504</v>
      </c>
      <c r="E83" s="254">
        <f>IFERROR(__xludf.DUMMYFUNCTION("""COMPUTED_VALUE"""),4196.0)</f>
        <v>4196</v>
      </c>
      <c r="F83" s="185">
        <f>IFERROR(__xludf.DUMMYFUNCTION("""COMPUTED_VALUE"""),402858.0)</f>
        <v>402858</v>
      </c>
      <c r="G83" s="185">
        <f>IFERROR(__xludf.DUMMYFUNCTION("""COMPUTED_VALUE"""),4331.0)</f>
        <v>4331</v>
      </c>
      <c r="H83" s="185">
        <f>IFERROR(__xludf.DUMMYFUNCTION("""COMPUTED_VALUE"""),432362.0)</f>
        <v>432362</v>
      </c>
      <c r="I83" s="254">
        <f>IFERROR(__xludf.DUMMYFUNCTION("""COMPUTED_VALUE"""),95.0)</f>
        <v>95</v>
      </c>
      <c r="J83" s="254">
        <f>IFERROR(__xludf.DUMMYFUNCTION("""COMPUTED_VALUE"""),96.0)</f>
        <v>96</v>
      </c>
      <c r="K83" s="254">
        <f>IFERROR(__xludf.DUMMYFUNCTION("""COMPUTED_VALUE"""),20394.0)</f>
        <v>20394</v>
      </c>
      <c r="L83" s="254">
        <f>IFERROR(__xludf.DUMMYFUNCTION("""COMPUTED_VALUE"""),1844.0)</f>
        <v>1844</v>
      </c>
      <c r="M83" s="254">
        <f>IFERROR(__xludf.DUMMYFUNCTION("""COMPUTED_VALUE"""),204929.0)</f>
        <v>204929</v>
      </c>
      <c r="N83" s="254">
        <f>IFERROR(__xludf.DUMMYFUNCTION("""COMPUTED_VALUE"""),225323.0)</f>
        <v>225323</v>
      </c>
      <c r="O83" s="254">
        <f>IFERROR(__xludf.DUMMYFUNCTION("""COMPUTED_VALUE"""),13.0)</f>
        <v>13</v>
      </c>
      <c r="P83" s="254">
        <f>IFERROR(__xludf.DUMMYFUNCTION("""COMPUTED_VALUE"""),2383.0)</f>
        <v>2383</v>
      </c>
      <c r="Q83" s="254">
        <f>IFERROR(__xludf.DUMMYFUNCTION("""COMPUTED_VALUE"""),12.0)</f>
        <v>12</v>
      </c>
      <c r="R83" s="254">
        <f>IFERROR(__xludf.DUMMYFUNCTION("""COMPUTED_VALUE"""),1989.0)</f>
        <v>1989</v>
      </c>
      <c r="S83" s="254">
        <f>IFERROR(__xludf.DUMMYFUNCTION("""COMPUTED_VALUE"""),0.0)</f>
        <v>0</v>
      </c>
      <c r="T83" s="254">
        <f>IFERROR(__xludf.DUMMYFUNCTION("""COMPUTED_VALUE"""),322.0)</f>
        <v>322</v>
      </c>
      <c r="U83" s="254">
        <f>IFERROR(__xludf.DUMMYFUNCTION("""COMPUTED_VALUE"""),72.0)</f>
        <v>72</v>
      </c>
      <c r="V83" s="254">
        <f>IFERROR(__xludf.DUMMYFUNCTION("""COMPUTED_VALUE"""),72.0)</f>
        <v>72</v>
      </c>
      <c r="W83" s="254">
        <f>IFERROR(__xludf.DUMMYFUNCTION("""COMPUTED_VALUE"""),11.0)</f>
        <v>11</v>
      </c>
      <c r="X83" s="254">
        <f>IFERROR(__xludf.DUMMYFUNCTION("""COMPUTED_VALUE"""),3.0)</f>
        <v>3</v>
      </c>
      <c r="Y83" s="254">
        <f>IFERROR(__xludf.DUMMYFUNCTION("""COMPUTED_VALUE"""),0.0)</f>
        <v>0</v>
      </c>
      <c r="Z83" s="254">
        <f>IFERROR(__xludf.DUMMYFUNCTION("""COMPUTED_VALUE"""),1041.0)</f>
        <v>1041</v>
      </c>
    </row>
    <row r="84">
      <c r="A84" s="253">
        <f>IFERROR(__xludf.DUMMYFUNCTION("""COMPUTED_VALUE"""),44057.0)</f>
        <v>44057</v>
      </c>
      <c r="B84" s="254">
        <f>IFERROR(__xludf.DUMMYFUNCTION("""COMPUTED_VALUE"""),145.0)</f>
        <v>145</v>
      </c>
      <c r="C84" s="254">
        <f>IFERROR(__xludf.DUMMYFUNCTION("""COMPUTED_VALUE"""),134.0)</f>
        <v>134</v>
      </c>
      <c r="D84" s="254">
        <f>IFERROR(__xludf.DUMMYFUNCTION("""COMPUTED_VALUE"""),29649.0)</f>
        <v>29649</v>
      </c>
      <c r="E84" s="254">
        <f>IFERROR(__xludf.DUMMYFUNCTION("""COMPUTED_VALUE"""),5498.0)</f>
        <v>5498</v>
      </c>
      <c r="F84" s="185">
        <f>IFERROR(__xludf.DUMMYFUNCTION("""COMPUTED_VALUE"""),408356.0)</f>
        <v>408356</v>
      </c>
      <c r="G84" s="185">
        <f>IFERROR(__xludf.DUMMYFUNCTION("""COMPUTED_VALUE"""),5643.0)</f>
        <v>5643</v>
      </c>
      <c r="H84" s="185">
        <f>IFERROR(__xludf.DUMMYFUNCTION("""COMPUTED_VALUE"""),438005.0)</f>
        <v>438005</v>
      </c>
      <c r="I84" s="254">
        <f>IFERROR(__xludf.DUMMYFUNCTION("""COMPUTED_VALUE"""),98.0)</f>
        <v>98</v>
      </c>
      <c r="J84" s="254">
        <f>IFERROR(__xludf.DUMMYFUNCTION("""COMPUTED_VALUE"""),98.0)</f>
        <v>98</v>
      </c>
      <c r="K84" s="254">
        <f>IFERROR(__xludf.DUMMYFUNCTION("""COMPUTED_VALUE"""),20492.0)</f>
        <v>20492</v>
      </c>
      <c r="L84" s="254">
        <f>IFERROR(__xludf.DUMMYFUNCTION("""COMPUTED_VALUE"""),1916.0)</f>
        <v>1916</v>
      </c>
      <c r="M84" s="254">
        <f>IFERROR(__xludf.DUMMYFUNCTION("""COMPUTED_VALUE"""),206845.0)</f>
        <v>206845</v>
      </c>
      <c r="N84" s="254">
        <f>IFERROR(__xludf.DUMMYFUNCTION("""COMPUTED_VALUE"""),227337.0)</f>
        <v>227337</v>
      </c>
      <c r="O84" s="254">
        <f>IFERROR(__xludf.DUMMYFUNCTION("""COMPUTED_VALUE"""),13.0)</f>
        <v>13</v>
      </c>
      <c r="P84" s="254">
        <f>IFERROR(__xludf.DUMMYFUNCTION("""COMPUTED_VALUE"""),2396.0)</f>
        <v>2396</v>
      </c>
      <c r="Q84" s="254">
        <f>IFERROR(__xludf.DUMMYFUNCTION("""COMPUTED_VALUE"""),11.0)</f>
        <v>11</v>
      </c>
      <c r="R84" s="254">
        <f>IFERROR(__xludf.DUMMYFUNCTION("""COMPUTED_VALUE"""),2000.0)</f>
        <v>2000</v>
      </c>
      <c r="S84" s="254">
        <f>IFERROR(__xludf.DUMMYFUNCTION("""COMPUTED_VALUE"""),0.0)</f>
        <v>0</v>
      </c>
      <c r="T84" s="254">
        <f>IFERROR(__xludf.DUMMYFUNCTION("""COMPUTED_VALUE"""),322.0)</f>
        <v>322</v>
      </c>
      <c r="U84" s="254">
        <f>IFERROR(__xludf.DUMMYFUNCTION("""COMPUTED_VALUE"""),74.0)</f>
        <v>74</v>
      </c>
      <c r="V84" s="254">
        <f>IFERROR(__xludf.DUMMYFUNCTION("""COMPUTED_VALUE"""),72.0)</f>
        <v>72</v>
      </c>
      <c r="W84" s="254">
        <f>IFERROR(__xludf.DUMMYFUNCTION("""COMPUTED_VALUE"""),11.0)</f>
        <v>11</v>
      </c>
      <c r="X84" s="254">
        <f>IFERROR(__xludf.DUMMYFUNCTION("""COMPUTED_VALUE"""),4.0)</f>
        <v>4</v>
      </c>
      <c r="Y84" s="254">
        <f>IFERROR(__xludf.DUMMYFUNCTION("""COMPUTED_VALUE"""),3.0)</f>
        <v>3</v>
      </c>
      <c r="Z84" s="254">
        <f>IFERROR(__xludf.DUMMYFUNCTION("""COMPUTED_VALUE"""),1044.0)</f>
        <v>1044</v>
      </c>
    </row>
    <row r="85">
      <c r="A85" s="253">
        <f>IFERROR(__xludf.DUMMYFUNCTION("""COMPUTED_VALUE"""),44058.0)</f>
        <v>44058</v>
      </c>
      <c r="B85" s="254">
        <f>IFERROR(__xludf.DUMMYFUNCTION("""COMPUTED_VALUE"""),106.0)</f>
        <v>106</v>
      </c>
      <c r="C85" s="254">
        <f>IFERROR(__xludf.DUMMYFUNCTION("""COMPUTED_VALUE"""),129.0)</f>
        <v>129</v>
      </c>
      <c r="D85" s="254">
        <f>IFERROR(__xludf.DUMMYFUNCTION("""COMPUTED_VALUE"""),29755.0)</f>
        <v>29755</v>
      </c>
      <c r="E85" s="254">
        <f>IFERROR(__xludf.DUMMYFUNCTION("""COMPUTED_VALUE"""),4534.0)</f>
        <v>4534</v>
      </c>
      <c r="F85" s="185">
        <f>IFERROR(__xludf.DUMMYFUNCTION("""COMPUTED_VALUE"""),412890.0)</f>
        <v>412890</v>
      </c>
      <c r="G85" s="185">
        <f>IFERROR(__xludf.DUMMYFUNCTION("""COMPUTED_VALUE"""),4640.0)</f>
        <v>4640</v>
      </c>
      <c r="H85" s="185">
        <f>IFERROR(__xludf.DUMMYFUNCTION("""COMPUTED_VALUE"""),442645.0)</f>
        <v>442645</v>
      </c>
      <c r="I85" s="254">
        <f>IFERROR(__xludf.DUMMYFUNCTION("""COMPUTED_VALUE"""),88.0)</f>
        <v>88</v>
      </c>
      <c r="J85" s="254">
        <f>IFERROR(__xludf.DUMMYFUNCTION("""COMPUTED_VALUE"""),94.0)</f>
        <v>94</v>
      </c>
      <c r="K85" s="254">
        <f>IFERROR(__xludf.DUMMYFUNCTION("""COMPUTED_VALUE"""),20580.0)</f>
        <v>20580</v>
      </c>
      <c r="L85" s="254">
        <f>IFERROR(__xludf.DUMMYFUNCTION("""COMPUTED_VALUE"""),1636.0)</f>
        <v>1636</v>
      </c>
      <c r="M85" s="254">
        <f>IFERROR(__xludf.DUMMYFUNCTION("""COMPUTED_VALUE"""),208481.0)</f>
        <v>208481</v>
      </c>
      <c r="N85" s="254">
        <f>IFERROR(__xludf.DUMMYFUNCTION("""COMPUTED_VALUE"""),229061.0)</f>
        <v>229061</v>
      </c>
      <c r="O85" s="254">
        <f>IFERROR(__xludf.DUMMYFUNCTION("""COMPUTED_VALUE"""),9.0)</f>
        <v>9</v>
      </c>
      <c r="P85" s="254">
        <f>IFERROR(__xludf.DUMMYFUNCTION("""COMPUTED_VALUE"""),2405.0)</f>
        <v>2405</v>
      </c>
      <c r="Q85" s="254">
        <f>IFERROR(__xludf.DUMMYFUNCTION("""COMPUTED_VALUE"""),11.0)</f>
        <v>11</v>
      </c>
      <c r="R85" s="254">
        <f>IFERROR(__xludf.DUMMYFUNCTION("""COMPUTED_VALUE"""),2011.0)</f>
        <v>2011</v>
      </c>
      <c r="S85" s="254">
        <f>IFERROR(__xludf.DUMMYFUNCTION("""COMPUTED_VALUE"""),1.0)</f>
        <v>1</v>
      </c>
      <c r="T85" s="254">
        <f>IFERROR(__xludf.DUMMYFUNCTION("""COMPUTED_VALUE"""),323.0)</f>
        <v>323</v>
      </c>
      <c r="U85" s="254">
        <f>IFERROR(__xludf.DUMMYFUNCTION("""COMPUTED_VALUE"""),71.0)</f>
        <v>71</v>
      </c>
      <c r="V85" s="254">
        <f>IFERROR(__xludf.DUMMYFUNCTION("""COMPUTED_VALUE"""),72.0)</f>
        <v>72</v>
      </c>
      <c r="W85" s="254">
        <f>IFERROR(__xludf.DUMMYFUNCTION("""COMPUTED_VALUE"""),11.0)</f>
        <v>11</v>
      </c>
      <c r="X85" s="254">
        <f>IFERROR(__xludf.DUMMYFUNCTION("""COMPUTED_VALUE"""),5.0)</f>
        <v>5</v>
      </c>
      <c r="Y85" s="254">
        <f>IFERROR(__xludf.DUMMYFUNCTION("""COMPUTED_VALUE"""),0.0)</f>
        <v>0</v>
      </c>
      <c r="Z85" s="254">
        <f>IFERROR(__xludf.DUMMYFUNCTION("""COMPUTED_VALUE"""),1044.0)</f>
        <v>1044</v>
      </c>
    </row>
    <row r="86">
      <c r="A86" s="253">
        <f>IFERROR(__xludf.DUMMYFUNCTION("""COMPUTED_VALUE"""),44059.0)</f>
        <v>44059</v>
      </c>
      <c r="B86" s="254">
        <f>IFERROR(__xludf.DUMMYFUNCTION("""COMPUTED_VALUE"""),83.0)</f>
        <v>83</v>
      </c>
      <c r="C86" s="254">
        <f>IFERROR(__xludf.DUMMYFUNCTION("""COMPUTED_VALUE"""),111.0)</f>
        <v>111</v>
      </c>
      <c r="D86" s="254">
        <f>IFERROR(__xludf.DUMMYFUNCTION("""COMPUTED_VALUE"""),29838.0)</f>
        <v>29838</v>
      </c>
      <c r="E86" s="254">
        <f>IFERROR(__xludf.DUMMYFUNCTION("""COMPUTED_VALUE"""),2477.0)</f>
        <v>2477</v>
      </c>
      <c r="F86" s="185">
        <f>IFERROR(__xludf.DUMMYFUNCTION("""COMPUTED_VALUE"""),415367.0)</f>
        <v>415367</v>
      </c>
      <c r="G86" s="185">
        <f>IFERROR(__xludf.DUMMYFUNCTION("""COMPUTED_VALUE"""),2560.0)</f>
        <v>2560</v>
      </c>
      <c r="H86" s="185">
        <f>IFERROR(__xludf.DUMMYFUNCTION("""COMPUTED_VALUE"""),445205.0)</f>
        <v>445205</v>
      </c>
      <c r="I86" s="254">
        <f>IFERROR(__xludf.DUMMYFUNCTION("""COMPUTED_VALUE"""),70.0)</f>
        <v>70</v>
      </c>
      <c r="J86" s="254">
        <f>IFERROR(__xludf.DUMMYFUNCTION("""COMPUTED_VALUE"""),85.0)</f>
        <v>85</v>
      </c>
      <c r="K86" s="254">
        <f>IFERROR(__xludf.DUMMYFUNCTION("""COMPUTED_VALUE"""),20650.0)</f>
        <v>20650</v>
      </c>
      <c r="L86" s="254">
        <f>IFERROR(__xludf.DUMMYFUNCTION("""COMPUTED_VALUE"""),926.0)</f>
        <v>926</v>
      </c>
      <c r="M86" s="254">
        <f>IFERROR(__xludf.DUMMYFUNCTION("""COMPUTED_VALUE"""),209407.0)</f>
        <v>209407</v>
      </c>
      <c r="N86" s="254">
        <f>IFERROR(__xludf.DUMMYFUNCTION("""COMPUTED_VALUE"""),230057.0)</f>
        <v>230057</v>
      </c>
      <c r="O86" s="254">
        <f>IFERROR(__xludf.DUMMYFUNCTION("""COMPUTED_VALUE"""),6.0)</f>
        <v>6</v>
      </c>
      <c r="P86" s="254">
        <f>IFERROR(__xludf.DUMMYFUNCTION("""COMPUTED_VALUE"""),2411.0)</f>
        <v>2411</v>
      </c>
      <c r="Q86" s="254">
        <f>IFERROR(__xludf.DUMMYFUNCTION("""COMPUTED_VALUE"""),5.0)</f>
        <v>5</v>
      </c>
      <c r="R86" s="254">
        <f>IFERROR(__xludf.DUMMYFUNCTION("""COMPUTED_VALUE"""),2016.0)</f>
        <v>2016</v>
      </c>
      <c r="S86" s="254">
        <f>IFERROR(__xludf.DUMMYFUNCTION("""COMPUTED_VALUE"""),4.0)</f>
        <v>4</v>
      </c>
      <c r="T86" s="254">
        <f>IFERROR(__xludf.DUMMYFUNCTION("""COMPUTED_VALUE"""),327.0)</f>
        <v>327</v>
      </c>
      <c r="U86" s="254">
        <f>IFERROR(__xludf.DUMMYFUNCTION("""COMPUTED_VALUE"""),68.0)</f>
        <v>68</v>
      </c>
      <c r="V86" s="254">
        <f>IFERROR(__xludf.DUMMYFUNCTION("""COMPUTED_VALUE"""),71.0)</f>
        <v>71</v>
      </c>
      <c r="W86" s="254">
        <f>IFERROR(__xludf.DUMMYFUNCTION("""COMPUTED_VALUE"""),8.0)</f>
        <v>8</v>
      </c>
      <c r="X86" s="254">
        <f>IFERROR(__xludf.DUMMYFUNCTION("""COMPUTED_VALUE"""),4.0)</f>
        <v>4</v>
      </c>
      <c r="Y86" s="254">
        <f>IFERROR(__xludf.DUMMYFUNCTION("""COMPUTED_VALUE"""),6.0)</f>
        <v>6</v>
      </c>
      <c r="Z86" s="254">
        <f>IFERROR(__xludf.DUMMYFUNCTION("""COMPUTED_VALUE"""),1050.0)</f>
        <v>1050</v>
      </c>
    </row>
    <row r="87">
      <c r="A87" s="253">
        <f>IFERROR(__xludf.DUMMYFUNCTION("""COMPUTED_VALUE"""),44060.0)</f>
        <v>44060</v>
      </c>
      <c r="B87" s="254">
        <f>IFERROR(__xludf.DUMMYFUNCTION("""COMPUTED_VALUE"""),106.0)</f>
        <v>106</v>
      </c>
      <c r="C87" s="254">
        <f>IFERROR(__xludf.DUMMYFUNCTION("""COMPUTED_VALUE"""),98.0)</f>
        <v>98</v>
      </c>
      <c r="D87" s="254">
        <f>IFERROR(__xludf.DUMMYFUNCTION("""COMPUTED_VALUE"""),29944.0)</f>
        <v>29944</v>
      </c>
      <c r="E87" s="254">
        <f>IFERROR(__xludf.DUMMYFUNCTION("""COMPUTED_VALUE"""),4575.0)</f>
        <v>4575</v>
      </c>
      <c r="F87" s="185">
        <f>IFERROR(__xludf.DUMMYFUNCTION("""COMPUTED_VALUE"""),419942.0)</f>
        <v>419942</v>
      </c>
      <c r="G87" s="185">
        <f>IFERROR(__xludf.DUMMYFUNCTION("""COMPUTED_VALUE"""),4681.0)</f>
        <v>4681</v>
      </c>
      <c r="H87" s="185">
        <f>IFERROR(__xludf.DUMMYFUNCTION("""COMPUTED_VALUE"""),449886.0)</f>
        <v>449886</v>
      </c>
      <c r="I87" s="254">
        <f>IFERROR(__xludf.DUMMYFUNCTION("""COMPUTED_VALUE"""),87.0)</f>
        <v>87</v>
      </c>
      <c r="J87" s="254">
        <f>IFERROR(__xludf.DUMMYFUNCTION("""COMPUTED_VALUE"""),82.0)</f>
        <v>82</v>
      </c>
      <c r="K87" s="254">
        <f>IFERROR(__xludf.DUMMYFUNCTION("""COMPUTED_VALUE"""),20737.0)</f>
        <v>20737</v>
      </c>
      <c r="L87" s="254">
        <f>IFERROR(__xludf.DUMMYFUNCTION("""COMPUTED_VALUE"""),2322.0)</f>
        <v>2322</v>
      </c>
      <c r="M87" s="254">
        <f>IFERROR(__xludf.DUMMYFUNCTION("""COMPUTED_VALUE"""),211729.0)</f>
        <v>211729</v>
      </c>
      <c r="N87" s="254">
        <f>IFERROR(__xludf.DUMMYFUNCTION("""COMPUTED_VALUE"""),232466.0)</f>
        <v>232466</v>
      </c>
      <c r="O87" s="254">
        <f>IFERROR(__xludf.DUMMYFUNCTION("""COMPUTED_VALUE"""),8.0)</f>
        <v>8</v>
      </c>
      <c r="P87" s="254">
        <f>IFERROR(__xludf.DUMMYFUNCTION("""COMPUTED_VALUE"""),2419.0)</f>
        <v>2419</v>
      </c>
      <c r="Q87" s="254">
        <f>IFERROR(__xludf.DUMMYFUNCTION("""COMPUTED_VALUE"""),6.0)</f>
        <v>6</v>
      </c>
      <c r="R87" s="254">
        <f>IFERROR(__xludf.DUMMYFUNCTION("""COMPUTED_VALUE"""),2022.0)</f>
        <v>2022</v>
      </c>
      <c r="S87" s="254">
        <f>IFERROR(__xludf.DUMMYFUNCTION("""COMPUTED_VALUE"""),0.0)</f>
        <v>0</v>
      </c>
      <c r="T87" s="254">
        <f>IFERROR(__xludf.DUMMYFUNCTION("""COMPUTED_VALUE"""),327.0)</f>
        <v>327</v>
      </c>
      <c r="U87" s="254">
        <f>IFERROR(__xludf.DUMMYFUNCTION("""COMPUTED_VALUE"""),70.0)</f>
        <v>70</v>
      </c>
      <c r="V87" s="254">
        <f>IFERROR(__xludf.DUMMYFUNCTION("""COMPUTED_VALUE"""),70.0)</f>
        <v>70</v>
      </c>
      <c r="W87" s="254">
        <f>IFERROR(__xludf.DUMMYFUNCTION("""COMPUTED_VALUE"""),8.0)</f>
        <v>8</v>
      </c>
      <c r="X87" s="254">
        <f>IFERROR(__xludf.DUMMYFUNCTION("""COMPUTED_VALUE"""),5.0)</f>
        <v>5</v>
      </c>
      <c r="Y87" s="254">
        <f>IFERROR(__xludf.DUMMYFUNCTION("""COMPUTED_VALUE"""),2.0)</f>
        <v>2</v>
      </c>
      <c r="Z87" s="254">
        <f>IFERROR(__xludf.DUMMYFUNCTION("""COMPUTED_VALUE"""),1052.0)</f>
        <v>1052</v>
      </c>
    </row>
    <row r="88">
      <c r="A88" s="253">
        <f>IFERROR(__xludf.DUMMYFUNCTION("""COMPUTED_VALUE"""),44061.0)</f>
        <v>44061</v>
      </c>
      <c r="B88" s="254">
        <f>IFERROR(__xludf.DUMMYFUNCTION("""COMPUTED_VALUE"""),128.0)</f>
        <v>128</v>
      </c>
      <c r="C88" s="254">
        <f>IFERROR(__xludf.DUMMYFUNCTION("""COMPUTED_VALUE"""),106.0)</f>
        <v>106</v>
      </c>
      <c r="D88" s="254">
        <f>IFERROR(__xludf.DUMMYFUNCTION("""COMPUTED_VALUE"""),30072.0)</f>
        <v>30072</v>
      </c>
      <c r="E88" s="254">
        <f>IFERROR(__xludf.DUMMYFUNCTION("""COMPUTED_VALUE"""),4911.0)</f>
        <v>4911</v>
      </c>
      <c r="F88" s="185">
        <f>IFERROR(__xludf.DUMMYFUNCTION("""COMPUTED_VALUE"""),424853.0)</f>
        <v>424853</v>
      </c>
      <c r="G88" s="185">
        <f>IFERROR(__xludf.DUMMYFUNCTION("""COMPUTED_VALUE"""),5039.0)</f>
        <v>5039</v>
      </c>
      <c r="H88" s="185">
        <f>IFERROR(__xludf.DUMMYFUNCTION("""COMPUTED_VALUE"""),454925.0)</f>
        <v>454925</v>
      </c>
      <c r="I88" s="254">
        <f>IFERROR(__xludf.DUMMYFUNCTION("""COMPUTED_VALUE"""),94.0)</f>
        <v>94</v>
      </c>
      <c r="J88" s="254">
        <f>IFERROR(__xludf.DUMMYFUNCTION("""COMPUTED_VALUE"""),84.0)</f>
        <v>84</v>
      </c>
      <c r="K88" s="254">
        <f>IFERROR(__xludf.DUMMYFUNCTION("""COMPUTED_VALUE"""),20831.0)</f>
        <v>20831</v>
      </c>
      <c r="L88" s="254">
        <f>IFERROR(__xludf.DUMMYFUNCTION("""COMPUTED_VALUE"""),2671.0)</f>
        <v>2671</v>
      </c>
      <c r="M88" s="254">
        <f>IFERROR(__xludf.DUMMYFUNCTION("""COMPUTED_VALUE"""),214400.0)</f>
        <v>214400</v>
      </c>
      <c r="N88" s="254">
        <f>IFERROR(__xludf.DUMMYFUNCTION("""COMPUTED_VALUE"""),235231.0)</f>
        <v>235231</v>
      </c>
      <c r="O88" s="254">
        <f>IFERROR(__xludf.DUMMYFUNCTION("""COMPUTED_VALUE"""),11.0)</f>
        <v>11</v>
      </c>
      <c r="P88" s="254">
        <f>IFERROR(__xludf.DUMMYFUNCTION("""COMPUTED_VALUE"""),2430.0)</f>
        <v>2430</v>
      </c>
      <c r="Q88" s="254">
        <f>IFERROR(__xludf.DUMMYFUNCTION("""COMPUTED_VALUE"""),8.0)</f>
        <v>8</v>
      </c>
      <c r="R88" s="254">
        <f>IFERROR(__xludf.DUMMYFUNCTION("""COMPUTED_VALUE"""),2030.0)</f>
        <v>2030</v>
      </c>
      <c r="S88" s="254">
        <f>IFERROR(__xludf.DUMMYFUNCTION("""COMPUTED_VALUE"""),1.0)</f>
        <v>1</v>
      </c>
      <c r="T88" s="254">
        <f>IFERROR(__xludf.DUMMYFUNCTION("""COMPUTED_VALUE"""),328.0)</f>
        <v>328</v>
      </c>
      <c r="U88" s="254">
        <f>IFERROR(__xludf.DUMMYFUNCTION("""COMPUTED_VALUE"""),72.0)</f>
        <v>72</v>
      </c>
      <c r="V88" s="254">
        <f>IFERROR(__xludf.DUMMYFUNCTION("""COMPUTED_VALUE"""),70.0)</f>
        <v>70</v>
      </c>
      <c r="W88" s="254">
        <f>IFERROR(__xludf.DUMMYFUNCTION("""COMPUTED_VALUE"""),8.0)</f>
        <v>8</v>
      </c>
      <c r="X88" s="254">
        <f>IFERROR(__xludf.DUMMYFUNCTION("""COMPUTED_VALUE"""),4.0)</f>
        <v>4</v>
      </c>
      <c r="Y88" s="254">
        <f>IFERROR(__xludf.DUMMYFUNCTION("""COMPUTED_VALUE"""),5.0)</f>
        <v>5</v>
      </c>
      <c r="Z88" s="254">
        <f>IFERROR(__xludf.DUMMYFUNCTION("""COMPUTED_VALUE"""),1057.0)</f>
        <v>1057</v>
      </c>
    </row>
    <row r="89">
      <c r="A89" s="253">
        <f>IFERROR(__xludf.DUMMYFUNCTION("""COMPUTED_VALUE"""),44062.0)</f>
        <v>44062</v>
      </c>
      <c r="B89" s="254">
        <f>IFERROR(__xludf.DUMMYFUNCTION("""COMPUTED_VALUE"""),113.0)</f>
        <v>113</v>
      </c>
      <c r="C89" s="254">
        <f>IFERROR(__xludf.DUMMYFUNCTION("""COMPUTED_VALUE"""),116.0)</f>
        <v>116</v>
      </c>
      <c r="D89" s="254">
        <f>IFERROR(__xludf.DUMMYFUNCTION("""COMPUTED_VALUE"""),30185.0)</f>
        <v>30185</v>
      </c>
      <c r="E89" s="254">
        <f>IFERROR(__xludf.DUMMYFUNCTION("""COMPUTED_VALUE"""),5077.0)</f>
        <v>5077</v>
      </c>
      <c r="F89" s="185">
        <f>IFERROR(__xludf.DUMMYFUNCTION("""COMPUTED_VALUE"""),429930.0)</f>
        <v>429930</v>
      </c>
      <c r="G89" s="185">
        <f>IFERROR(__xludf.DUMMYFUNCTION("""COMPUTED_VALUE"""),5190.0)</f>
        <v>5190</v>
      </c>
      <c r="H89" s="185">
        <f>IFERROR(__xludf.DUMMYFUNCTION("""COMPUTED_VALUE"""),460115.0)</f>
        <v>460115</v>
      </c>
      <c r="I89" s="254">
        <f>IFERROR(__xludf.DUMMYFUNCTION("""COMPUTED_VALUE"""),90.0)</f>
        <v>90</v>
      </c>
      <c r="J89" s="254">
        <f>IFERROR(__xludf.DUMMYFUNCTION("""COMPUTED_VALUE"""),90.0)</f>
        <v>90</v>
      </c>
      <c r="K89" s="254">
        <f>IFERROR(__xludf.DUMMYFUNCTION("""COMPUTED_VALUE"""),20921.0)</f>
        <v>20921</v>
      </c>
      <c r="L89" s="254">
        <f>IFERROR(__xludf.DUMMYFUNCTION("""COMPUTED_VALUE"""),2566.0)</f>
        <v>2566</v>
      </c>
      <c r="M89" s="254">
        <f>IFERROR(__xludf.DUMMYFUNCTION("""COMPUTED_VALUE"""),216966.0)</f>
        <v>216966</v>
      </c>
      <c r="N89" s="254">
        <f>IFERROR(__xludf.DUMMYFUNCTION("""COMPUTED_VALUE"""),237887.0)</f>
        <v>237887</v>
      </c>
      <c r="O89" s="254">
        <f>IFERROR(__xludf.DUMMYFUNCTION("""COMPUTED_VALUE"""),8.0)</f>
        <v>8</v>
      </c>
      <c r="P89" s="254">
        <f>IFERROR(__xludf.DUMMYFUNCTION("""COMPUTED_VALUE"""),2438.0)</f>
        <v>2438</v>
      </c>
      <c r="Q89" s="254">
        <f>IFERROR(__xludf.DUMMYFUNCTION("""COMPUTED_VALUE"""),9.0)</f>
        <v>9</v>
      </c>
      <c r="R89" s="254">
        <f>IFERROR(__xludf.DUMMYFUNCTION("""COMPUTED_VALUE"""),2039.0)</f>
        <v>2039</v>
      </c>
      <c r="S89" s="254">
        <f>IFERROR(__xludf.DUMMYFUNCTION("""COMPUTED_VALUE"""),1.0)</f>
        <v>1</v>
      </c>
      <c r="T89" s="254">
        <f>IFERROR(__xludf.DUMMYFUNCTION("""COMPUTED_VALUE"""),329.0)</f>
        <v>329</v>
      </c>
      <c r="U89" s="254">
        <f>IFERROR(__xludf.DUMMYFUNCTION("""COMPUTED_VALUE"""),70.0)</f>
        <v>70</v>
      </c>
      <c r="V89" s="254">
        <f>IFERROR(__xludf.DUMMYFUNCTION("""COMPUTED_VALUE"""),71.0)</f>
        <v>71</v>
      </c>
      <c r="W89" s="254">
        <f>IFERROR(__xludf.DUMMYFUNCTION("""COMPUTED_VALUE"""),9.0)</f>
        <v>9</v>
      </c>
      <c r="X89" s="254">
        <f>IFERROR(__xludf.DUMMYFUNCTION("""COMPUTED_VALUE"""),5.0)</f>
        <v>5</v>
      </c>
      <c r="Y89" s="254">
        <f>IFERROR(__xludf.DUMMYFUNCTION("""COMPUTED_VALUE"""),0.0)</f>
        <v>0</v>
      </c>
      <c r="Z89" s="254">
        <f>IFERROR(__xludf.DUMMYFUNCTION("""COMPUTED_VALUE"""),1057.0)</f>
        <v>1057</v>
      </c>
    </row>
    <row r="90">
      <c r="A90" s="253">
        <f>IFERROR(__xludf.DUMMYFUNCTION("""COMPUTED_VALUE"""),44063.0)</f>
        <v>44063</v>
      </c>
      <c r="B90" s="254">
        <f>IFERROR(__xludf.DUMMYFUNCTION("""COMPUTED_VALUE"""),173.0)</f>
        <v>173</v>
      </c>
      <c r="C90" s="254">
        <f>IFERROR(__xludf.DUMMYFUNCTION("""COMPUTED_VALUE"""),138.0)</f>
        <v>138</v>
      </c>
      <c r="D90" s="254">
        <f>IFERROR(__xludf.DUMMYFUNCTION("""COMPUTED_VALUE"""),30358.0)</f>
        <v>30358</v>
      </c>
      <c r="E90" s="254">
        <f>IFERROR(__xludf.DUMMYFUNCTION("""COMPUTED_VALUE"""),7411.0)</f>
        <v>7411</v>
      </c>
      <c r="F90" s="185">
        <f>IFERROR(__xludf.DUMMYFUNCTION("""COMPUTED_VALUE"""),437341.0)</f>
        <v>437341</v>
      </c>
      <c r="G90" s="185">
        <f>IFERROR(__xludf.DUMMYFUNCTION("""COMPUTED_VALUE"""),7584.0)</f>
        <v>7584</v>
      </c>
      <c r="H90" s="185">
        <f>IFERROR(__xludf.DUMMYFUNCTION("""COMPUTED_VALUE"""),467699.0)</f>
        <v>467699</v>
      </c>
      <c r="I90" s="254">
        <f>IFERROR(__xludf.DUMMYFUNCTION("""COMPUTED_VALUE"""),139.0)</f>
        <v>139</v>
      </c>
      <c r="J90" s="254">
        <f>IFERROR(__xludf.DUMMYFUNCTION("""COMPUTED_VALUE"""),108.0)</f>
        <v>108</v>
      </c>
      <c r="K90" s="254">
        <f>IFERROR(__xludf.DUMMYFUNCTION("""COMPUTED_VALUE"""),21060.0)</f>
        <v>21060</v>
      </c>
      <c r="L90" s="254">
        <f>IFERROR(__xludf.DUMMYFUNCTION("""COMPUTED_VALUE"""),3426.0)</f>
        <v>3426</v>
      </c>
      <c r="M90" s="254">
        <f>IFERROR(__xludf.DUMMYFUNCTION("""COMPUTED_VALUE"""),220392.0)</f>
        <v>220392</v>
      </c>
      <c r="N90" s="254">
        <f>IFERROR(__xludf.DUMMYFUNCTION("""COMPUTED_VALUE"""),241452.0)</f>
        <v>241452</v>
      </c>
      <c r="O90" s="254">
        <f>IFERROR(__xludf.DUMMYFUNCTION("""COMPUTED_VALUE"""),12.0)</f>
        <v>12</v>
      </c>
      <c r="P90" s="254">
        <f>IFERROR(__xludf.DUMMYFUNCTION("""COMPUTED_VALUE"""),2450.0)</f>
        <v>2450</v>
      </c>
      <c r="Q90" s="254">
        <f>IFERROR(__xludf.DUMMYFUNCTION("""COMPUTED_VALUE"""),6.0)</f>
        <v>6</v>
      </c>
      <c r="R90" s="254">
        <f>IFERROR(__xludf.DUMMYFUNCTION("""COMPUTED_VALUE"""),2045.0)</f>
        <v>2045</v>
      </c>
      <c r="S90" s="254">
        <f>IFERROR(__xludf.DUMMYFUNCTION("""COMPUTED_VALUE"""),2.0)</f>
        <v>2</v>
      </c>
      <c r="T90" s="254">
        <f>IFERROR(__xludf.DUMMYFUNCTION("""COMPUTED_VALUE"""),331.0)</f>
        <v>331</v>
      </c>
      <c r="U90" s="254">
        <f>IFERROR(__xludf.DUMMYFUNCTION("""COMPUTED_VALUE"""),74.0)</f>
        <v>74</v>
      </c>
      <c r="V90" s="254">
        <f>IFERROR(__xludf.DUMMYFUNCTION("""COMPUTED_VALUE"""),72.0)</f>
        <v>72</v>
      </c>
      <c r="W90" s="254">
        <f>IFERROR(__xludf.DUMMYFUNCTION("""COMPUTED_VALUE"""),10.0)</f>
        <v>10</v>
      </c>
      <c r="X90" s="254">
        <f>IFERROR(__xludf.DUMMYFUNCTION("""COMPUTED_VALUE"""),5.0)</f>
        <v>5</v>
      </c>
      <c r="Y90" s="254">
        <f>IFERROR(__xludf.DUMMYFUNCTION("""COMPUTED_VALUE"""),3.0)</f>
        <v>3</v>
      </c>
      <c r="Z90" s="254">
        <f>IFERROR(__xludf.DUMMYFUNCTION("""COMPUTED_VALUE"""),1060.0)</f>
        <v>1060</v>
      </c>
    </row>
    <row r="91">
      <c r="A91" s="253">
        <f>IFERROR(__xludf.DUMMYFUNCTION("""COMPUTED_VALUE"""),44064.0)</f>
        <v>44064</v>
      </c>
      <c r="B91" s="254">
        <f>IFERROR(__xludf.DUMMYFUNCTION("""COMPUTED_VALUE"""),152.0)</f>
        <v>152</v>
      </c>
      <c r="C91" s="254">
        <f>IFERROR(__xludf.DUMMYFUNCTION("""COMPUTED_VALUE"""),146.0)</f>
        <v>146</v>
      </c>
      <c r="D91" s="254">
        <f>IFERROR(__xludf.DUMMYFUNCTION("""COMPUTED_VALUE"""),30510.0)</f>
        <v>30510</v>
      </c>
      <c r="E91" s="254">
        <f>IFERROR(__xludf.DUMMYFUNCTION("""COMPUTED_VALUE"""),6577.0)</f>
        <v>6577</v>
      </c>
      <c r="F91" s="185">
        <f>IFERROR(__xludf.DUMMYFUNCTION("""COMPUTED_VALUE"""),443918.0)</f>
        <v>443918</v>
      </c>
      <c r="G91" s="185">
        <f>IFERROR(__xludf.DUMMYFUNCTION("""COMPUTED_VALUE"""),6729.0)</f>
        <v>6729</v>
      </c>
      <c r="H91" s="185">
        <f>IFERROR(__xludf.DUMMYFUNCTION("""COMPUTED_VALUE"""),474428.0)</f>
        <v>474428</v>
      </c>
      <c r="I91" s="254">
        <f>IFERROR(__xludf.DUMMYFUNCTION("""COMPUTED_VALUE"""),125.0)</f>
        <v>125</v>
      </c>
      <c r="J91" s="254">
        <f>IFERROR(__xludf.DUMMYFUNCTION("""COMPUTED_VALUE"""),118.0)</f>
        <v>118</v>
      </c>
      <c r="K91" s="254">
        <f>IFERROR(__xludf.DUMMYFUNCTION("""COMPUTED_VALUE"""),21185.0)</f>
        <v>21185</v>
      </c>
      <c r="L91" s="254">
        <f>IFERROR(__xludf.DUMMYFUNCTION("""COMPUTED_VALUE"""),2848.0)</f>
        <v>2848</v>
      </c>
      <c r="M91" s="254">
        <f>IFERROR(__xludf.DUMMYFUNCTION("""COMPUTED_VALUE"""),223240.0)</f>
        <v>223240</v>
      </c>
      <c r="N91" s="254">
        <f>IFERROR(__xludf.DUMMYFUNCTION("""COMPUTED_VALUE"""),244425.0)</f>
        <v>244425</v>
      </c>
      <c r="O91" s="254">
        <f>IFERROR(__xludf.DUMMYFUNCTION("""COMPUTED_VALUE"""),8.0)</f>
        <v>8</v>
      </c>
      <c r="P91" s="254">
        <f>IFERROR(__xludf.DUMMYFUNCTION("""COMPUTED_VALUE"""),2458.0)</f>
        <v>2458</v>
      </c>
      <c r="Q91" s="254">
        <f>IFERROR(__xludf.DUMMYFUNCTION("""COMPUTED_VALUE"""),5.0)</f>
        <v>5</v>
      </c>
      <c r="R91" s="254">
        <f>IFERROR(__xludf.DUMMYFUNCTION("""COMPUTED_VALUE"""),2050.0)</f>
        <v>2050</v>
      </c>
      <c r="S91" s="254">
        <f>IFERROR(__xludf.DUMMYFUNCTION("""COMPUTED_VALUE"""),1.0)</f>
        <v>1</v>
      </c>
      <c r="T91" s="254">
        <f>IFERROR(__xludf.DUMMYFUNCTION("""COMPUTED_VALUE"""),332.0)</f>
        <v>332</v>
      </c>
      <c r="U91" s="254">
        <f>IFERROR(__xludf.DUMMYFUNCTION("""COMPUTED_VALUE"""),76.0)</f>
        <v>76</v>
      </c>
      <c r="V91" s="254">
        <f>IFERROR(__xludf.DUMMYFUNCTION("""COMPUTED_VALUE"""),73.0)</f>
        <v>73</v>
      </c>
      <c r="W91" s="254">
        <f>IFERROR(__xludf.DUMMYFUNCTION("""COMPUTED_VALUE"""),9.0)</f>
        <v>9</v>
      </c>
      <c r="X91" s="254">
        <f>IFERROR(__xludf.DUMMYFUNCTION("""COMPUTED_VALUE"""),4.0)</f>
        <v>4</v>
      </c>
      <c r="Y91" s="254">
        <f>IFERROR(__xludf.DUMMYFUNCTION("""COMPUTED_VALUE"""),2.0)</f>
        <v>2</v>
      </c>
      <c r="Z91" s="254">
        <f>IFERROR(__xludf.DUMMYFUNCTION("""COMPUTED_VALUE"""),1062.0)</f>
        <v>1062</v>
      </c>
    </row>
    <row r="92">
      <c r="A92" s="253">
        <f>IFERROR(__xludf.DUMMYFUNCTION("""COMPUTED_VALUE"""),44065.0)</f>
        <v>44065</v>
      </c>
      <c r="B92" s="254">
        <f>IFERROR(__xludf.DUMMYFUNCTION("""COMPUTED_VALUE"""),96.0)</f>
        <v>96</v>
      </c>
      <c r="C92" s="254">
        <f>IFERROR(__xludf.DUMMYFUNCTION("""COMPUTED_VALUE"""),140.0)</f>
        <v>140</v>
      </c>
      <c r="D92" s="254">
        <f>IFERROR(__xludf.DUMMYFUNCTION("""COMPUTED_VALUE"""),30606.0)</f>
        <v>30606</v>
      </c>
      <c r="E92" s="254">
        <f>IFERROR(__xludf.DUMMYFUNCTION("""COMPUTED_VALUE"""),5550.0)</f>
        <v>5550</v>
      </c>
      <c r="F92" s="185">
        <f>IFERROR(__xludf.DUMMYFUNCTION("""COMPUTED_VALUE"""),449468.0)</f>
        <v>449468</v>
      </c>
      <c r="G92" s="185">
        <f>IFERROR(__xludf.DUMMYFUNCTION("""COMPUTED_VALUE"""),5646.0)</f>
        <v>5646</v>
      </c>
      <c r="H92" s="185">
        <f>IFERROR(__xludf.DUMMYFUNCTION("""COMPUTED_VALUE"""),480074.0)</f>
        <v>480074</v>
      </c>
      <c r="I92" s="254">
        <f>IFERROR(__xludf.DUMMYFUNCTION("""COMPUTED_VALUE"""),84.0)</f>
        <v>84</v>
      </c>
      <c r="J92" s="254">
        <f>IFERROR(__xludf.DUMMYFUNCTION("""COMPUTED_VALUE"""),116.0)</f>
        <v>116</v>
      </c>
      <c r="K92" s="254">
        <f>IFERROR(__xludf.DUMMYFUNCTION("""COMPUTED_VALUE"""),21269.0)</f>
        <v>21269</v>
      </c>
      <c r="L92" s="254">
        <f>IFERROR(__xludf.DUMMYFUNCTION("""COMPUTED_VALUE"""),2519.0)</f>
        <v>2519</v>
      </c>
      <c r="M92" s="254">
        <f>IFERROR(__xludf.DUMMYFUNCTION("""COMPUTED_VALUE"""),225759.0)</f>
        <v>225759</v>
      </c>
      <c r="N92" s="254">
        <f>IFERROR(__xludf.DUMMYFUNCTION("""COMPUTED_VALUE"""),247028.0)</f>
        <v>247028</v>
      </c>
      <c r="O92" s="254">
        <f>IFERROR(__xludf.DUMMYFUNCTION("""COMPUTED_VALUE"""),11.0)</f>
        <v>11</v>
      </c>
      <c r="P92" s="254">
        <f>IFERROR(__xludf.DUMMYFUNCTION("""COMPUTED_VALUE"""),2469.0)</f>
        <v>2469</v>
      </c>
      <c r="Q92" s="254">
        <f>IFERROR(__xludf.DUMMYFUNCTION("""COMPUTED_VALUE"""),12.0)</f>
        <v>12</v>
      </c>
      <c r="R92" s="254">
        <f>IFERROR(__xludf.DUMMYFUNCTION("""COMPUTED_VALUE"""),2062.0)</f>
        <v>2062</v>
      </c>
      <c r="S92" s="254">
        <f>IFERROR(__xludf.DUMMYFUNCTION("""COMPUTED_VALUE"""),0.0)</f>
        <v>0</v>
      </c>
      <c r="T92" s="254">
        <f>IFERROR(__xludf.DUMMYFUNCTION("""COMPUTED_VALUE"""),332.0)</f>
        <v>332</v>
      </c>
      <c r="U92" s="254">
        <f>IFERROR(__xludf.DUMMYFUNCTION("""COMPUTED_VALUE"""),75.0)</f>
        <v>75</v>
      </c>
      <c r="V92" s="254">
        <f>IFERROR(__xludf.DUMMYFUNCTION("""COMPUTED_VALUE"""),75.0)</f>
        <v>75</v>
      </c>
      <c r="W92" s="254">
        <f>IFERROR(__xludf.DUMMYFUNCTION("""COMPUTED_VALUE"""),11.0)</f>
        <v>11</v>
      </c>
      <c r="X92" s="254">
        <f>IFERROR(__xludf.DUMMYFUNCTION("""COMPUTED_VALUE"""),4.0)</f>
        <v>4</v>
      </c>
      <c r="Y92" s="254">
        <f>IFERROR(__xludf.DUMMYFUNCTION("""COMPUTED_VALUE"""),1.0)</f>
        <v>1</v>
      </c>
      <c r="Z92" s="254">
        <f>IFERROR(__xludf.DUMMYFUNCTION("""COMPUTED_VALUE"""),1063.0)</f>
        <v>1063</v>
      </c>
    </row>
    <row r="93">
      <c r="A93" s="253">
        <f>IFERROR(__xludf.DUMMYFUNCTION("""COMPUTED_VALUE"""),44066.0)</f>
        <v>44066</v>
      </c>
      <c r="B93" s="254">
        <f>IFERROR(__xludf.DUMMYFUNCTION("""COMPUTED_VALUE"""),72.0)</f>
        <v>72</v>
      </c>
      <c r="C93" s="254">
        <f>IFERROR(__xludf.DUMMYFUNCTION("""COMPUTED_VALUE"""),107.0)</f>
        <v>107</v>
      </c>
      <c r="D93" s="254">
        <f>IFERROR(__xludf.DUMMYFUNCTION("""COMPUTED_VALUE"""),30678.0)</f>
        <v>30678</v>
      </c>
      <c r="E93" s="254">
        <f>IFERROR(__xludf.DUMMYFUNCTION("""COMPUTED_VALUE"""),4375.0)</f>
        <v>4375</v>
      </c>
      <c r="F93" s="185">
        <f>IFERROR(__xludf.DUMMYFUNCTION("""COMPUTED_VALUE"""),453843.0)</f>
        <v>453843</v>
      </c>
      <c r="G93" s="185">
        <f>IFERROR(__xludf.DUMMYFUNCTION("""COMPUTED_VALUE"""),4447.0)</f>
        <v>4447</v>
      </c>
      <c r="H93" s="185">
        <f>IFERROR(__xludf.DUMMYFUNCTION("""COMPUTED_VALUE"""),484521.0)</f>
        <v>484521</v>
      </c>
      <c r="I93" s="254">
        <f>IFERROR(__xludf.DUMMYFUNCTION("""COMPUTED_VALUE"""),56.0)</f>
        <v>56</v>
      </c>
      <c r="J93" s="254">
        <f>IFERROR(__xludf.DUMMYFUNCTION("""COMPUTED_VALUE"""),88.0)</f>
        <v>88</v>
      </c>
      <c r="K93" s="254">
        <f>IFERROR(__xludf.DUMMYFUNCTION("""COMPUTED_VALUE"""),21325.0)</f>
        <v>21325</v>
      </c>
      <c r="L93" s="254">
        <f>IFERROR(__xludf.DUMMYFUNCTION("""COMPUTED_VALUE"""),2423.0)</f>
        <v>2423</v>
      </c>
      <c r="M93" s="254">
        <f>IFERROR(__xludf.DUMMYFUNCTION("""COMPUTED_VALUE"""),228182.0)</f>
        <v>228182</v>
      </c>
      <c r="N93" s="254">
        <f>IFERROR(__xludf.DUMMYFUNCTION("""COMPUTED_VALUE"""),249507.0)</f>
        <v>249507</v>
      </c>
      <c r="O93" s="254">
        <f>IFERROR(__xludf.DUMMYFUNCTION("""COMPUTED_VALUE"""),11.0)</f>
        <v>11</v>
      </c>
      <c r="P93" s="254">
        <f>IFERROR(__xludf.DUMMYFUNCTION("""COMPUTED_VALUE"""),2480.0)</f>
        <v>2480</v>
      </c>
      <c r="Q93" s="254">
        <f>IFERROR(__xludf.DUMMYFUNCTION("""COMPUTED_VALUE"""),6.0)</f>
        <v>6</v>
      </c>
      <c r="R93" s="254">
        <f>IFERROR(__xludf.DUMMYFUNCTION("""COMPUTED_VALUE"""),2068.0)</f>
        <v>2068</v>
      </c>
      <c r="S93" s="254">
        <f>IFERROR(__xludf.DUMMYFUNCTION("""COMPUTED_VALUE"""),0.0)</f>
        <v>0</v>
      </c>
      <c r="T93" s="254">
        <f>IFERROR(__xludf.DUMMYFUNCTION("""COMPUTED_VALUE"""),332.0)</f>
        <v>332</v>
      </c>
      <c r="U93" s="254">
        <f>IFERROR(__xludf.DUMMYFUNCTION("""COMPUTED_VALUE"""),80.0)</f>
        <v>80</v>
      </c>
      <c r="V93" s="254">
        <f>IFERROR(__xludf.DUMMYFUNCTION("""COMPUTED_VALUE"""),77.0)</f>
        <v>77</v>
      </c>
      <c r="W93" s="254">
        <f>IFERROR(__xludf.DUMMYFUNCTION("""COMPUTED_VALUE"""),12.0)</f>
        <v>12</v>
      </c>
      <c r="X93" s="254">
        <f>IFERROR(__xludf.DUMMYFUNCTION("""COMPUTED_VALUE"""),2.0)</f>
        <v>2</v>
      </c>
      <c r="Y93" s="254">
        <f>IFERROR(__xludf.DUMMYFUNCTION("""COMPUTED_VALUE"""),1.0)</f>
        <v>1</v>
      </c>
      <c r="Z93" s="254">
        <f>IFERROR(__xludf.DUMMYFUNCTION("""COMPUTED_VALUE"""),1064.0)</f>
        <v>1064</v>
      </c>
    </row>
    <row r="94">
      <c r="A94" s="253">
        <f>IFERROR(__xludf.DUMMYFUNCTION("""COMPUTED_VALUE"""),44067.0)</f>
        <v>44067</v>
      </c>
      <c r="B94" s="254">
        <f>IFERROR(__xludf.DUMMYFUNCTION("""COMPUTED_VALUE"""),105.0)</f>
        <v>105</v>
      </c>
      <c r="C94" s="254">
        <f>IFERROR(__xludf.DUMMYFUNCTION("""COMPUTED_VALUE"""),91.0)</f>
        <v>91</v>
      </c>
      <c r="D94" s="254">
        <f>IFERROR(__xludf.DUMMYFUNCTION("""COMPUTED_VALUE"""),30783.0)</f>
        <v>30783</v>
      </c>
      <c r="E94" s="254">
        <f>IFERROR(__xludf.DUMMYFUNCTION("""COMPUTED_VALUE"""),5784.0)</f>
        <v>5784</v>
      </c>
      <c r="F94" s="185">
        <f>IFERROR(__xludf.DUMMYFUNCTION("""COMPUTED_VALUE"""),459627.0)</f>
        <v>459627</v>
      </c>
      <c r="G94" s="185">
        <f>IFERROR(__xludf.DUMMYFUNCTION("""COMPUTED_VALUE"""),5889.0)</f>
        <v>5889</v>
      </c>
      <c r="H94" s="185">
        <f>IFERROR(__xludf.DUMMYFUNCTION("""COMPUTED_VALUE"""),490410.0)</f>
        <v>490410</v>
      </c>
      <c r="I94" s="254">
        <f>IFERROR(__xludf.DUMMYFUNCTION("""COMPUTED_VALUE"""),77.0)</f>
        <v>77</v>
      </c>
      <c r="J94" s="254">
        <f>IFERROR(__xludf.DUMMYFUNCTION("""COMPUTED_VALUE"""),72.0)</f>
        <v>72</v>
      </c>
      <c r="K94" s="254">
        <f>IFERROR(__xludf.DUMMYFUNCTION("""COMPUTED_VALUE"""),21402.0)</f>
        <v>21402</v>
      </c>
      <c r="L94" s="254">
        <f>IFERROR(__xludf.DUMMYFUNCTION("""COMPUTED_VALUE"""),3065.0)</f>
        <v>3065</v>
      </c>
      <c r="M94" s="254">
        <f>IFERROR(__xludf.DUMMYFUNCTION("""COMPUTED_VALUE"""),231247.0)</f>
        <v>231247</v>
      </c>
      <c r="N94" s="254">
        <f>IFERROR(__xludf.DUMMYFUNCTION("""COMPUTED_VALUE"""),252649.0)</f>
        <v>252649</v>
      </c>
      <c r="O94" s="254">
        <f>IFERROR(__xludf.DUMMYFUNCTION("""COMPUTED_VALUE"""),7.0)</f>
        <v>7</v>
      </c>
      <c r="P94" s="254">
        <f>IFERROR(__xludf.DUMMYFUNCTION("""COMPUTED_VALUE"""),2487.0)</f>
        <v>2487</v>
      </c>
      <c r="Q94" s="254">
        <f>IFERROR(__xludf.DUMMYFUNCTION("""COMPUTED_VALUE"""),10.0)</f>
        <v>10</v>
      </c>
      <c r="R94" s="254">
        <f>IFERROR(__xludf.DUMMYFUNCTION("""COMPUTED_VALUE"""),2078.0)</f>
        <v>2078</v>
      </c>
      <c r="S94" s="254">
        <f>IFERROR(__xludf.DUMMYFUNCTION("""COMPUTED_VALUE"""),1.0)</f>
        <v>1</v>
      </c>
      <c r="T94" s="254">
        <f>IFERROR(__xludf.DUMMYFUNCTION("""COMPUTED_VALUE"""),333.0)</f>
        <v>333</v>
      </c>
      <c r="U94" s="254">
        <f>IFERROR(__xludf.DUMMYFUNCTION("""COMPUTED_VALUE"""),76.0)</f>
        <v>76</v>
      </c>
      <c r="V94" s="254">
        <f>IFERROR(__xludf.DUMMYFUNCTION("""COMPUTED_VALUE"""),77.0)</f>
        <v>77</v>
      </c>
      <c r="W94" s="254">
        <f>IFERROR(__xludf.DUMMYFUNCTION("""COMPUTED_VALUE"""),14.0)</f>
        <v>14</v>
      </c>
      <c r="X94" s="254">
        <f>IFERROR(__xludf.DUMMYFUNCTION("""COMPUTED_VALUE"""),4.0)</f>
        <v>4</v>
      </c>
      <c r="Y94" s="254">
        <f>IFERROR(__xludf.DUMMYFUNCTION("""COMPUTED_VALUE"""),1.0)</f>
        <v>1</v>
      </c>
      <c r="Z94" s="254">
        <f>IFERROR(__xludf.DUMMYFUNCTION("""COMPUTED_VALUE"""),1065.0)</f>
        <v>1065</v>
      </c>
    </row>
    <row r="95">
      <c r="A95" s="253">
        <f>IFERROR(__xludf.DUMMYFUNCTION("""COMPUTED_VALUE"""),44068.0)</f>
        <v>44068</v>
      </c>
      <c r="B95" s="254">
        <f>IFERROR(__xludf.DUMMYFUNCTION("""COMPUTED_VALUE"""),108.0)</f>
        <v>108</v>
      </c>
      <c r="C95" s="254">
        <f>IFERROR(__xludf.DUMMYFUNCTION("""COMPUTED_VALUE"""),95.0)</f>
        <v>95</v>
      </c>
      <c r="D95" s="254">
        <f>IFERROR(__xludf.DUMMYFUNCTION("""COMPUTED_VALUE"""),30891.0)</f>
        <v>30891</v>
      </c>
      <c r="E95" s="254">
        <f>IFERROR(__xludf.DUMMYFUNCTION("""COMPUTED_VALUE"""),4764.0)</f>
        <v>4764</v>
      </c>
      <c r="F95" s="185">
        <f>IFERROR(__xludf.DUMMYFUNCTION("""COMPUTED_VALUE"""),464391.0)</f>
        <v>464391</v>
      </c>
      <c r="G95" s="185">
        <f>IFERROR(__xludf.DUMMYFUNCTION("""COMPUTED_VALUE"""),4872.0)</f>
        <v>4872</v>
      </c>
      <c r="H95" s="185">
        <f>IFERROR(__xludf.DUMMYFUNCTION("""COMPUTED_VALUE"""),495282.0)</f>
        <v>495282</v>
      </c>
      <c r="I95" s="254">
        <f>IFERROR(__xludf.DUMMYFUNCTION("""COMPUTED_VALUE"""),92.0)</f>
        <v>92</v>
      </c>
      <c r="J95" s="254">
        <f>IFERROR(__xludf.DUMMYFUNCTION("""COMPUTED_VALUE"""),75.0)</f>
        <v>75</v>
      </c>
      <c r="K95" s="254">
        <f>IFERROR(__xludf.DUMMYFUNCTION("""COMPUTED_VALUE"""),21494.0)</f>
        <v>21494</v>
      </c>
      <c r="L95" s="254">
        <f>IFERROR(__xludf.DUMMYFUNCTION("""COMPUTED_VALUE"""),2234.0)</f>
        <v>2234</v>
      </c>
      <c r="M95" s="254">
        <f>IFERROR(__xludf.DUMMYFUNCTION("""COMPUTED_VALUE"""),233481.0)</f>
        <v>233481</v>
      </c>
      <c r="N95" s="254">
        <f>IFERROR(__xludf.DUMMYFUNCTION("""COMPUTED_VALUE"""),254975.0)</f>
        <v>254975</v>
      </c>
      <c r="O95" s="254">
        <f>IFERROR(__xludf.DUMMYFUNCTION("""COMPUTED_VALUE"""),10.0)</f>
        <v>10</v>
      </c>
      <c r="P95" s="254">
        <f>IFERROR(__xludf.DUMMYFUNCTION("""COMPUTED_VALUE"""),2497.0)</f>
        <v>2497</v>
      </c>
      <c r="Q95" s="254">
        <f>IFERROR(__xludf.DUMMYFUNCTION("""COMPUTED_VALUE"""),4.0)</f>
        <v>4</v>
      </c>
      <c r="R95" s="254">
        <f>IFERROR(__xludf.DUMMYFUNCTION("""COMPUTED_VALUE"""),2082.0)</f>
        <v>2082</v>
      </c>
      <c r="S95" s="254">
        <f>IFERROR(__xludf.DUMMYFUNCTION("""COMPUTED_VALUE"""),1.0)</f>
        <v>1</v>
      </c>
      <c r="T95" s="254">
        <f>IFERROR(__xludf.DUMMYFUNCTION("""COMPUTED_VALUE"""),334.0)</f>
        <v>334</v>
      </c>
      <c r="U95" s="254">
        <f>IFERROR(__xludf.DUMMYFUNCTION("""COMPUTED_VALUE"""),81.0)</f>
        <v>81</v>
      </c>
      <c r="V95" s="254">
        <f>IFERROR(__xludf.DUMMYFUNCTION("""COMPUTED_VALUE"""),79.0)</f>
        <v>79</v>
      </c>
      <c r="W95" s="254">
        <f>IFERROR(__xludf.DUMMYFUNCTION("""COMPUTED_VALUE"""),12.0)</f>
        <v>12</v>
      </c>
      <c r="X95" s="254">
        <f>IFERROR(__xludf.DUMMYFUNCTION("""COMPUTED_VALUE"""),4.0)</f>
        <v>4</v>
      </c>
      <c r="Y95" s="254">
        <f>IFERROR(__xludf.DUMMYFUNCTION("""COMPUTED_VALUE"""),1.0)</f>
        <v>1</v>
      </c>
      <c r="Z95" s="254">
        <f>IFERROR(__xludf.DUMMYFUNCTION("""COMPUTED_VALUE"""),1066.0)</f>
        <v>1066</v>
      </c>
    </row>
    <row r="96">
      <c r="A96" s="253">
        <f>IFERROR(__xludf.DUMMYFUNCTION("""COMPUTED_VALUE"""),44069.0)</f>
        <v>44069</v>
      </c>
      <c r="B96" s="254">
        <f>IFERROR(__xludf.DUMMYFUNCTION("""COMPUTED_VALUE"""),170.0)</f>
        <v>170</v>
      </c>
      <c r="C96" s="254">
        <f>IFERROR(__xludf.DUMMYFUNCTION("""COMPUTED_VALUE"""),128.0)</f>
        <v>128</v>
      </c>
      <c r="D96" s="254">
        <f>IFERROR(__xludf.DUMMYFUNCTION("""COMPUTED_VALUE"""),31061.0)</f>
        <v>31061</v>
      </c>
      <c r="E96" s="254">
        <f>IFERROR(__xludf.DUMMYFUNCTION("""COMPUTED_VALUE"""),9482.0)</f>
        <v>9482</v>
      </c>
      <c r="F96" s="185">
        <f>IFERROR(__xludf.DUMMYFUNCTION("""COMPUTED_VALUE"""),473873.0)</f>
        <v>473873</v>
      </c>
      <c r="G96" s="185">
        <f>IFERROR(__xludf.DUMMYFUNCTION("""COMPUTED_VALUE"""),9652.0)</f>
        <v>9652</v>
      </c>
      <c r="H96" s="185">
        <f>IFERROR(__xludf.DUMMYFUNCTION("""COMPUTED_VALUE"""),504934.0)</f>
        <v>504934</v>
      </c>
      <c r="I96" s="254">
        <f>IFERROR(__xludf.DUMMYFUNCTION("""COMPUTED_VALUE"""),127.0)</f>
        <v>127</v>
      </c>
      <c r="J96" s="254">
        <f>IFERROR(__xludf.DUMMYFUNCTION("""COMPUTED_VALUE"""),99.0)</f>
        <v>99</v>
      </c>
      <c r="K96" s="254">
        <f>IFERROR(__xludf.DUMMYFUNCTION("""COMPUTED_VALUE"""),21621.0)</f>
        <v>21621</v>
      </c>
      <c r="L96" s="254">
        <f>IFERROR(__xludf.DUMMYFUNCTION("""COMPUTED_VALUE"""),3005.0)</f>
        <v>3005</v>
      </c>
      <c r="M96" s="254">
        <f>IFERROR(__xludf.DUMMYFUNCTION("""COMPUTED_VALUE"""),236486.0)</f>
        <v>236486</v>
      </c>
      <c r="N96" s="254">
        <f>IFERROR(__xludf.DUMMYFUNCTION("""COMPUTED_VALUE"""),258107.0)</f>
        <v>258107</v>
      </c>
      <c r="O96" s="254">
        <f>IFERROR(__xludf.DUMMYFUNCTION("""COMPUTED_VALUE"""),4.0)</f>
        <v>4</v>
      </c>
      <c r="P96" s="254">
        <f>IFERROR(__xludf.DUMMYFUNCTION("""COMPUTED_VALUE"""),2501.0)</f>
        <v>2501</v>
      </c>
      <c r="Q96" s="254">
        <f>IFERROR(__xludf.DUMMYFUNCTION("""COMPUTED_VALUE"""),8.0)</f>
        <v>8</v>
      </c>
      <c r="R96" s="254">
        <f>IFERROR(__xludf.DUMMYFUNCTION("""COMPUTED_VALUE"""),2090.0)</f>
        <v>2090</v>
      </c>
      <c r="S96" s="254">
        <f>IFERROR(__xludf.DUMMYFUNCTION("""COMPUTED_VALUE"""),0.0)</f>
        <v>0</v>
      </c>
      <c r="T96" s="254">
        <f>IFERROR(__xludf.DUMMYFUNCTION("""COMPUTED_VALUE"""),334.0)</f>
        <v>334</v>
      </c>
      <c r="U96" s="254">
        <f>IFERROR(__xludf.DUMMYFUNCTION("""COMPUTED_VALUE"""),77.0)</f>
        <v>77</v>
      </c>
      <c r="V96" s="254">
        <f>IFERROR(__xludf.DUMMYFUNCTION("""COMPUTED_VALUE"""),78.0)</f>
        <v>78</v>
      </c>
      <c r="W96" s="254">
        <f>IFERROR(__xludf.DUMMYFUNCTION("""COMPUTED_VALUE"""),10.0)</f>
        <v>10</v>
      </c>
      <c r="X96" s="254">
        <f>IFERROR(__xludf.DUMMYFUNCTION("""COMPUTED_VALUE"""),5.0)</f>
        <v>5</v>
      </c>
      <c r="Y96" s="254">
        <f>IFERROR(__xludf.DUMMYFUNCTION("""COMPUTED_VALUE"""),1.0)</f>
        <v>1</v>
      </c>
      <c r="Z96" s="254">
        <f>IFERROR(__xludf.DUMMYFUNCTION("""COMPUTED_VALUE"""),1067.0)</f>
        <v>1067</v>
      </c>
    </row>
    <row r="97">
      <c r="A97" s="253">
        <f>IFERROR(__xludf.DUMMYFUNCTION("""COMPUTED_VALUE"""),44070.0)</f>
        <v>44070</v>
      </c>
      <c r="B97" s="254">
        <f>IFERROR(__xludf.DUMMYFUNCTION("""COMPUTED_VALUE"""),91.0)</f>
        <v>91</v>
      </c>
      <c r="C97" s="254">
        <f>IFERROR(__xludf.DUMMYFUNCTION("""COMPUTED_VALUE"""),123.0)</f>
        <v>123</v>
      </c>
      <c r="D97" s="254">
        <f>IFERROR(__xludf.DUMMYFUNCTION("""COMPUTED_VALUE"""),31152.0)</f>
        <v>31152</v>
      </c>
      <c r="E97" s="254">
        <f>IFERROR(__xludf.DUMMYFUNCTION("""COMPUTED_VALUE"""),8565.0)</f>
        <v>8565</v>
      </c>
      <c r="F97" s="185">
        <f>IFERROR(__xludf.DUMMYFUNCTION("""COMPUTED_VALUE"""),482438.0)</f>
        <v>482438</v>
      </c>
      <c r="G97" s="185">
        <f>IFERROR(__xludf.DUMMYFUNCTION("""COMPUTED_VALUE"""),8656.0)</f>
        <v>8656</v>
      </c>
      <c r="H97" s="185">
        <f>IFERROR(__xludf.DUMMYFUNCTION("""COMPUTED_VALUE"""),513590.0)</f>
        <v>513590</v>
      </c>
      <c r="I97" s="254">
        <f>IFERROR(__xludf.DUMMYFUNCTION("""COMPUTED_VALUE"""),70.0)</f>
        <v>70</v>
      </c>
      <c r="J97" s="254">
        <f>IFERROR(__xludf.DUMMYFUNCTION("""COMPUTED_VALUE"""),96.0)</f>
        <v>96</v>
      </c>
      <c r="K97" s="254">
        <f>IFERROR(__xludf.DUMMYFUNCTION("""COMPUTED_VALUE"""),21691.0)</f>
        <v>21691</v>
      </c>
      <c r="L97" s="254">
        <f>IFERROR(__xludf.DUMMYFUNCTION("""COMPUTED_VALUE"""),3063.0)</f>
        <v>3063</v>
      </c>
      <c r="M97" s="254">
        <f>IFERROR(__xludf.DUMMYFUNCTION("""COMPUTED_VALUE"""),239549.0)</f>
        <v>239549</v>
      </c>
      <c r="N97" s="254">
        <f>IFERROR(__xludf.DUMMYFUNCTION("""COMPUTED_VALUE"""),261240.0)</f>
        <v>261240</v>
      </c>
      <c r="O97" s="254">
        <f>IFERROR(__xludf.DUMMYFUNCTION("""COMPUTED_VALUE"""),6.0)</f>
        <v>6</v>
      </c>
      <c r="P97" s="254">
        <f>IFERROR(__xludf.DUMMYFUNCTION("""COMPUTED_VALUE"""),2507.0)</f>
        <v>2507</v>
      </c>
      <c r="Q97" s="254">
        <f>IFERROR(__xludf.DUMMYFUNCTION("""COMPUTED_VALUE"""),13.0)</f>
        <v>13</v>
      </c>
      <c r="R97" s="254">
        <f>IFERROR(__xludf.DUMMYFUNCTION("""COMPUTED_VALUE"""),2103.0)</f>
        <v>2103</v>
      </c>
      <c r="S97" s="254">
        <f>IFERROR(__xludf.DUMMYFUNCTION("""COMPUTED_VALUE"""),1.0)</f>
        <v>1</v>
      </c>
      <c r="T97" s="254">
        <f>IFERROR(__xludf.DUMMYFUNCTION("""COMPUTED_VALUE"""),335.0)</f>
        <v>335</v>
      </c>
      <c r="U97" s="254">
        <f>IFERROR(__xludf.DUMMYFUNCTION("""COMPUTED_VALUE"""),69.0)</f>
        <v>69</v>
      </c>
      <c r="V97" s="254">
        <f>IFERROR(__xludf.DUMMYFUNCTION("""COMPUTED_VALUE"""),76.0)</f>
        <v>76</v>
      </c>
      <c r="W97" s="254">
        <f>IFERROR(__xludf.DUMMYFUNCTION("""COMPUTED_VALUE"""),7.0)</f>
        <v>7</v>
      </c>
      <c r="X97" s="254">
        <f>IFERROR(__xludf.DUMMYFUNCTION("""COMPUTED_VALUE"""),5.0)</f>
        <v>5</v>
      </c>
      <c r="Y97" s="254">
        <f>IFERROR(__xludf.DUMMYFUNCTION("""COMPUTED_VALUE"""),2.0)</f>
        <v>2</v>
      </c>
      <c r="Z97" s="254">
        <f>IFERROR(__xludf.DUMMYFUNCTION("""COMPUTED_VALUE"""),1069.0)</f>
        <v>1069</v>
      </c>
    </row>
    <row r="98">
      <c r="A98" s="253">
        <f>IFERROR(__xludf.DUMMYFUNCTION("""COMPUTED_VALUE"""),44071.0)</f>
        <v>44071</v>
      </c>
      <c r="B98" s="254">
        <f>IFERROR(__xludf.DUMMYFUNCTION("""COMPUTED_VALUE"""),113.0)</f>
        <v>113</v>
      </c>
      <c r="C98" s="254">
        <f>IFERROR(__xludf.DUMMYFUNCTION("""COMPUTED_VALUE"""),125.0)</f>
        <v>125</v>
      </c>
      <c r="D98" s="254">
        <f>IFERROR(__xludf.DUMMYFUNCTION("""COMPUTED_VALUE"""),31265.0)</f>
        <v>31265</v>
      </c>
      <c r="E98" s="254">
        <f>IFERROR(__xludf.DUMMYFUNCTION("""COMPUTED_VALUE"""),7994.0)</f>
        <v>7994</v>
      </c>
      <c r="F98" s="185">
        <f>IFERROR(__xludf.DUMMYFUNCTION("""COMPUTED_VALUE"""),490432.0)</f>
        <v>490432</v>
      </c>
      <c r="G98" s="185">
        <f>IFERROR(__xludf.DUMMYFUNCTION("""COMPUTED_VALUE"""),8107.0)</f>
        <v>8107</v>
      </c>
      <c r="H98" s="185">
        <f>IFERROR(__xludf.DUMMYFUNCTION("""COMPUTED_VALUE"""),521697.0)</f>
        <v>521697</v>
      </c>
      <c r="I98" s="254">
        <f>IFERROR(__xludf.DUMMYFUNCTION("""COMPUTED_VALUE"""),87.0)</f>
        <v>87</v>
      </c>
      <c r="J98" s="254">
        <f>IFERROR(__xludf.DUMMYFUNCTION("""COMPUTED_VALUE"""),95.0)</f>
        <v>95</v>
      </c>
      <c r="K98" s="254">
        <f>IFERROR(__xludf.DUMMYFUNCTION("""COMPUTED_VALUE"""),21778.0)</f>
        <v>21778</v>
      </c>
      <c r="L98" s="254">
        <f>IFERROR(__xludf.DUMMYFUNCTION("""COMPUTED_VALUE"""),2358.0)</f>
        <v>2358</v>
      </c>
      <c r="M98" s="254">
        <f>IFERROR(__xludf.DUMMYFUNCTION("""COMPUTED_VALUE"""),241907.0)</f>
        <v>241907</v>
      </c>
      <c r="N98" s="254">
        <f>IFERROR(__xludf.DUMMYFUNCTION("""COMPUTED_VALUE"""),263685.0)</f>
        <v>263685</v>
      </c>
      <c r="O98" s="254">
        <f>IFERROR(__xludf.DUMMYFUNCTION("""COMPUTED_VALUE"""),14.0)</f>
        <v>14</v>
      </c>
      <c r="P98" s="254">
        <f>IFERROR(__xludf.DUMMYFUNCTION("""COMPUTED_VALUE"""),2521.0)</f>
        <v>2521</v>
      </c>
      <c r="Q98" s="254">
        <f>IFERROR(__xludf.DUMMYFUNCTION("""COMPUTED_VALUE"""),4.0)</f>
        <v>4</v>
      </c>
      <c r="R98" s="254">
        <f>IFERROR(__xludf.DUMMYFUNCTION("""COMPUTED_VALUE"""),2107.0)</f>
        <v>2107</v>
      </c>
      <c r="S98" s="254">
        <f>IFERROR(__xludf.DUMMYFUNCTION("""COMPUTED_VALUE"""),0.0)</f>
        <v>0</v>
      </c>
      <c r="T98" s="254">
        <f>IFERROR(__xludf.DUMMYFUNCTION("""COMPUTED_VALUE"""),335.0)</f>
        <v>335</v>
      </c>
      <c r="U98" s="254">
        <f>IFERROR(__xludf.DUMMYFUNCTION("""COMPUTED_VALUE"""),79.0)</f>
        <v>79</v>
      </c>
      <c r="V98" s="254">
        <f>IFERROR(__xludf.DUMMYFUNCTION("""COMPUTED_VALUE"""),75.0)</f>
        <v>75</v>
      </c>
      <c r="W98" s="254">
        <f>IFERROR(__xludf.DUMMYFUNCTION("""COMPUTED_VALUE"""),10.0)</f>
        <v>10</v>
      </c>
      <c r="X98" s="254">
        <f>IFERROR(__xludf.DUMMYFUNCTION("""COMPUTED_VALUE"""),7.0)</f>
        <v>7</v>
      </c>
      <c r="Y98" s="254">
        <f>IFERROR(__xludf.DUMMYFUNCTION("""COMPUTED_VALUE"""),2.0)</f>
        <v>2</v>
      </c>
      <c r="Z98" s="254">
        <f>IFERROR(__xludf.DUMMYFUNCTION("""COMPUTED_VALUE"""),1071.0)</f>
        <v>1071</v>
      </c>
    </row>
    <row r="99">
      <c r="A99" s="253">
        <f>IFERROR(__xludf.DUMMYFUNCTION("""COMPUTED_VALUE"""),44072.0)</f>
        <v>44072</v>
      </c>
      <c r="B99" s="254">
        <f>IFERROR(__xludf.DUMMYFUNCTION("""COMPUTED_VALUE"""),65.0)</f>
        <v>65</v>
      </c>
      <c r="C99" s="254">
        <f>IFERROR(__xludf.DUMMYFUNCTION("""COMPUTED_VALUE"""),90.0)</f>
        <v>90</v>
      </c>
      <c r="D99" s="254">
        <f>IFERROR(__xludf.DUMMYFUNCTION("""COMPUTED_VALUE"""),31330.0)</f>
        <v>31330</v>
      </c>
      <c r="E99" s="254">
        <f>IFERROR(__xludf.DUMMYFUNCTION("""COMPUTED_VALUE"""),5374.0)</f>
        <v>5374</v>
      </c>
      <c r="F99" s="185">
        <f>IFERROR(__xludf.DUMMYFUNCTION("""COMPUTED_VALUE"""),495806.0)</f>
        <v>495806</v>
      </c>
      <c r="G99" s="185">
        <f>IFERROR(__xludf.DUMMYFUNCTION("""COMPUTED_VALUE"""),5439.0)</f>
        <v>5439</v>
      </c>
      <c r="H99" s="185">
        <f>IFERROR(__xludf.DUMMYFUNCTION("""COMPUTED_VALUE"""),527136.0)</f>
        <v>527136</v>
      </c>
      <c r="I99" s="254">
        <f>IFERROR(__xludf.DUMMYFUNCTION("""COMPUTED_VALUE"""),51.0)</f>
        <v>51</v>
      </c>
      <c r="J99" s="254">
        <f>IFERROR(__xludf.DUMMYFUNCTION("""COMPUTED_VALUE"""),69.0)</f>
        <v>69</v>
      </c>
      <c r="K99" s="254">
        <f>IFERROR(__xludf.DUMMYFUNCTION("""COMPUTED_VALUE"""),21829.0)</f>
        <v>21829</v>
      </c>
      <c r="L99" s="254">
        <f>IFERROR(__xludf.DUMMYFUNCTION("""COMPUTED_VALUE"""),1871.0)</f>
        <v>1871</v>
      </c>
      <c r="M99" s="254">
        <f>IFERROR(__xludf.DUMMYFUNCTION("""COMPUTED_VALUE"""),243778.0)</f>
        <v>243778</v>
      </c>
      <c r="N99" s="254">
        <f>IFERROR(__xludf.DUMMYFUNCTION("""COMPUTED_VALUE"""),265607.0)</f>
        <v>265607</v>
      </c>
      <c r="O99" s="254">
        <f>IFERROR(__xludf.DUMMYFUNCTION("""COMPUTED_VALUE"""),6.0)</f>
        <v>6</v>
      </c>
      <c r="P99" s="254">
        <f>IFERROR(__xludf.DUMMYFUNCTION("""COMPUTED_VALUE"""),2527.0)</f>
        <v>2527</v>
      </c>
      <c r="Q99" s="254">
        <f>IFERROR(__xludf.DUMMYFUNCTION("""COMPUTED_VALUE"""),8.0)</f>
        <v>8</v>
      </c>
      <c r="R99" s="254">
        <f>IFERROR(__xludf.DUMMYFUNCTION("""COMPUTED_VALUE"""),2115.0)</f>
        <v>2115</v>
      </c>
      <c r="S99" s="254">
        <f>IFERROR(__xludf.DUMMYFUNCTION("""COMPUTED_VALUE"""),1.0)</f>
        <v>1</v>
      </c>
      <c r="T99" s="254">
        <f>IFERROR(__xludf.DUMMYFUNCTION("""COMPUTED_VALUE"""),336.0)</f>
        <v>336</v>
      </c>
      <c r="U99" s="254">
        <f>IFERROR(__xludf.DUMMYFUNCTION("""COMPUTED_VALUE"""),76.0)</f>
        <v>76</v>
      </c>
      <c r="V99" s="254">
        <f>IFERROR(__xludf.DUMMYFUNCTION("""COMPUTED_VALUE"""),75.0)</f>
        <v>75</v>
      </c>
      <c r="W99" s="254">
        <f>IFERROR(__xludf.DUMMYFUNCTION("""COMPUTED_VALUE"""),11.0)</f>
        <v>11</v>
      </c>
      <c r="X99" s="254">
        <f>IFERROR(__xludf.DUMMYFUNCTION("""COMPUTED_VALUE"""),6.0)</f>
        <v>6</v>
      </c>
      <c r="Y99" s="254">
        <f>IFERROR(__xludf.DUMMYFUNCTION("""COMPUTED_VALUE"""),2.0)</f>
        <v>2</v>
      </c>
      <c r="Z99" s="254">
        <f>IFERROR(__xludf.DUMMYFUNCTION("""COMPUTED_VALUE"""),1073.0)</f>
        <v>1073</v>
      </c>
    </row>
    <row r="100">
      <c r="A100" s="253">
        <f>IFERROR(__xludf.DUMMYFUNCTION("""COMPUTED_VALUE"""),44073.0)</f>
        <v>44073</v>
      </c>
      <c r="B100" s="254">
        <f>IFERROR(__xludf.DUMMYFUNCTION("""COMPUTED_VALUE"""),66.0)</f>
        <v>66</v>
      </c>
      <c r="C100" s="254">
        <f>IFERROR(__xludf.DUMMYFUNCTION("""COMPUTED_VALUE"""),81.0)</f>
        <v>81</v>
      </c>
      <c r="D100" s="254">
        <f>IFERROR(__xludf.DUMMYFUNCTION("""COMPUTED_VALUE"""),31396.0)</f>
        <v>31396</v>
      </c>
      <c r="E100" s="254">
        <f>IFERROR(__xludf.DUMMYFUNCTION("""COMPUTED_VALUE"""),4323.0)</f>
        <v>4323</v>
      </c>
      <c r="F100" s="185">
        <f>IFERROR(__xludf.DUMMYFUNCTION("""COMPUTED_VALUE"""),500129.0)</f>
        <v>500129</v>
      </c>
      <c r="G100" s="185">
        <f>IFERROR(__xludf.DUMMYFUNCTION("""COMPUTED_VALUE"""),4389.0)</f>
        <v>4389</v>
      </c>
      <c r="H100" s="185">
        <f>IFERROR(__xludf.DUMMYFUNCTION("""COMPUTED_VALUE"""),531525.0)</f>
        <v>531525</v>
      </c>
      <c r="I100" s="254">
        <f>IFERROR(__xludf.DUMMYFUNCTION("""COMPUTED_VALUE"""),48.0)</f>
        <v>48</v>
      </c>
      <c r="J100" s="254">
        <f>IFERROR(__xludf.DUMMYFUNCTION("""COMPUTED_VALUE"""),62.0)</f>
        <v>62</v>
      </c>
      <c r="K100" s="254">
        <f>IFERROR(__xludf.DUMMYFUNCTION("""COMPUTED_VALUE"""),21877.0)</f>
        <v>21877</v>
      </c>
      <c r="L100" s="254">
        <f>IFERROR(__xludf.DUMMYFUNCTION("""COMPUTED_VALUE"""),1938.0)</f>
        <v>1938</v>
      </c>
      <c r="M100" s="254">
        <f>IFERROR(__xludf.DUMMYFUNCTION("""COMPUTED_VALUE"""),245716.0)</f>
        <v>245716</v>
      </c>
      <c r="N100" s="254">
        <f>IFERROR(__xludf.DUMMYFUNCTION("""COMPUTED_VALUE"""),267593.0)</f>
        <v>267593</v>
      </c>
      <c r="O100" s="254">
        <f>IFERROR(__xludf.DUMMYFUNCTION("""COMPUTED_VALUE"""),7.0)</f>
        <v>7</v>
      </c>
      <c r="P100" s="254">
        <f>IFERROR(__xludf.DUMMYFUNCTION("""COMPUTED_VALUE"""),2534.0)</f>
        <v>2534</v>
      </c>
      <c r="Q100" s="254">
        <f>IFERROR(__xludf.DUMMYFUNCTION("""COMPUTED_VALUE"""),4.0)</f>
        <v>4</v>
      </c>
      <c r="R100" s="254">
        <f>IFERROR(__xludf.DUMMYFUNCTION("""COMPUTED_VALUE"""),2119.0)</f>
        <v>2119</v>
      </c>
      <c r="S100" s="254">
        <f>IFERROR(__xludf.DUMMYFUNCTION("""COMPUTED_VALUE"""),0.0)</f>
        <v>0</v>
      </c>
      <c r="T100" s="254">
        <f>IFERROR(__xludf.DUMMYFUNCTION("""COMPUTED_VALUE"""),336.0)</f>
        <v>336</v>
      </c>
      <c r="U100" s="254">
        <f>IFERROR(__xludf.DUMMYFUNCTION("""COMPUTED_VALUE"""),79.0)</f>
        <v>79</v>
      </c>
      <c r="V100" s="254">
        <f>IFERROR(__xludf.DUMMYFUNCTION("""COMPUTED_VALUE"""),78.0)</f>
        <v>78</v>
      </c>
      <c r="W100" s="254">
        <f>IFERROR(__xludf.DUMMYFUNCTION("""COMPUTED_VALUE"""),9.0)</f>
        <v>9</v>
      </c>
      <c r="X100" s="254">
        <f>IFERROR(__xludf.DUMMYFUNCTION("""COMPUTED_VALUE"""),5.0)</f>
        <v>5</v>
      </c>
      <c r="Y100" s="254">
        <f>IFERROR(__xludf.DUMMYFUNCTION("""COMPUTED_VALUE"""),2.0)</f>
        <v>2</v>
      </c>
      <c r="Z100" s="254">
        <f>IFERROR(__xludf.DUMMYFUNCTION("""COMPUTED_VALUE"""),1075.0)</f>
        <v>1075</v>
      </c>
    </row>
    <row r="101">
      <c r="A101" s="253">
        <f>IFERROR(__xludf.DUMMYFUNCTION("""COMPUTED_VALUE"""),44074.0)</f>
        <v>44074</v>
      </c>
      <c r="B101" s="254">
        <f>IFERROR(__xludf.DUMMYFUNCTION("""COMPUTED_VALUE"""),105.0)</f>
        <v>105</v>
      </c>
      <c r="C101" s="254">
        <f>IFERROR(__xludf.DUMMYFUNCTION("""COMPUTED_VALUE"""),79.0)</f>
        <v>79</v>
      </c>
      <c r="D101" s="254">
        <f>IFERROR(__xludf.DUMMYFUNCTION("""COMPUTED_VALUE"""),31501.0)</f>
        <v>31501</v>
      </c>
      <c r="E101" s="254">
        <f>IFERROR(__xludf.DUMMYFUNCTION("""COMPUTED_VALUE"""),4863.0)</f>
        <v>4863</v>
      </c>
      <c r="F101" s="185">
        <f>IFERROR(__xludf.DUMMYFUNCTION("""COMPUTED_VALUE"""),504992.0)</f>
        <v>504992</v>
      </c>
      <c r="G101" s="185">
        <f>IFERROR(__xludf.DUMMYFUNCTION("""COMPUTED_VALUE"""),4968.0)</f>
        <v>4968</v>
      </c>
      <c r="H101" s="185">
        <f>IFERROR(__xludf.DUMMYFUNCTION("""COMPUTED_VALUE"""),536493.0)</f>
        <v>536493</v>
      </c>
      <c r="I101" s="254">
        <f>IFERROR(__xludf.DUMMYFUNCTION("""COMPUTED_VALUE"""),81.0)</f>
        <v>81</v>
      </c>
      <c r="J101" s="254">
        <f>IFERROR(__xludf.DUMMYFUNCTION("""COMPUTED_VALUE"""),60.0)</f>
        <v>60</v>
      </c>
      <c r="K101" s="254">
        <f>IFERROR(__xludf.DUMMYFUNCTION("""COMPUTED_VALUE"""),21958.0)</f>
        <v>21958</v>
      </c>
      <c r="L101" s="254">
        <f>IFERROR(__xludf.DUMMYFUNCTION("""COMPUTED_VALUE"""),2136.0)</f>
        <v>2136</v>
      </c>
      <c r="M101" s="254">
        <f>IFERROR(__xludf.DUMMYFUNCTION("""COMPUTED_VALUE"""),247852.0)</f>
        <v>247852</v>
      </c>
      <c r="N101" s="254">
        <f>IFERROR(__xludf.DUMMYFUNCTION("""COMPUTED_VALUE"""),269810.0)</f>
        <v>269810</v>
      </c>
      <c r="O101" s="254">
        <f>IFERROR(__xludf.DUMMYFUNCTION("""COMPUTED_VALUE"""),12.0)</f>
        <v>12</v>
      </c>
      <c r="P101" s="254">
        <f>IFERROR(__xludf.DUMMYFUNCTION("""COMPUTED_VALUE"""),2546.0)</f>
        <v>2546</v>
      </c>
      <c r="Q101" s="254">
        <f>IFERROR(__xludf.DUMMYFUNCTION("""COMPUTED_VALUE"""),16.0)</f>
        <v>16</v>
      </c>
      <c r="R101" s="254">
        <f>IFERROR(__xludf.DUMMYFUNCTION("""COMPUTED_VALUE"""),2135.0)</f>
        <v>2135</v>
      </c>
      <c r="S101" s="254">
        <f>IFERROR(__xludf.DUMMYFUNCTION("""COMPUTED_VALUE"""),0.0)</f>
        <v>0</v>
      </c>
      <c r="T101" s="254">
        <f>IFERROR(__xludf.DUMMYFUNCTION("""COMPUTED_VALUE"""),336.0)</f>
        <v>336</v>
      </c>
      <c r="U101" s="254">
        <f>IFERROR(__xludf.DUMMYFUNCTION("""COMPUTED_VALUE"""),75.0)</f>
        <v>75</v>
      </c>
      <c r="V101" s="254">
        <f>IFERROR(__xludf.DUMMYFUNCTION("""COMPUTED_VALUE"""),77.0)</f>
        <v>77</v>
      </c>
      <c r="W101" s="254">
        <f>IFERROR(__xludf.DUMMYFUNCTION("""COMPUTED_VALUE"""),8.0)</f>
        <v>8</v>
      </c>
      <c r="X101" s="254">
        <f>IFERROR(__xludf.DUMMYFUNCTION("""COMPUTED_VALUE"""),4.0)</f>
        <v>4</v>
      </c>
      <c r="Y101" s="254">
        <f>IFERROR(__xludf.DUMMYFUNCTION("""COMPUTED_VALUE"""),1.0)</f>
        <v>1</v>
      </c>
      <c r="Z101" s="254">
        <f>IFERROR(__xludf.DUMMYFUNCTION("""COMPUTED_VALUE"""),1076.0)</f>
        <v>1076</v>
      </c>
    </row>
    <row r="102">
      <c r="A102" s="253">
        <f>IFERROR(__xludf.DUMMYFUNCTION("""COMPUTED_VALUE"""),44075.0)</f>
        <v>44075</v>
      </c>
      <c r="B102" s="254">
        <f>IFERROR(__xludf.DUMMYFUNCTION("""COMPUTED_VALUE"""),99.0)</f>
        <v>99</v>
      </c>
      <c r="C102" s="254">
        <f>IFERROR(__xludf.DUMMYFUNCTION("""COMPUTED_VALUE"""),90.0)</f>
        <v>90</v>
      </c>
      <c r="D102" s="254">
        <f>IFERROR(__xludf.DUMMYFUNCTION("""COMPUTED_VALUE"""),31600.0)</f>
        <v>31600</v>
      </c>
      <c r="E102" s="254">
        <f>IFERROR(__xludf.DUMMYFUNCTION("""COMPUTED_VALUE"""),7109.0)</f>
        <v>7109</v>
      </c>
      <c r="F102" s="185">
        <f>IFERROR(__xludf.DUMMYFUNCTION("""COMPUTED_VALUE"""),512101.0)</f>
        <v>512101</v>
      </c>
      <c r="G102" s="185">
        <f>IFERROR(__xludf.DUMMYFUNCTION("""COMPUTED_VALUE"""),7208.0)</f>
        <v>7208</v>
      </c>
      <c r="H102" s="185">
        <f>IFERROR(__xludf.DUMMYFUNCTION("""COMPUTED_VALUE"""),543701.0)</f>
        <v>543701</v>
      </c>
      <c r="I102" s="254">
        <f>IFERROR(__xludf.DUMMYFUNCTION("""COMPUTED_VALUE"""),66.0)</f>
        <v>66</v>
      </c>
      <c r="J102" s="254">
        <f>IFERROR(__xludf.DUMMYFUNCTION("""COMPUTED_VALUE"""),65.0)</f>
        <v>65</v>
      </c>
      <c r="K102" s="254">
        <f>IFERROR(__xludf.DUMMYFUNCTION("""COMPUTED_VALUE"""),22024.0)</f>
        <v>22024</v>
      </c>
      <c r="L102" s="254">
        <f>IFERROR(__xludf.DUMMYFUNCTION("""COMPUTED_VALUE"""),2320.0)</f>
        <v>2320</v>
      </c>
      <c r="M102" s="254">
        <f>IFERROR(__xludf.DUMMYFUNCTION("""COMPUTED_VALUE"""),250172.0)</f>
        <v>250172</v>
      </c>
      <c r="N102" s="254">
        <f>IFERROR(__xludf.DUMMYFUNCTION("""COMPUTED_VALUE"""),272196.0)</f>
        <v>272196</v>
      </c>
      <c r="O102" s="254">
        <f>IFERROR(__xludf.DUMMYFUNCTION("""COMPUTED_VALUE"""),6.0)</f>
        <v>6</v>
      </c>
      <c r="P102" s="254">
        <f>IFERROR(__xludf.DUMMYFUNCTION("""COMPUTED_VALUE"""),2552.0)</f>
        <v>2552</v>
      </c>
      <c r="Q102" s="254">
        <f>IFERROR(__xludf.DUMMYFUNCTION("""COMPUTED_VALUE"""),9.0)</f>
        <v>9</v>
      </c>
      <c r="R102" s="254">
        <f>IFERROR(__xludf.DUMMYFUNCTION("""COMPUTED_VALUE"""),2144.0)</f>
        <v>2144</v>
      </c>
      <c r="S102" s="254">
        <f>IFERROR(__xludf.DUMMYFUNCTION("""COMPUTED_VALUE"""),1.0)</f>
        <v>1</v>
      </c>
      <c r="T102" s="254">
        <f>IFERROR(__xludf.DUMMYFUNCTION("""COMPUTED_VALUE"""),337.0)</f>
        <v>337</v>
      </c>
      <c r="U102" s="254">
        <f>IFERROR(__xludf.DUMMYFUNCTION("""COMPUTED_VALUE"""),71.0)</f>
        <v>71</v>
      </c>
      <c r="V102" s="254">
        <f>IFERROR(__xludf.DUMMYFUNCTION("""COMPUTED_VALUE"""),75.0)</f>
        <v>75</v>
      </c>
      <c r="W102" s="254">
        <f>IFERROR(__xludf.DUMMYFUNCTION("""COMPUTED_VALUE"""),7.0)</f>
        <v>7</v>
      </c>
      <c r="X102" s="254">
        <f>IFERROR(__xludf.DUMMYFUNCTION("""COMPUTED_VALUE"""),4.0)</f>
        <v>4</v>
      </c>
      <c r="Y102" s="254">
        <f>IFERROR(__xludf.DUMMYFUNCTION("""COMPUTED_VALUE"""),2.0)</f>
        <v>2</v>
      </c>
      <c r="Z102" s="254">
        <f>IFERROR(__xludf.DUMMYFUNCTION("""COMPUTED_VALUE"""),1078.0)</f>
        <v>1078</v>
      </c>
    </row>
    <row r="103">
      <c r="A103" s="253">
        <f>IFERROR(__xludf.DUMMYFUNCTION("""COMPUTED_VALUE"""),44076.0)</f>
        <v>44076</v>
      </c>
      <c r="B103" s="254">
        <f>IFERROR(__xludf.DUMMYFUNCTION("""COMPUTED_VALUE"""),125.0)</f>
        <v>125</v>
      </c>
      <c r="C103" s="254">
        <f>IFERROR(__xludf.DUMMYFUNCTION("""COMPUTED_VALUE"""),110.0)</f>
        <v>110</v>
      </c>
      <c r="D103" s="254">
        <f>IFERROR(__xludf.DUMMYFUNCTION("""COMPUTED_VALUE"""),31725.0)</f>
        <v>31725</v>
      </c>
      <c r="E103" s="254">
        <f>IFERROR(__xludf.DUMMYFUNCTION("""COMPUTED_VALUE"""),10529.0)</f>
        <v>10529</v>
      </c>
      <c r="F103" s="185">
        <f>IFERROR(__xludf.DUMMYFUNCTION("""COMPUTED_VALUE"""),522630.0)</f>
        <v>522630</v>
      </c>
      <c r="G103" s="185">
        <f>IFERROR(__xludf.DUMMYFUNCTION("""COMPUTED_VALUE"""),10654.0)</f>
        <v>10654</v>
      </c>
      <c r="H103" s="185">
        <f>IFERROR(__xludf.DUMMYFUNCTION("""COMPUTED_VALUE"""),554355.0)</f>
        <v>554355</v>
      </c>
      <c r="I103" s="254">
        <f>IFERROR(__xludf.DUMMYFUNCTION("""COMPUTED_VALUE"""),104.0)</f>
        <v>104</v>
      </c>
      <c r="J103" s="254">
        <f>IFERROR(__xludf.DUMMYFUNCTION("""COMPUTED_VALUE"""),84.0)</f>
        <v>84</v>
      </c>
      <c r="K103" s="254">
        <f>IFERROR(__xludf.DUMMYFUNCTION("""COMPUTED_VALUE"""),22128.0)</f>
        <v>22128</v>
      </c>
      <c r="L103" s="254">
        <f>IFERROR(__xludf.DUMMYFUNCTION("""COMPUTED_VALUE"""),2981.0)</f>
        <v>2981</v>
      </c>
      <c r="M103" s="254">
        <f>IFERROR(__xludf.DUMMYFUNCTION("""COMPUTED_VALUE"""),253153.0)</f>
        <v>253153</v>
      </c>
      <c r="N103" s="254">
        <f>IFERROR(__xludf.DUMMYFUNCTION("""COMPUTED_VALUE"""),275281.0)</f>
        <v>275281</v>
      </c>
      <c r="O103" s="254">
        <f>IFERROR(__xludf.DUMMYFUNCTION("""COMPUTED_VALUE"""),9.0)</f>
        <v>9</v>
      </c>
      <c r="P103" s="254">
        <f>IFERROR(__xludf.DUMMYFUNCTION("""COMPUTED_VALUE"""),2561.0)</f>
        <v>2561</v>
      </c>
      <c r="Q103" s="254">
        <f>IFERROR(__xludf.DUMMYFUNCTION("""COMPUTED_VALUE"""),10.0)</f>
        <v>10</v>
      </c>
      <c r="R103" s="254">
        <f>IFERROR(__xludf.DUMMYFUNCTION("""COMPUTED_VALUE"""),2154.0)</f>
        <v>2154</v>
      </c>
      <c r="S103" s="254">
        <f>IFERROR(__xludf.DUMMYFUNCTION("""COMPUTED_VALUE"""),1.0)</f>
        <v>1</v>
      </c>
      <c r="T103" s="254">
        <f>IFERROR(__xludf.DUMMYFUNCTION("""COMPUTED_VALUE"""),338.0)</f>
        <v>338</v>
      </c>
      <c r="U103" s="254">
        <f>IFERROR(__xludf.DUMMYFUNCTION("""COMPUTED_VALUE"""),69.0)</f>
        <v>69</v>
      </c>
      <c r="V103" s="254">
        <f>IFERROR(__xludf.DUMMYFUNCTION("""COMPUTED_VALUE"""),72.0)</f>
        <v>72</v>
      </c>
      <c r="W103" s="254">
        <f>IFERROR(__xludf.DUMMYFUNCTION("""COMPUTED_VALUE"""),8.0)</f>
        <v>8</v>
      </c>
      <c r="X103" s="254">
        <f>IFERROR(__xludf.DUMMYFUNCTION("""COMPUTED_VALUE"""),4.0)</f>
        <v>4</v>
      </c>
      <c r="Y103" s="254">
        <f>IFERROR(__xludf.DUMMYFUNCTION("""COMPUTED_VALUE"""),2.0)</f>
        <v>2</v>
      </c>
      <c r="Z103" s="254">
        <f>IFERROR(__xludf.DUMMYFUNCTION("""COMPUTED_VALUE"""),1080.0)</f>
        <v>1080</v>
      </c>
    </row>
    <row r="104">
      <c r="A104" s="253">
        <f>IFERROR(__xludf.DUMMYFUNCTION("""COMPUTED_VALUE"""),44077.0)</f>
        <v>44077</v>
      </c>
      <c r="B104" s="254">
        <f>IFERROR(__xludf.DUMMYFUNCTION("""COMPUTED_VALUE"""),90.0)</f>
        <v>90</v>
      </c>
      <c r="C104" s="254">
        <f>IFERROR(__xludf.DUMMYFUNCTION("""COMPUTED_VALUE"""),105.0)</f>
        <v>105</v>
      </c>
      <c r="D104" s="254">
        <f>IFERROR(__xludf.DUMMYFUNCTION("""COMPUTED_VALUE"""),31815.0)</f>
        <v>31815</v>
      </c>
      <c r="E104" s="254">
        <f>IFERROR(__xludf.DUMMYFUNCTION("""COMPUTED_VALUE"""),11080.0)</f>
        <v>11080</v>
      </c>
      <c r="F104" s="185">
        <f>IFERROR(__xludf.DUMMYFUNCTION("""COMPUTED_VALUE"""),533710.0)</f>
        <v>533710</v>
      </c>
      <c r="G104" s="185">
        <f>IFERROR(__xludf.DUMMYFUNCTION("""COMPUTED_VALUE"""),11170.0)</f>
        <v>11170</v>
      </c>
      <c r="H104" s="185">
        <f>IFERROR(__xludf.DUMMYFUNCTION("""COMPUTED_VALUE"""),565525.0)</f>
        <v>565525</v>
      </c>
      <c r="I104" s="254">
        <f>IFERROR(__xludf.DUMMYFUNCTION("""COMPUTED_VALUE"""),73.0)</f>
        <v>73</v>
      </c>
      <c r="J104" s="254">
        <f>IFERROR(__xludf.DUMMYFUNCTION("""COMPUTED_VALUE"""),81.0)</f>
        <v>81</v>
      </c>
      <c r="K104" s="254">
        <f>IFERROR(__xludf.DUMMYFUNCTION("""COMPUTED_VALUE"""),22201.0)</f>
        <v>22201</v>
      </c>
      <c r="L104" s="254">
        <f>IFERROR(__xludf.DUMMYFUNCTION("""COMPUTED_VALUE"""),2504.0)</f>
        <v>2504</v>
      </c>
      <c r="M104" s="254">
        <f>IFERROR(__xludf.DUMMYFUNCTION("""COMPUTED_VALUE"""),255657.0)</f>
        <v>255657</v>
      </c>
      <c r="N104" s="254">
        <f>IFERROR(__xludf.DUMMYFUNCTION("""COMPUTED_VALUE"""),277858.0)</f>
        <v>277858</v>
      </c>
      <c r="O104" s="254">
        <f>IFERROR(__xludf.DUMMYFUNCTION("""COMPUTED_VALUE"""),8.0)</f>
        <v>8</v>
      </c>
      <c r="P104" s="254">
        <f>IFERROR(__xludf.DUMMYFUNCTION("""COMPUTED_VALUE"""),2569.0)</f>
        <v>2569</v>
      </c>
      <c r="Q104" s="254">
        <f>IFERROR(__xludf.DUMMYFUNCTION("""COMPUTED_VALUE"""),8.0)</f>
        <v>8</v>
      </c>
      <c r="R104" s="254">
        <f>IFERROR(__xludf.DUMMYFUNCTION("""COMPUTED_VALUE"""),2162.0)</f>
        <v>2162</v>
      </c>
      <c r="S104" s="254">
        <f>IFERROR(__xludf.DUMMYFUNCTION("""COMPUTED_VALUE"""),0.0)</f>
        <v>0</v>
      </c>
      <c r="T104" s="254">
        <f>IFERROR(__xludf.DUMMYFUNCTION("""COMPUTED_VALUE"""),338.0)</f>
        <v>338</v>
      </c>
      <c r="U104" s="254">
        <f>IFERROR(__xludf.DUMMYFUNCTION("""COMPUTED_VALUE"""),69.0)</f>
        <v>69</v>
      </c>
      <c r="V104" s="254">
        <f>IFERROR(__xludf.DUMMYFUNCTION("""COMPUTED_VALUE"""),70.0)</f>
        <v>70</v>
      </c>
      <c r="W104" s="254">
        <f>IFERROR(__xludf.DUMMYFUNCTION("""COMPUTED_VALUE"""),9.0)</f>
        <v>9</v>
      </c>
      <c r="X104" s="254">
        <f>IFERROR(__xludf.DUMMYFUNCTION("""COMPUTED_VALUE"""),4.0)</f>
        <v>4</v>
      </c>
      <c r="Y104" s="254">
        <f>IFERROR(__xludf.DUMMYFUNCTION("""COMPUTED_VALUE"""),3.0)</f>
        <v>3</v>
      </c>
      <c r="Z104" s="254">
        <f>IFERROR(__xludf.DUMMYFUNCTION("""COMPUTED_VALUE"""),1083.0)</f>
        <v>1083</v>
      </c>
    </row>
    <row r="105">
      <c r="A105" s="253">
        <f>IFERROR(__xludf.DUMMYFUNCTION("""COMPUTED_VALUE"""),44078.0)</f>
        <v>44078</v>
      </c>
      <c r="B105" s="254">
        <f>IFERROR(__xludf.DUMMYFUNCTION("""COMPUTED_VALUE"""),103.0)</f>
        <v>103</v>
      </c>
      <c r="C105" s="254">
        <f>IFERROR(__xludf.DUMMYFUNCTION("""COMPUTED_VALUE"""),106.0)</f>
        <v>106</v>
      </c>
      <c r="D105" s="254">
        <f>IFERROR(__xludf.DUMMYFUNCTION("""COMPUTED_VALUE"""),31918.0)</f>
        <v>31918</v>
      </c>
      <c r="E105" s="254">
        <f>IFERROR(__xludf.DUMMYFUNCTION("""COMPUTED_VALUE"""),8963.0)</f>
        <v>8963</v>
      </c>
      <c r="F105" s="185">
        <f>IFERROR(__xludf.DUMMYFUNCTION("""COMPUTED_VALUE"""),542673.0)</f>
        <v>542673</v>
      </c>
      <c r="G105" s="185">
        <f>IFERROR(__xludf.DUMMYFUNCTION("""COMPUTED_VALUE"""),9066.0)</f>
        <v>9066</v>
      </c>
      <c r="H105" s="185">
        <f>IFERROR(__xludf.DUMMYFUNCTION("""COMPUTED_VALUE"""),574591.0)</f>
        <v>574591</v>
      </c>
      <c r="I105" s="254">
        <f>IFERROR(__xludf.DUMMYFUNCTION("""COMPUTED_VALUE"""),83.0)</f>
        <v>83</v>
      </c>
      <c r="J105" s="254">
        <f>IFERROR(__xludf.DUMMYFUNCTION("""COMPUTED_VALUE"""),87.0)</f>
        <v>87</v>
      </c>
      <c r="K105" s="254">
        <f>IFERROR(__xludf.DUMMYFUNCTION("""COMPUTED_VALUE"""),22284.0)</f>
        <v>22284</v>
      </c>
      <c r="L105" s="254">
        <f>IFERROR(__xludf.DUMMYFUNCTION("""COMPUTED_VALUE"""),2304.0)</f>
        <v>2304</v>
      </c>
      <c r="M105" s="254">
        <f>IFERROR(__xludf.DUMMYFUNCTION("""COMPUTED_VALUE"""),257961.0)</f>
        <v>257961</v>
      </c>
      <c r="N105" s="254">
        <f>IFERROR(__xludf.DUMMYFUNCTION("""COMPUTED_VALUE"""),280245.0)</f>
        <v>280245</v>
      </c>
      <c r="O105" s="254">
        <f>IFERROR(__xludf.DUMMYFUNCTION("""COMPUTED_VALUE"""),11.0)</f>
        <v>11</v>
      </c>
      <c r="P105" s="254">
        <f>IFERROR(__xludf.DUMMYFUNCTION("""COMPUTED_VALUE"""),2580.0)</f>
        <v>2580</v>
      </c>
      <c r="Q105" s="254">
        <f>IFERROR(__xludf.DUMMYFUNCTION("""COMPUTED_VALUE"""),4.0)</f>
        <v>4</v>
      </c>
      <c r="R105" s="254">
        <f>IFERROR(__xludf.DUMMYFUNCTION("""COMPUTED_VALUE"""),2166.0)</f>
        <v>2166</v>
      </c>
      <c r="S105" s="254">
        <f>IFERROR(__xludf.DUMMYFUNCTION("""COMPUTED_VALUE"""),0.0)</f>
        <v>0</v>
      </c>
      <c r="T105" s="254">
        <f>IFERROR(__xludf.DUMMYFUNCTION("""COMPUTED_VALUE"""),338.0)</f>
        <v>338</v>
      </c>
      <c r="U105" s="254">
        <f>IFERROR(__xludf.DUMMYFUNCTION("""COMPUTED_VALUE"""),76.0)</f>
        <v>76</v>
      </c>
      <c r="V105" s="254">
        <f>IFERROR(__xludf.DUMMYFUNCTION("""COMPUTED_VALUE"""),71.0)</f>
        <v>71</v>
      </c>
      <c r="W105" s="254">
        <f>IFERROR(__xludf.DUMMYFUNCTION("""COMPUTED_VALUE"""),9.0)</f>
        <v>9</v>
      </c>
      <c r="X105" s="254">
        <f>IFERROR(__xludf.DUMMYFUNCTION("""COMPUTED_VALUE"""),4.0)</f>
        <v>4</v>
      </c>
      <c r="Y105" s="254">
        <f>IFERROR(__xludf.DUMMYFUNCTION("""COMPUTED_VALUE"""),1.0)</f>
        <v>1</v>
      </c>
      <c r="Z105" s="254">
        <f>IFERROR(__xludf.DUMMYFUNCTION("""COMPUTED_VALUE"""),1084.0)</f>
        <v>1084</v>
      </c>
    </row>
    <row r="106">
      <c r="A106" s="253">
        <f>IFERROR(__xludf.DUMMYFUNCTION("""COMPUTED_VALUE"""),44079.0)</f>
        <v>44079</v>
      </c>
      <c r="B106" s="254">
        <f>IFERROR(__xludf.DUMMYFUNCTION("""COMPUTED_VALUE"""),52.0)</f>
        <v>52</v>
      </c>
      <c r="C106" s="254">
        <f>IFERROR(__xludf.DUMMYFUNCTION("""COMPUTED_VALUE"""),82.0)</f>
        <v>82</v>
      </c>
      <c r="D106" s="254">
        <f>IFERROR(__xludf.DUMMYFUNCTION("""COMPUTED_VALUE"""),31970.0)</f>
        <v>31970</v>
      </c>
      <c r="E106" s="254">
        <f>IFERROR(__xludf.DUMMYFUNCTION("""COMPUTED_VALUE"""),6309.0)</f>
        <v>6309</v>
      </c>
      <c r="F106" s="185">
        <f>IFERROR(__xludf.DUMMYFUNCTION("""COMPUTED_VALUE"""),548982.0)</f>
        <v>548982</v>
      </c>
      <c r="G106" s="185">
        <f>IFERROR(__xludf.DUMMYFUNCTION("""COMPUTED_VALUE"""),6361.0)</f>
        <v>6361</v>
      </c>
      <c r="H106" s="185">
        <f>IFERROR(__xludf.DUMMYFUNCTION("""COMPUTED_VALUE"""),580952.0)</f>
        <v>580952</v>
      </c>
      <c r="I106" s="254">
        <f>IFERROR(__xludf.DUMMYFUNCTION("""COMPUTED_VALUE"""),42.0)</f>
        <v>42</v>
      </c>
      <c r="J106" s="254">
        <f>IFERROR(__xludf.DUMMYFUNCTION("""COMPUTED_VALUE"""),66.0)</f>
        <v>66</v>
      </c>
      <c r="K106" s="254">
        <f>IFERROR(__xludf.DUMMYFUNCTION("""COMPUTED_VALUE"""),22326.0)</f>
        <v>22326</v>
      </c>
      <c r="L106" s="254">
        <f>IFERROR(__xludf.DUMMYFUNCTION("""COMPUTED_VALUE"""),1559.0)</f>
        <v>1559</v>
      </c>
      <c r="M106" s="254">
        <f>IFERROR(__xludf.DUMMYFUNCTION("""COMPUTED_VALUE"""),259520.0)</f>
        <v>259520</v>
      </c>
      <c r="N106" s="254">
        <f>IFERROR(__xludf.DUMMYFUNCTION("""COMPUTED_VALUE"""),281846.0)</f>
        <v>281846</v>
      </c>
      <c r="O106" s="254">
        <f>IFERROR(__xludf.DUMMYFUNCTION("""COMPUTED_VALUE"""),6.0)</f>
        <v>6</v>
      </c>
      <c r="P106" s="254">
        <f>IFERROR(__xludf.DUMMYFUNCTION("""COMPUTED_VALUE"""),2586.0)</f>
        <v>2586</v>
      </c>
      <c r="Q106" s="254">
        <f>IFERROR(__xludf.DUMMYFUNCTION("""COMPUTED_VALUE"""),9.0)</f>
        <v>9</v>
      </c>
      <c r="R106" s="254">
        <f>IFERROR(__xludf.DUMMYFUNCTION("""COMPUTED_VALUE"""),2175.0)</f>
        <v>2175</v>
      </c>
      <c r="S106" s="254">
        <f>IFERROR(__xludf.DUMMYFUNCTION("""COMPUTED_VALUE"""),0.0)</f>
        <v>0</v>
      </c>
      <c r="T106" s="254">
        <f>IFERROR(__xludf.DUMMYFUNCTION("""COMPUTED_VALUE"""),338.0)</f>
        <v>338</v>
      </c>
      <c r="U106" s="254">
        <f>IFERROR(__xludf.DUMMYFUNCTION("""COMPUTED_VALUE"""),73.0)</f>
        <v>73</v>
      </c>
      <c r="V106" s="254">
        <f>IFERROR(__xludf.DUMMYFUNCTION("""COMPUTED_VALUE"""),73.0)</f>
        <v>73</v>
      </c>
      <c r="W106" s="254">
        <f>IFERROR(__xludf.DUMMYFUNCTION("""COMPUTED_VALUE"""),8.0)</f>
        <v>8</v>
      </c>
      <c r="X106" s="254">
        <f>IFERROR(__xludf.DUMMYFUNCTION("""COMPUTED_VALUE"""),3.0)</f>
        <v>3</v>
      </c>
      <c r="Y106" s="254">
        <f>IFERROR(__xludf.DUMMYFUNCTION("""COMPUTED_VALUE"""),1.0)</f>
        <v>1</v>
      </c>
      <c r="Z106" s="254">
        <f>IFERROR(__xludf.DUMMYFUNCTION("""COMPUTED_VALUE"""),1085.0)</f>
        <v>1085</v>
      </c>
    </row>
    <row r="107">
      <c r="A107" s="253">
        <f>IFERROR(__xludf.DUMMYFUNCTION("""COMPUTED_VALUE"""),44080.0)</f>
        <v>44080</v>
      </c>
      <c r="B107" s="254">
        <f>IFERROR(__xludf.DUMMYFUNCTION("""COMPUTED_VALUE"""),88.0)</f>
        <v>88</v>
      </c>
      <c r="C107" s="254">
        <f>IFERROR(__xludf.DUMMYFUNCTION("""COMPUTED_VALUE"""),81.0)</f>
        <v>81</v>
      </c>
      <c r="D107" s="254">
        <f>IFERROR(__xludf.DUMMYFUNCTION("""COMPUTED_VALUE"""),32058.0)</f>
        <v>32058</v>
      </c>
      <c r="E107" s="254">
        <f>IFERROR(__xludf.DUMMYFUNCTION("""COMPUTED_VALUE"""),4325.0)</f>
        <v>4325</v>
      </c>
      <c r="F107" s="185">
        <f>IFERROR(__xludf.DUMMYFUNCTION("""COMPUTED_VALUE"""),553307.0)</f>
        <v>553307</v>
      </c>
      <c r="G107" s="185">
        <f>IFERROR(__xludf.DUMMYFUNCTION("""COMPUTED_VALUE"""),4413.0)</f>
        <v>4413</v>
      </c>
      <c r="H107" s="185">
        <f>IFERROR(__xludf.DUMMYFUNCTION("""COMPUTED_VALUE"""),585365.0)</f>
        <v>585365</v>
      </c>
      <c r="I107" s="254">
        <f>IFERROR(__xludf.DUMMYFUNCTION("""COMPUTED_VALUE"""),65.0)</f>
        <v>65</v>
      </c>
      <c r="J107" s="254">
        <f>IFERROR(__xludf.DUMMYFUNCTION("""COMPUTED_VALUE"""),63.0)</f>
        <v>63</v>
      </c>
      <c r="K107" s="254">
        <f>IFERROR(__xludf.DUMMYFUNCTION("""COMPUTED_VALUE"""),22391.0)</f>
        <v>22391</v>
      </c>
      <c r="L107" s="254">
        <f>IFERROR(__xludf.DUMMYFUNCTION("""COMPUTED_VALUE"""),1894.0)</f>
        <v>1894</v>
      </c>
      <c r="M107" s="254">
        <f>IFERROR(__xludf.DUMMYFUNCTION("""COMPUTED_VALUE"""),261414.0)</f>
        <v>261414</v>
      </c>
      <c r="N107" s="254">
        <f>IFERROR(__xludf.DUMMYFUNCTION("""COMPUTED_VALUE"""),283805.0)</f>
        <v>283805</v>
      </c>
      <c r="O107" s="254">
        <f>IFERROR(__xludf.DUMMYFUNCTION("""COMPUTED_VALUE"""),4.0)</f>
        <v>4</v>
      </c>
      <c r="P107" s="254">
        <f>IFERROR(__xludf.DUMMYFUNCTION("""COMPUTED_VALUE"""),2590.0)</f>
        <v>2590</v>
      </c>
      <c r="Q107" s="254">
        <f>IFERROR(__xludf.DUMMYFUNCTION("""COMPUTED_VALUE"""),8.0)</f>
        <v>8</v>
      </c>
      <c r="R107" s="254">
        <f>IFERROR(__xludf.DUMMYFUNCTION("""COMPUTED_VALUE"""),2183.0)</f>
        <v>2183</v>
      </c>
      <c r="S107" s="254">
        <f>IFERROR(__xludf.DUMMYFUNCTION("""COMPUTED_VALUE"""),1.0)</f>
        <v>1</v>
      </c>
      <c r="T107" s="254">
        <f>IFERROR(__xludf.DUMMYFUNCTION("""COMPUTED_VALUE"""),339.0)</f>
        <v>339</v>
      </c>
      <c r="U107" s="254">
        <f>IFERROR(__xludf.DUMMYFUNCTION("""COMPUTED_VALUE"""),68.0)</f>
        <v>68</v>
      </c>
      <c r="V107" s="254">
        <f>IFERROR(__xludf.DUMMYFUNCTION("""COMPUTED_VALUE"""),72.0)</f>
        <v>72</v>
      </c>
      <c r="W107" s="254">
        <f>IFERROR(__xludf.DUMMYFUNCTION("""COMPUTED_VALUE"""),6.0)</f>
        <v>6</v>
      </c>
      <c r="X107" s="254">
        <f>IFERROR(__xludf.DUMMYFUNCTION("""COMPUTED_VALUE"""),3.0)</f>
        <v>3</v>
      </c>
      <c r="Y107" s="254">
        <f>IFERROR(__xludf.DUMMYFUNCTION("""COMPUTED_VALUE"""),1.0)</f>
        <v>1</v>
      </c>
      <c r="Z107" s="254">
        <f>IFERROR(__xludf.DUMMYFUNCTION("""COMPUTED_VALUE"""),1086.0)</f>
        <v>1086</v>
      </c>
    </row>
    <row r="108">
      <c r="A108" s="253">
        <f>IFERROR(__xludf.DUMMYFUNCTION("""COMPUTED_VALUE"""),44081.0)</f>
        <v>44081</v>
      </c>
      <c r="B108" s="254">
        <f>IFERROR(__xludf.DUMMYFUNCTION("""COMPUTED_VALUE"""),35.0)</f>
        <v>35</v>
      </c>
      <c r="C108" s="254">
        <f>IFERROR(__xludf.DUMMYFUNCTION("""COMPUTED_VALUE"""),58.0)</f>
        <v>58</v>
      </c>
      <c r="D108" s="254">
        <f>IFERROR(__xludf.DUMMYFUNCTION("""COMPUTED_VALUE"""),32093.0)</f>
        <v>32093</v>
      </c>
      <c r="E108" s="254">
        <f>IFERROR(__xludf.DUMMYFUNCTION("""COMPUTED_VALUE"""),3002.0)</f>
        <v>3002</v>
      </c>
      <c r="F108" s="185">
        <f>IFERROR(__xludf.DUMMYFUNCTION("""COMPUTED_VALUE"""),556309.0)</f>
        <v>556309</v>
      </c>
      <c r="G108" s="185">
        <f>IFERROR(__xludf.DUMMYFUNCTION("""COMPUTED_VALUE"""),3037.0)</f>
        <v>3037</v>
      </c>
      <c r="H108" s="185">
        <f>IFERROR(__xludf.DUMMYFUNCTION("""COMPUTED_VALUE"""),588402.0)</f>
        <v>588402</v>
      </c>
      <c r="I108" s="254">
        <f>IFERROR(__xludf.DUMMYFUNCTION("""COMPUTED_VALUE"""),26.0)</f>
        <v>26</v>
      </c>
      <c r="J108" s="254">
        <f>IFERROR(__xludf.DUMMYFUNCTION("""COMPUTED_VALUE"""),44.0)</f>
        <v>44</v>
      </c>
      <c r="K108" s="254">
        <f>IFERROR(__xludf.DUMMYFUNCTION("""COMPUTED_VALUE"""),22417.0)</f>
        <v>22417</v>
      </c>
      <c r="L108" s="254">
        <f>IFERROR(__xludf.DUMMYFUNCTION("""COMPUTED_VALUE"""),624.0)</f>
        <v>624</v>
      </c>
      <c r="M108" s="254">
        <f>IFERROR(__xludf.DUMMYFUNCTION("""COMPUTED_VALUE"""),262038.0)</f>
        <v>262038</v>
      </c>
      <c r="N108" s="254">
        <f>IFERROR(__xludf.DUMMYFUNCTION("""COMPUTED_VALUE"""),284455.0)</f>
        <v>284455</v>
      </c>
      <c r="O108" s="254">
        <f>IFERROR(__xludf.DUMMYFUNCTION("""COMPUTED_VALUE"""),11.0)</f>
        <v>11</v>
      </c>
      <c r="P108" s="254">
        <f>IFERROR(__xludf.DUMMYFUNCTION("""COMPUTED_VALUE"""),2601.0)</f>
        <v>2601</v>
      </c>
      <c r="Q108" s="254">
        <f>IFERROR(__xludf.DUMMYFUNCTION("""COMPUTED_VALUE"""),3.0)</f>
        <v>3</v>
      </c>
      <c r="R108" s="254">
        <f>IFERROR(__xludf.DUMMYFUNCTION("""COMPUTED_VALUE"""),2186.0)</f>
        <v>2186</v>
      </c>
      <c r="S108" s="254">
        <f>IFERROR(__xludf.DUMMYFUNCTION("""COMPUTED_VALUE"""),0.0)</f>
        <v>0</v>
      </c>
      <c r="T108" s="254">
        <f>IFERROR(__xludf.DUMMYFUNCTION("""COMPUTED_VALUE"""),339.0)</f>
        <v>339</v>
      </c>
      <c r="U108" s="254">
        <f>IFERROR(__xludf.DUMMYFUNCTION("""COMPUTED_VALUE"""),76.0)</f>
        <v>76</v>
      </c>
      <c r="V108" s="254">
        <f>IFERROR(__xludf.DUMMYFUNCTION("""COMPUTED_VALUE"""),72.0)</f>
        <v>72</v>
      </c>
      <c r="W108" s="254">
        <f>IFERROR(__xludf.DUMMYFUNCTION("""COMPUTED_VALUE"""),5.0)</f>
        <v>5</v>
      </c>
      <c r="X108" s="254">
        <f>IFERROR(__xludf.DUMMYFUNCTION("""COMPUTED_VALUE"""),3.0)</f>
        <v>3</v>
      </c>
      <c r="Y108" s="254">
        <f>IFERROR(__xludf.DUMMYFUNCTION("""COMPUTED_VALUE"""),1.0)</f>
        <v>1</v>
      </c>
      <c r="Z108" s="254">
        <f>IFERROR(__xludf.DUMMYFUNCTION("""COMPUTED_VALUE"""),1087.0)</f>
        <v>1087</v>
      </c>
    </row>
    <row r="109">
      <c r="A109" s="253">
        <f>IFERROR(__xludf.DUMMYFUNCTION("""COMPUTED_VALUE"""),44082.0)</f>
        <v>44082</v>
      </c>
      <c r="B109" s="254">
        <f>IFERROR(__xludf.DUMMYFUNCTION("""COMPUTED_VALUE"""),74.0)</f>
        <v>74</v>
      </c>
      <c r="C109" s="254">
        <f>IFERROR(__xludf.DUMMYFUNCTION("""COMPUTED_VALUE"""),66.0)</f>
        <v>66</v>
      </c>
      <c r="D109" s="254">
        <f>IFERROR(__xludf.DUMMYFUNCTION("""COMPUTED_VALUE"""),32167.0)</f>
        <v>32167</v>
      </c>
      <c r="E109" s="254">
        <f>IFERROR(__xludf.DUMMYFUNCTION("""COMPUTED_VALUE"""),6381.0)</f>
        <v>6381</v>
      </c>
      <c r="F109" s="185">
        <f>IFERROR(__xludf.DUMMYFUNCTION("""COMPUTED_VALUE"""),562690.0)</f>
        <v>562690</v>
      </c>
      <c r="G109" s="185">
        <f>IFERROR(__xludf.DUMMYFUNCTION("""COMPUTED_VALUE"""),6455.0)</f>
        <v>6455</v>
      </c>
      <c r="H109" s="185">
        <f>IFERROR(__xludf.DUMMYFUNCTION("""COMPUTED_VALUE"""),594857.0)</f>
        <v>594857</v>
      </c>
      <c r="I109" s="254">
        <f>IFERROR(__xludf.DUMMYFUNCTION("""COMPUTED_VALUE"""),66.0)</f>
        <v>66</v>
      </c>
      <c r="J109" s="254">
        <f>IFERROR(__xludf.DUMMYFUNCTION("""COMPUTED_VALUE"""),52.0)</f>
        <v>52</v>
      </c>
      <c r="K109" s="254">
        <f>IFERROR(__xludf.DUMMYFUNCTION("""COMPUTED_VALUE"""),22483.0)</f>
        <v>22483</v>
      </c>
      <c r="L109" s="254">
        <f>IFERROR(__xludf.DUMMYFUNCTION("""COMPUTED_VALUE"""),1547.0)</f>
        <v>1547</v>
      </c>
      <c r="M109" s="254">
        <f>IFERROR(__xludf.DUMMYFUNCTION("""COMPUTED_VALUE"""),263585.0)</f>
        <v>263585</v>
      </c>
      <c r="N109" s="254">
        <f>IFERROR(__xludf.DUMMYFUNCTION("""COMPUTED_VALUE"""),286068.0)</f>
        <v>286068</v>
      </c>
      <c r="O109" s="254">
        <f>IFERROR(__xludf.DUMMYFUNCTION("""COMPUTED_VALUE"""),6.0)</f>
        <v>6</v>
      </c>
      <c r="P109" s="254">
        <f>IFERROR(__xludf.DUMMYFUNCTION("""COMPUTED_VALUE"""),2607.0)</f>
        <v>2607</v>
      </c>
      <c r="Q109" s="254">
        <f>IFERROR(__xludf.DUMMYFUNCTION("""COMPUTED_VALUE"""),12.0)</f>
        <v>12</v>
      </c>
      <c r="R109" s="254">
        <f>IFERROR(__xludf.DUMMYFUNCTION("""COMPUTED_VALUE"""),2198.0)</f>
        <v>2198</v>
      </c>
      <c r="S109" s="254">
        <f>IFERROR(__xludf.DUMMYFUNCTION("""COMPUTED_VALUE"""),1.0)</f>
        <v>1</v>
      </c>
      <c r="T109" s="254">
        <f>IFERROR(__xludf.DUMMYFUNCTION("""COMPUTED_VALUE"""),340.0)</f>
        <v>340</v>
      </c>
      <c r="U109" s="254">
        <f>IFERROR(__xludf.DUMMYFUNCTION("""COMPUTED_VALUE"""),69.0)</f>
        <v>69</v>
      </c>
      <c r="V109" s="254">
        <f>IFERROR(__xludf.DUMMYFUNCTION("""COMPUTED_VALUE"""),71.0)</f>
        <v>71</v>
      </c>
      <c r="W109" s="254">
        <f>IFERROR(__xludf.DUMMYFUNCTION("""COMPUTED_VALUE"""),6.0)</f>
        <v>6</v>
      </c>
      <c r="X109" s="254">
        <f>IFERROR(__xludf.DUMMYFUNCTION("""COMPUTED_VALUE"""),3.0)</f>
        <v>3</v>
      </c>
      <c r="Y109" s="254">
        <f>IFERROR(__xludf.DUMMYFUNCTION("""COMPUTED_VALUE"""),2.0)</f>
        <v>2</v>
      </c>
      <c r="Z109" s="254">
        <f>IFERROR(__xludf.DUMMYFUNCTION("""COMPUTED_VALUE"""),1089.0)</f>
        <v>1089</v>
      </c>
    </row>
    <row r="110">
      <c r="A110" s="253">
        <f>IFERROR(__xludf.DUMMYFUNCTION("""COMPUTED_VALUE"""),44083.0)</f>
        <v>44083</v>
      </c>
      <c r="B110" s="254">
        <f>IFERROR(__xludf.DUMMYFUNCTION("""COMPUTED_VALUE"""),118.0)</f>
        <v>118</v>
      </c>
      <c r="C110" s="254">
        <f>IFERROR(__xludf.DUMMYFUNCTION("""COMPUTED_VALUE"""),76.0)</f>
        <v>76</v>
      </c>
      <c r="D110" s="254">
        <f>IFERROR(__xludf.DUMMYFUNCTION("""COMPUTED_VALUE"""),32285.0)</f>
        <v>32285</v>
      </c>
      <c r="E110" s="254">
        <f>IFERROR(__xludf.DUMMYFUNCTION("""COMPUTED_VALUE"""),8650.0)</f>
        <v>8650</v>
      </c>
      <c r="F110" s="185">
        <f>IFERROR(__xludf.DUMMYFUNCTION("""COMPUTED_VALUE"""),571340.0)</f>
        <v>571340</v>
      </c>
      <c r="G110" s="185">
        <f>IFERROR(__xludf.DUMMYFUNCTION("""COMPUTED_VALUE"""),8768.0)</f>
        <v>8768</v>
      </c>
      <c r="H110" s="185">
        <f>IFERROR(__xludf.DUMMYFUNCTION("""COMPUTED_VALUE"""),603625.0)</f>
        <v>603625</v>
      </c>
      <c r="I110" s="254">
        <f>IFERROR(__xludf.DUMMYFUNCTION("""COMPUTED_VALUE"""),102.0)</f>
        <v>102</v>
      </c>
      <c r="J110" s="254">
        <f>IFERROR(__xludf.DUMMYFUNCTION("""COMPUTED_VALUE"""),65.0)</f>
        <v>65</v>
      </c>
      <c r="K110" s="254">
        <f>IFERROR(__xludf.DUMMYFUNCTION("""COMPUTED_VALUE"""),22585.0)</f>
        <v>22585</v>
      </c>
      <c r="L110" s="254">
        <f>IFERROR(__xludf.DUMMYFUNCTION("""COMPUTED_VALUE"""),2076.0)</f>
        <v>2076</v>
      </c>
      <c r="M110" s="254">
        <f>IFERROR(__xludf.DUMMYFUNCTION("""COMPUTED_VALUE"""),265661.0)</f>
        <v>265661</v>
      </c>
      <c r="N110" s="254">
        <f>IFERROR(__xludf.DUMMYFUNCTION("""COMPUTED_VALUE"""),288246.0)</f>
        <v>288246</v>
      </c>
      <c r="O110" s="254">
        <f>IFERROR(__xludf.DUMMYFUNCTION("""COMPUTED_VALUE"""),10.0)</f>
        <v>10</v>
      </c>
      <c r="P110" s="254">
        <f>IFERROR(__xludf.DUMMYFUNCTION("""COMPUTED_VALUE"""),2617.0)</f>
        <v>2617</v>
      </c>
      <c r="Q110" s="254">
        <f>IFERROR(__xludf.DUMMYFUNCTION("""COMPUTED_VALUE"""),5.0)</f>
        <v>5</v>
      </c>
      <c r="R110" s="254">
        <f>IFERROR(__xludf.DUMMYFUNCTION("""COMPUTED_VALUE"""),2203.0)</f>
        <v>2203</v>
      </c>
      <c r="S110" s="254">
        <f>IFERROR(__xludf.DUMMYFUNCTION("""COMPUTED_VALUE"""),1.0)</f>
        <v>1</v>
      </c>
      <c r="T110" s="254">
        <f>IFERROR(__xludf.DUMMYFUNCTION("""COMPUTED_VALUE"""),341.0)</f>
        <v>341</v>
      </c>
      <c r="U110" s="254">
        <f>IFERROR(__xludf.DUMMYFUNCTION("""COMPUTED_VALUE"""),73.0)</f>
        <v>73</v>
      </c>
      <c r="V110" s="254">
        <f>IFERROR(__xludf.DUMMYFUNCTION("""COMPUTED_VALUE"""),73.0)</f>
        <v>73</v>
      </c>
      <c r="W110" s="254">
        <f>IFERROR(__xludf.DUMMYFUNCTION("""COMPUTED_VALUE"""),9.0)</f>
        <v>9</v>
      </c>
      <c r="X110" s="254">
        <f>IFERROR(__xludf.DUMMYFUNCTION("""COMPUTED_VALUE"""),3.0)</f>
        <v>3</v>
      </c>
      <c r="Y110" s="254">
        <f>IFERROR(__xludf.DUMMYFUNCTION("""COMPUTED_VALUE"""),1.0)</f>
        <v>1</v>
      </c>
      <c r="Z110" s="254">
        <f>IFERROR(__xludf.DUMMYFUNCTION("""COMPUTED_VALUE"""),1090.0)</f>
        <v>1090</v>
      </c>
    </row>
    <row r="111">
      <c r="A111" s="253">
        <f>IFERROR(__xludf.DUMMYFUNCTION("""COMPUTED_VALUE"""),44084.0)</f>
        <v>44084</v>
      </c>
      <c r="B111" s="254">
        <f>IFERROR(__xludf.DUMMYFUNCTION("""COMPUTED_VALUE"""),164.0)</f>
        <v>164</v>
      </c>
      <c r="C111" s="254">
        <f>IFERROR(__xludf.DUMMYFUNCTION("""COMPUTED_VALUE"""),119.0)</f>
        <v>119</v>
      </c>
      <c r="D111" s="254">
        <f>IFERROR(__xludf.DUMMYFUNCTION("""COMPUTED_VALUE"""),32449.0)</f>
        <v>32449</v>
      </c>
      <c r="E111" s="254">
        <f>IFERROR(__xludf.DUMMYFUNCTION("""COMPUTED_VALUE"""),11334.0)</f>
        <v>11334</v>
      </c>
      <c r="F111" s="185">
        <f>IFERROR(__xludf.DUMMYFUNCTION("""COMPUTED_VALUE"""),582674.0)</f>
        <v>582674</v>
      </c>
      <c r="G111" s="185">
        <f>IFERROR(__xludf.DUMMYFUNCTION("""COMPUTED_VALUE"""),11498.0)</f>
        <v>11498</v>
      </c>
      <c r="H111" s="185">
        <f>IFERROR(__xludf.DUMMYFUNCTION("""COMPUTED_VALUE"""),615123.0)</f>
        <v>615123</v>
      </c>
      <c r="I111" s="254">
        <f>IFERROR(__xludf.DUMMYFUNCTION("""COMPUTED_VALUE"""),111.0)</f>
        <v>111</v>
      </c>
      <c r="J111" s="254">
        <f>IFERROR(__xludf.DUMMYFUNCTION("""COMPUTED_VALUE"""),93.0)</f>
        <v>93</v>
      </c>
      <c r="K111" s="254">
        <f>IFERROR(__xludf.DUMMYFUNCTION("""COMPUTED_VALUE"""),22696.0)</f>
        <v>22696</v>
      </c>
      <c r="L111" s="254">
        <f>IFERROR(__xludf.DUMMYFUNCTION("""COMPUTED_VALUE"""),2201.0)</f>
        <v>2201</v>
      </c>
      <c r="M111" s="254">
        <f>IFERROR(__xludf.DUMMYFUNCTION("""COMPUTED_VALUE"""),267862.0)</f>
        <v>267862</v>
      </c>
      <c r="N111" s="254">
        <f>IFERROR(__xludf.DUMMYFUNCTION("""COMPUTED_VALUE"""),290558.0)</f>
        <v>290558</v>
      </c>
      <c r="O111" s="254">
        <f>IFERROR(__xludf.DUMMYFUNCTION("""COMPUTED_VALUE"""),9.0)</f>
        <v>9</v>
      </c>
      <c r="P111" s="254">
        <f>IFERROR(__xludf.DUMMYFUNCTION("""COMPUTED_VALUE"""),2626.0)</f>
        <v>2626</v>
      </c>
      <c r="Q111" s="254">
        <f>IFERROR(__xludf.DUMMYFUNCTION("""COMPUTED_VALUE"""),8.0)</f>
        <v>8</v>
      </c>
      <c r="R111" s="254">
        <f>IFERROR(__xludf.DUMMYFUNCTION("""COMPUTED_VALUE"""),2211.0)</f>
        <v>2211</v>
      </c>
      <c r="S111" s="254">
        <f>IFERROR(__xludf.DUMMYFUNCTION("""COMPUTED_VALUE"""),0.0)</f>
        <v>0</v>
      </c>
      <c r="T111" s="254">
        <f>IFERROR(__xludf.DUMMYFUNCTION("""COMPUTED_VALUE"""),341.0)</f>
        <v>341</v>
      </c>
      <c r="U111" s="254">
        <f>IFERROR(__xludf.DUMMYFUNCTION("""COMPUTED_VALUE"""),74.0)</f>
        <v>74</v>
      </c>
      <c r="V111" s="254">
        <f>IFERROR(__xludf.DUMMYFUNCTION("""COMPUTED_VALUE"""),72.0)</f>
        <v>72</v>
      </c>
      <c r="W111" s="254">
        <f>IFERROR(__xludf.DUMMYFUNCTION("""COMPUTED_VALUE"""),10.0)</f>
        <v>10</v>
      </c>
      <c r="X111" s="254">
        <f>IFERROR(__xludf.DUMMYFUNCTION("""COMPUTED_VALUE"""),3.0)</f>
        <v>3</v>
      </c>
      <c r="Y111" s="254">
        <f>IFERROR(__xludf.DUMMYFUNCTION("""COMPUTED_VALUE"""),1.0)</f>
        <v>1</v>
      </c>
      <c r="Z111" s="254">
        <f>IFERROR(__xludf.DUMMYFUNCTION("""COMPUTED_VALUE"""),1091.0)</f>
        <v>1091</v>
      </c>
    </row>
    <row r="112">
      <c r="A112" s="253">
        <f>IFERROR(__xludf.DUMMYFUNCTION("""COMPUTED_VALUE"""),44085.0)</f>
        <v>44085</v>
      </c>
      <c r="B112" s="254">
        <f>IFERROR(__xludf.DUMMYFUNCTION("""COMPUTED_VALUE"""),120.0)</f>
        <v>120</v>
      </c>
      <c r="C112" s="254">
        <f>IFERROR(__xludf.DUMMYFUNCTION("""COMPUTED_VALUE"""),134.0)</f>
        <v>134</v>
      </c>
      <c r="D112" s="254">
        <f>IFERROR(__xludf.DUMMYFUNCTION("""COMPUTED_VALUE"""),32569.0)</f>
        <v>32569</v>
      </c>
      <c r="E112" s="254">
        <f>IFERROR(__xludf.DUMMYFUNCTION("""COMPUTED_VALUE"""),9454.0)</f>
        <v>9454</v>
      </c>
      <c r="F112" s="185">
        <f>IFERROR(__xludf.DUMMYFUNCTION("""COMPUTED_VALUE"""),592128.0)</f>
        <v>592128</v>
      </c>
      <c r="G112" s="185">
        <f>IFERROR(__xludf.DUMMYFUNCTION("""COMPUTED_VALUE"""),9574.0)</f>
        <v>9574</v>
      </c>
      <c r="H112" s="185">
        <f>IFERROR(__xludf.DUMMYFUNCTION("""COMPUTED_VALUE"""),624697.0)</f>
        <v>624697</v>
      </c>
      <c r="I112" s="254">
        <f>IFERROR(__xludf.DUMMYFUNCTION("""COMPUTED_VALUE"""),97.0)</f>
        <v>97</v>
      </c>
      <c r="J112" s="254">
        <f>IFERROR(__xludf.DUMMYFUNCTION("""COMPUTED_VALUE"""),103.0)</f>
        <v>103</v>
      </c>
      <c r="K112" s="254">
        <f>IFERROR(__xludf.DUMMYFUNCTION("""COMPUTED_VALUE"""),22793.0)</f>
        <v>22793</v>
      </c>
      <c r="L112" s="254">
        <f>IFERROR(__xludf.DUMMYFUNCTION("""COMPUTED_VALUE"""),1907.0)</f>
        <v>1907</v>
      </c>
      <c r="M112" s="254">
        <f>IFERROR(__xludf.DUMMYFUNCTION("""COMPUTED_VALUE"""),269769.0)</f>
        <v>269769</v>
      </c>
      <c r="N112" s="254">
        <f>IFERROR(__xludf.DUMMYFUNCTION("""COMPUTED_VALUE"""),292562.0)</f>
        <v>292562</v>
      </c>
      <c r="O112" s="254">
        <f>IFERROR(__xludf.DUMMYFUNCTION("""COMPUTED_VALUE"""),11.0)</f>
        <v>11</v>
      </c>
      <c r="P112" s="254">
        <f>IFERROR(__xludf.DUMMYFUNCTION("""COMPUTED_VALUE"""),2637.0)</f>
        <v>2637</v>
      </c>
      <c r="Q112" s="254">
        <f>IFERROR(__xludf.DUMMYFUNCTION("""COMPUTED_VALUE"""),11.0)</f>
        <v>11</v>
      </c>
      <c r="R112" s="254">
        <f>IFERROR(__xludf.DUMMYFUNCTION("""COMPUTED_VALUE"""),2222.0)</f>
        <v>2222</v>
      </c>
      <c r="S112" s="254">
        <f>IFERROR(__xludf.DUMMYFUNCTION("""COMPUTED_VALUE"""),0.0)</f>
        <v>0</v>
      </c>
      <c r="T112" s="254">
        <f>IFERROR(__xludf.DUMMYFUNCTION("""COMPUTED_VALUE"""),341.0)</f>
        <v>341</v>
      </c>
      <c r="U112" s="254">
        <f>IFERROR(__xludf.DUMMYFUNCTION("""COMPUTED_VALUE"""),74.0)</f>
        <v>74</v>
      </c>
      <c r="V112" s="254">
        <f>IFERROR(__xludf.DUMMYFUNCTION("""COMPUTED_VALUE"""),74.0)</f>
        <v>74</v>
      </c>
      <c r="W112" s="254">
        <f>IFERROR(__xludf.DUMMYFUNCTION("""COMPUTED_VALUE"""),10.0)</f>
        <v>10</v>
      </c>
      <c r="X112" s="254">
        <f>IFERROR(__xludf.DUMMYFUNCTION("""COMPUTED_VALUE"""),5.0)</f>
        <v>5</v>
      </c>
      <c r="Y112" s="254">
        <f>IFERROR(__xludf.DUMMYFUNCTION("""COMPUTED_VALUE"""),0.0)</f>
        <v>0</v>
      </c>
      <c r="Z112" s="254">
        <f>IFERROR(__xludf.DUMMYFUNCTION("""COMPUTED_VALUE"""),1091.0)</f>
        <v>1091</v>
      </c>
    </row>
    <row r="113">
      <c r="A113" s="253">
        <f>IFERROR(__xludf.DUMMYFUNCTION("""COMPUTED_VALUE"""),44086.0)</f>
        <v>44086</v>
      </c>
      <c r="B113" s="254">
        <f>IFERROR(__xludf.DUMMYFUNCTION("""COMPUTED_VALUE"""),110.0)</f>
        <v>110</v>
      </c>
      <c r="C113" s="254">
        <f>IFERROR(__xludf.DUMMYFUNCTION("""COMPUTED_VALUE"""),131.0)</f>
        <v>131</v>
      </c>
      <c r="D113" s="254">
        <f>IFERROR(__xludf.DUMMYFUNCTION("""COMPUTED_VALUE"""),32679.0)</f>
        <v>32679</v>
      </c>
      <c r="E113" s="254">
        <f>IFERROR(__xludf.DUMMYFUNCTION("""COMPUTED_VALUE"""),6174.0)</f>
        <v>6174</v>
      </c>
      <c r="F113" s="185">
        <f>IFERROR(__xludf.DUMMYFUNCTION("""COMPUTED_VALUE"""),598302.0)</f>
        <v>598302</v>
      </c>
      <c r="G113" s="185">
        <f>IFERROR(__xludf.DUMMYFUNCTION("""COMPUTED_VALUE"""),6284.0)</f>
        <v>6284</v>
      </c>
      <c r="H113" s="185">
        <f>IFERROR(__xludf.DUMMYFUNCTION("""COMPUTED_VALUE"""),630981.0)</f>
        <v>630981</v>
      </c>
      <c r="I113" s="254">
        <f>IFERROR(__xludf.DUMMYFUNCTION("""COMPUTED_VALUE"""),97.0)</f>
        <v>97</v>
      </c>
      <c r="J113" s="254">
        <f>IFERROR(__xludf.DUMMYFUNCTION("""COMPUTED_VALUE"""),102.0)</f>
        <v>102</v>
      </c>
      <c r="K113" s="254">
        <f>IFERROR(__xludf.DUMMYFUNCTION("""COMPUTED_VALUE"""),22890.0)</f>
        <v>22890</v>
      </c>
      <c r="L113" s="254">
        <f>IFERROR(__xludf.DUMMYFUNCTION("""COMPUTED_VALUE"""),1474.0)</f>
        <v>1474</v>
      </c>
      <c r="M113" s="254">
        <f>IFERROR(__xludf.DUMMYFUNCTION("""COMPUTED_VALUE"""),271243.0)</f>
        <v>271243</v>
      </c>
      <c r="N113" s="254">
        <f>IFERROR(__xludf.DUMMYFUNCTION("""COMPUTED_VALUE"""),294133.0)</f>
        <v>294133</v>
      </c>
      <c r="O113" s="254">
        <f>IFERROR(__xludf.DUMMYFUNCTION("""COMPUTED_VALUE"""),8.0)</f>
        <v>8</v>
      </c>
      <c r="P113" s="254">
        <f>IFERROR(__xludf.DUMMYFUNCTION("""COMPUTED_VALUE"""),2645.0)</f>
        <v>2645</v>
      </c>
      <c r="Q113" s="254">
        <f>IFERROR(__xludf.DUMMYFUNCTION("""COMPUTED_VALUE"""),5.0)</f>
        <v>5</v>
      </c>
      <c r="R113" s="254">
        <f>IFERROR(__xludf.DUMMYFUNCTION("""COMPUTED_VALUE"""),2227.0)</f>
        <v>2227</v>
      </c>
      <c r="S113" s="254">
        <f>IFERROR(__xludf.DUMMYFUNCTION("""COMPUTED_VALUE"""),2.0)</f>
        <v>2</v>
      </c>
      <c r="T113" s="254">
        <f>IFERROR(__xludf.DUMMYFUNCTION("""COMPUTED_VALUE"""),343.0)</f>
        <v>343</v>
      </c>
      <c r="U113" s="254">
        <f>IFERROR(__xludf.DUMMYFUNCTION("""COMPUTED_VALUE"""),75.0)</f>
        <v>75</v>
      </c>
      <c r="V113" s="254">
        <f>IFERROR(__xludf.DUMMYFUNCTION("""COMPUTED_VALUE"""),74.0)</f>
        <v>74</v>
      </c>
      <c r="W113" s="254">
        <f>IFERROR(__xludf.DUMMYFUNCTION("""COMPUTED_VALUE"""),9.0)</f>
        <v>9</v>
      </c>
      <c r="X113" s="254">
        <f>IFERROR(__xludf.DUMMYFUNCTION("""COMPUTED_VALUE"""),5.0)</f>
        <v>5</v>
      </c>
      <c r="Y113" s="254">
        <f>IFERROR(__xludf.DUMMYFUNCTION("""COMPUTED_VALUE"""),3.0)</f>
        <v>3</v>
      </c>
      <c r="Z113" s="254">
        <f>IFERROR(__xludf.DUMMYFUNCTION("""COMPUTED_VALUE"""),1094.0)</f>
        <v>1094</v>
      </c>
    </row>
    <row r="114">
      <c r="A114" s="253">
        <f>IFERROR(__xludf.DUMMYFUNCTION("""COMPUTED_VALUE"""),44087.0)</f>
        <v>44087</v>
      </c>
      <c r="B114" s="254">
        <f>IFERROR(__xludf.DUMMYFUNCTION("""COMPUTED_VALUE"""),58.0)</f>
        <v>58</v>
      </c>
      <c r="C114" s="254">
        <f>IFERROR(__xludf.DUMMYFUNCTION("""COMPUTED_VALUE"""),96.0)</f>
        <v>96</v>
      </c>
      <c r="D114" s="254">
        <f>IFERROR(__xludf.DUMMYFUNCTION("""COMPUTED_VALUE"""),32737.0)</f>
        <v>32737</v>
      </c>
      <c r="E114" s="254">
        <f>IFERROR(__xludf.DUMMYFUNCTION("""COMPUTED_VALUE"""),2717.0)</f>
        <v>2717</v>
      </c>
      <c r="F114" s="185">
        <f>IFERROR(__xludf.DUMMYFUNCTION("""COMPUTED_VALUE"""),601019.0)</f>
        <v>601019</v>
      </c>
      <c r="G114" s="185">
        <f>IFERROR(__xludf.DUMMYFUNCTION("""COMPUTED_VALUE"""),2775.0)</f>
        <v>2775</v>
      </c>
      <c r="H114" s="185">
        <f>IFERROR(__xludf.DUMMYFUNCTION("""COMPUTED_VALUE"""),633756.0)</f>
        <v>633756</v>
      </c>
      <c r="I114" s="254">
        <f>IFERROR(__xludf.DUMMYFUNCTION("""COMPUTED_VALUE"""),54.0)</f>
        <v>54</v>
      </c>
      <c r="J114" s="254">
        <f>IFERROR(__xludf.DUMMYFUNCTION("""COMPUTED_VALUE"""),83.0)</f>
        <v>83</v>
      </c>
      <c r="K114" s="254">
        <f>IFERROR(__xludf.DUMMYFUNCTION("""COMPUTED_VALUE"""),22944.0)</f>
        <v>22944</v>
      </c>
      <c r="L114" s="254">
        <f>IFERROR(__xludf.DUMMYFUNCTION("""COMPUTED_VALUE"""),837.0)</f>
        <v>837</v>
      </c>
      <c r="M114" s="254">
        <f>IFERROR(__xludf.DUMMYFUNCTION("""COMPUTED_VALUE"""),272080.0)</f>
        <v>272080</v>
      </c>
      <c r="N114" s="254">
        <f>IFERROR(__xludf.DUMMYFUNCTION("""COMPUTED_VALUE"""),295024.0)</f>
        <v>295024</v>
      </c>
      <c r="O114" s="254">
        <f>IFERROR(__xludf.DUMMYFUNCTION("""COMPUTED_VALUE"""),4.0)</f>
        <v>4</v>
      </c>
      <c r="P114" s="254">
        <f>IFERROR(__xludf.DUMMYFUNCTION("""COMPUTED_VALUE"""),2649.0)</f>
        <v>2649</v>
      </c>
      <c r="Q114" s="254">
        <f>IFERROR(__xludf.DUMMYFUNCTION("""COMPUTED_VALUE"""),3.0)</f>
        <v>3</v>
      </c>
      <c r="R114" s="254">
        <f>IFERROR(__xludf.DUMMYFUNCTION("""COMPUTED_VALUE"""),2230.0)</f>
        <v>2230</v>
      </c>
      <c r="S114" s="254">
        <f>IFERROR(__xludf.DUMMYFUNCTION("""COMPUTED_VALUE"""),0.0)</f>
        <v>0</v>
      </c>
      <c r="T114" s="254">
        <f>IFERROR(__xludf.DUMMYFUNCTION("""COMPUTED_VALUE"""),343.0)</f>
        <v>343</v>
      </c>
      <c r="U114" s="254">
        <f>IFERROR(__xludf.DUMMYFUNCTION("""COMPUTED_VALUE"""),76.0)</f>
        <v>76</v>
      </c>
      <c r="V114" s="254">
        <f>IFERROR(__xludf.DUMMYFUNCTION("""COMPUTED_VALUE"""),75.0)</f>
        <v>75</v>
      </c>
      <c r="W114" s="254">
        <f>IFERROR(__xludf.DUMMYFUNCTION("""COMPUTED_VALUE"""),10.0)</f>
        <v>10</v>
      </c>
      <c r="X114" s="254">
        <f>IFERROR(__xludf.DUMMYFUNCTION("""COMPUTED_VALUE"""),5.0)</f>
        <v>5</v>
      </c>
      <c r="Y114" s="254">
        <f>IFERROR(__xludf.DUMMYFUNCTION("""COMPUTED_VALUE"""),0.0)</f>
        <v>0</v>
      </c>
      <c r="Z114" s="254">
        <f>IFERROR(__xludf.DUMMYFUNCTION("""COMPUTED_VALUE"""),1094.0)</f>
        <v>1094</v>
      </c>
    </row>
    <row r="115">
      <c r="A115" s="253">
        <f>IFERROR(__xludf.DUMMYFUNCTION("""COMPUTED_VALUE"""),44088.0)</f>
        <v>44088</v>
      </c>
      <c r="B115" s="254">
        <f>IFERROR(__xludf.DUMMYFUNCTION("""COMPUTED_VALUE"""),104.0)</f>
        <v>104</v>
      </c>
      <c r="C115" s="254">
        <f>IFERROR(__xludf.DUMMYFUNCTION("""COMPUTED_VALUE"""),91.0)</f>
        <v>91</v>
      </c>
      <c r="D115" s="254">
        <f>IFERROR(__xludf.DUMMYFUNCTION("""COMPUTED_VALUE"""),32841.0)</f>
        <v>32841</v>
      </c>
      <c r="E115" s="254">
        <f>IFERROR(__xludf.DUMMYFUNCTION("""COMPUTED_VALUE"""),6446.0)</f>
        <v>6446</v>
      </c>
      <c r="F115" s="185">
        <f>IFERROR(__xludf.DUMMYFUNCTION("""COMPUTED_VALUE"""),607465.0)</f>
        <v>607465</v>
      </c>
      <c r="G115" s="185">
        <f>IFERROR(__xludf.DUMMYFUNCTION("""COMPUTED_VALUE"""),6550.0)</f>
        <v>6550</v>
      </c>
      <c r="H115" s="185">
        <f>IFERROR(__xludf.DUMMYFUNCTION("""COMPUTED_VALUE"""),640306.0)</f>
        <v>640306</v>
      </c>
      <c r="I115" s="254">
        <f>IFERROR(__xludf.DUMMYFUNCTION("""COMPUTED_VALUE"""),95.0)</f>
        <v>95</v>
      </c>
      <c r="J115" s="254">
        <f>IFERROR(__xludf.DUMMYFUNCTION("""COMPUTED_VALUE"""),82.0)</f>
        <v>82</v>
      </c>
      <c r="K115" s="254">
        <f>IFERROR(__xludf.DUMMYFUNCTION("""COMPUTED_VALUE"""),23039.0)</f>
        <v>23039</v>
      </c>
      <c r="L115" s="254">
        <f>IFERROR(__xludf.DUMMYFUNCTION("""COMPUTED_VALUE"""),1674.0)</f>
        <v>1674</v>
      </c>
      <c r="M115" s="254">
        <f>IFERROR(__xludf.DUMMYFUNCTION("""COMPUTED_VALUE"""),273754.0)</f>
        <v>273754</v>
      </c>
      <c r="N115" s="254">
        <f>IFERROR(__xludf.DUMMYFUNCTION("""COMPUTED_VALUE"""),296793.0)</f>
        <v>296793</v>
      </c>
      <c r="O115" s="254">
        <f>IFERROR(__xludf.DUMMYFUNCTION("""COMPUTED_VALUE"""),6.0)</f>
        <v>6</v>
      </c>
      <c r="P115" s="254">
        <f>IFERROR(__xludf.DUMMYFUNCTION("""COMPUTED_VALUE"""),2655.0)</f>
        <v>2655</v>
      </c>
      <c r="Q115" s="254">
        <f>IFERROR(__xludf.DUMMYFUNCTION("""COMPUTED_VALUE"""),3.0)</f>
        <v>3</v>
      </c>
      <c r="R115" s="254">
        <f>IFERROR(__xludf.DUMMYFUNCTION("""COMPUTED_VALUE"""),2233.0)</f>
        <v>2233</v>
      </c>
      <c r="S115" s="254">
        <f>IFERROR(__xludf.DUMMYFUNCTION("""COMPUTED_VALUE"""),2.0)</f>
        <v>2</v>
      </c>
      <c r="T115" s="254">
        <f>IFERROR(__xludf.DUMMYFUNCTION("""COMPUTED_VALUE"""),345.0)</f>
        <v>345</v>
      </c>
      <c r="U115" s="254">
        <f>IFERROR(__xludf.DUMMYFUNCTION("""COMPUTED_VALUE"""),77.0)</f>
        <v>77</v>
      </c>
      <c r="V115" s="254">
        <f>IFERROR(__xludf.DUMMYFUNCTION("""COMPUTED_VALUE"""),76.0)</f>
        <v>76</v>
      </c>
      <c r="W115" s="254">
        <f>IFERROR(__xludf.DUMMYFUNCTION("""COMPUTED_VALUE"""),10.0)</f>
        <v>10</v>
      </c>
      <c r="X115" s="254">
        <f>IFERROR(__xludf.DUMMYFUNCTION("""COMPUTED_VALUE"""),5.0)</f>
        <v>5</v>
      </c>
      <c r="Y115" s="254">
        <f>IFERROR(__xludf.DUMMYFUNCTION("""COMPUTED_VALUE"""),2.0)</f>
        <v>2</v>
      </c>
      <c r="Z115" s="254">
        <f>IFERROR(__xludf.DUMMYFUNCTION("""COMPUTED_VALUE"""),1096.0)</f>
        <v>1096</v>
      </c>
    </row>
    <row r="116">
      <c r="A116" s="253">
        <f>IFERROR(__xludf.DUMMYFUNCTION("""COMPUTED_VALUE"""),44089.0)</f>
        <v>44089</v>
      </c>
      <c r="B116" s="254">
        <f>IFERROR(__xludf.DUMMYFUNCTION("""COMPUTED_VALUE"""),122.0)</f>
        <v>122</v>
      </c>
      <c r="C116" s="254">
        <f>IFERROR(__xludf.DUMMYFUNCTION("""COMPUTED_VALUE"""),95.0)</f>
        <v>95</v>
      </c>
      <c r="D116" s="254">
        <f>IFERROR(__xludf.DUMMYFUNCTION("""COMPUTED_VALUE"""),32963.0)</f>
        <v>32963</v>
      </c>
      <c r="E116" s="254">
        <f>IFERROR(__xludf.DUMMYFUNCTION("""COMPUTED_VALUE"""),8470.0)</f>
        <v>8470</v>
      </c>
      <c r="F116" s="185">
        <f>IFERROR(__xludf.DUMMYFUNCTION("""COMPUTED_VALUE"""),615935.0)</f>
        <v>615935</v>
      </c>
      <c r="G116" s="185">
        <f>IFERROR(__xludf.DUMMYFUNCTION("""COMPUTED_VALUE"""),8592.0)</f>
        <v>8592</v>
      </c>
      <c r="H116" s="185">
        <f>IFERROR(__xludf.DUMMYFUNCTION("""COMPUTED_VALUE"""),648898.0)</f>
        <v>648898</v>
      </c>
      <c r="I116" s="254">
        <f>IFERROR(__xludf.DUMMYFUNCTION("""COMPUTED_VALUE"""),124.0)</f>
        <v>124</v>
      </c>
      <c r="J116" s="254">
        <f>IFERROR(__xludf.DUMMYFUNCTION("""COMPUTED_VALUE"""),91.0)</f>
        <v>91</v>
      </c>
      <c r="K116" s="254">
        <f>IFERROR(__xludf.DUMMYFUNCTION("""COMPUTED_VALUE"""),23163.0)</f>
        <v>23163</v>
      </c>
      <c r="L116" s="254">
        <f>IFERROR(__xludf.DUMMYFUNCTION("""COMPUTED_VALUE"""),2133.0)</f>
        <v>2133</v>
      </c>
      <c r="M116" s="254">
        <f>IFERROR(__xludf.DUMMYFUNCTION("""COMPUTED_VALUE"""),275887.0)</f>
        <v>275887</v>
      </c>
      <c r="N116" s="254">
        <f>IFERROR(__xludf.DUMMYFUNCTION("""COMPUTED_VALUE"""),299050.0)</f>
        <v>299050</v>
      </c>
      <c r="O116" s="254">
        <f>IFERROR(__xludf.DUMMYFUNCTION("""COMPUTED_VALUE"""),7.0)</f>
        <v>7</v>
      </c>
      <c r="P116" s="254">
        <f>IFERROR(__xludf.DUMMYFUNCTION("""COMPUTED_VALUE"""),2662.0)</f>
        <v>2662</v>
      </c>
      <c r="Q116" s="254">
        <f>IFERROR(__xludf.DUMMYFUNCTION("""COMPUTED_VALUE"""),2.0)</f>
        <v>2</v>
      </c>
      <c r="R116" s="254">
        <f>IFERROR(__xludf.DUMMYFUNCTION("""COMPUTED_VALUE"""),2235.0)</f>
        <v>2235</v>
      </c>
      <c r="S116" s="254">
        <f>IFERROR(__xludf.DUMMYFUNCTION("""COMPUTED_VALUE"""),1.0)</f>
        <v>1</v>
      </c>
      <c r="T116" s="254">
        <f>IFERROR(__xludf.DUMMYFUNCTION("""COMPUTED_VALUE"""),346.0)</f>
        <v>346</v>
      </c>
      <c r="U116" s="254">
        <f>IFERROR(__xludf.DUMMYFUNCTION("""COMPUTED_VALUE"""),81.0)</f>
        <v>81</v>
      </c>
      <c r="V116" s="254">
        <f>IFERROR(__xludf.DUMMYFUNCTION("""COMPUTED_VALUE"""),78.0)</f>
        <v>78</v>
      </c>
      <c r="W116" s="254">
        <f>IFERROR(__xludf.DUMMYFUNCTION("""COMPUTED_VALUE"""),10.0)</f>
        <v>10</v>
      </c>
      <c r="X116" s="254">
        <f>IFERROR(__xludf.DUMMYFUNCTION("""COMPUTED_VALUE"""),5.0)</f>
        <v>5</v>
      </c>
      <c r="Y116" s="254">
        <f>IFERROR(__xludf.DUMMYFUNCTION("""COMPUTED_VALUE"""),2.0)</f>
        <v>2</v>
      </c>
      <c r="Z116" s="254">
        <f>IFERROR(__xludf.DUMMYFUNCTION("""COMPUTED_VALUE"""),1098.0)</f>
        <v>1098</v>
      </c>
    </row>
    <row r="117">
      <c r="A117" s="253">
        <f>IFERROR(__xludf.DUMMYFUNCTION("""COMPUTED_VALUE"""),44090.0)</f>
        <v>44090</v>
      </c>
      <c r="B117" s="254">
        <f>IFERROR(__xludf.DUMMYFUNCTION("""COMPUTED_VALUE"""),137.0)</f>
        <v>137</v>
      </c>
      <c r="C117" s="254">
        <f>IFERROR(__xludf.DUMMYFUNCTION("""COMPUTED_VALUE"""),121.0)</f>
        <v>121</v>
      </c>
      <c r="D117" s="254">
        <f>IFERROR(__xludf.DUMMYFUNCTION("""COMPUTED_VALUE"""),33100.0)</f>
        <v>33100</v>
      </c>
      <c r="E117" s="254">
        <f>IFERROR(__xludf.DUMMYFUNCTION("""COMPUTED_VALUE"""),9716.0)</f>
        <v>9716</v>
      </c>
      <c r="F117" s="185">
        <f>IFERROR(__xludf.DUMMYFUNCTION("""COMPUTED_VALUE"""),625651.0)</f>
        <v>625651</v>
      </c>
      <c r="G117" s="185">
        <f>IFERROR(__xludf.DUMMYFUNCTION("""COMPUTED_VALUE"""),9853.0)</f>
        <v>9853</v>
      </c>
      <c r="H117" s="185">
        <f>IFERROR(__xludf.DUMMYFUNCTION("""COMPUTED_VALUE"""),658751.0)</f>
        <v>658751</v>
      </c>
      <c r="I117" s="254">
        <f>IFERROR(__xludf.DUMMYFUNCTION("""COMPUTED_VALUE"""),118.0)</f>
        <v>118</v>
      </c>
      <c r="J117" s="254">
        <f>IFERROR(__xludf.DUMMYFUNCTION("""COMPUTED_VALUE"""),112.0)</f>
        <v>112</v>
      </c>
      <c r="K117" s="254">
        <f>IFERROR(__xludf.DUMMYFUNCTION("""COMPUTED_VALUE"""),23281.0)</f>
        <v>23281</v>
      </c>
      <c r="L117" s="254">
        <f>IFERROR(__xludf.DUMMYFUNCTION("""COMPUTED_VALUE"""),1914.0)</f>
        <v>1914</v>
      </c>
      <c r="M117" s="254">
        <f>IFERROR(__xludf.DUMMYFUNCTION("""COMPUTED_VALUE"""),277801.0)</f>
        <v>277801</v>
      </c>
      <c r="N117" s="254">
        <f>IFERROR(__xludf.DUMMYFUNCTION("""COMPUTED_VALUE"""),301082.0)</f>
        <v>301082</v>
      </c>
      <c r="O117" s="254">
        <f>IFERROR(__xludf.DUMMYFUNCTION("""COMPUTED_VALUE"""),7.0)</f>
        <v>7</v>
      </c>
      <c r="P117" s="254">
        <f>IFERROR(__xludf.DUMMYFUNCTION("""COMPUTED_VALUE"""),2669.0)</f>
        <v>2669</v>
      </c>
      <c r="Q117" s="254">
        <f>IFERROR(__xludf.DUMMYFUNCTION("""COMPUTED_VALUE"""),7.0)</f>
        <v>7</v>
      </c>
      <c r="R117" s="254">
        <f>IFERROR(__xludf.DUMMYFUNCTION("""COMPUTED_VALUE"""),2242.0)</f>
        <v>2242</v>
      </c>
      <c r="S117" s="254">
        <f>IFERROR(__xludf.DUMMYFUNCTION("""COMPUTED_VALUE"""),2.0)</f>
        <v>2</v>
      </c>
      <c r="T117" s="254">
        <f>IFERROR(__xludf.DUMMYFUNCTION("""COMPUTED_VALUE"""),348.0)</f>
        <v>348</v>
      </c>
      <c r="U117" s="254">
        <f>IFERROR(__xludf.DUMMYFUNCTION("""COMPUTED_VALUE"""),79.0)</f>
        <v>79</v>
      </c>
      <c r="V117" s="254">
        <f>IFERROR(__xludf.DUMMYFUNCTION("""COMPUTED_VALUE"""),79.0)</f>
        <v>79</v>
      </c>
      <c r="W117" s="254">
        <f>IFERROR(__xludf.DUMMYFUNCTION("""COMPUTED_VALUE"""),9.0)</f>
        <v>9</v>
      </c>
      <c r="X117" s="254">
        <f>IFERROR(__xludf.DUMMYFUNCTION("""COMPUTED_VALUE"""),6.0)</f>
        <v>6</v>
      </c>
      <c r="Y117" s="254">
        <f>IFERROR(__xludf.DUMMYFUNCTION("""COMPUTED_VALUE"""),5.0)</f>
        <v>5</v>
      </c>
      <c r="Z117" s="254">
        <f>IFERROR(__xludf.DUMMYFUNCTION("""COMPUTED_VALUE"""),1103.0)</f>
        <v>1103</v>
      </c>
    </row>
    <row r="118">
      <c r="A118" s="253">
        <f>IFERROR(__xludf.DUMMYFUNCTION("""COMPUTED_VALUE"""),44091.0)</f>
        <v>44091</v>
      </c>
      <c r="B118" s="254">
        <f>IFERROR(__xludf.DUMMYFUNCTION("""COMPUTED_VALUE"""),125.0)</f>
        <v>125</v>
      </c>
      <c r="C118" s="254">
        <f>IFERROR(__xludf.DUMMYFUNCTION("""COMPUTED_VALUE"""),128.0)</f>
        <v>128</v>
      </c>
      <c r="D118" s="254">
        <f>IFERROR(__xludf.DUMMYFUNCTION("""COMPUTED_VALUE"""),33225.0)</f>
        <v>33225</v>
      </c>
      <c r="E118" s="254">
        <f>IFERROR(__xludf.DUMMYFUNCTION("""COMPUTED_VALUE"""),9239.0)</f>
        <v>9239</v>
      </c>
      <c r="F118" s="185">
        <f>IFERROR(__xludf.DUMMYFUNCTION("""COMPUTED_VALUE"""),634890.0)</f>
        <v>634890</v>
      </c>
      <c r="G118" s="185">
        <f>IFERROR(__xludf.DUMMYFUNCTION("""COMPUTED_VALUE"""),9364.0)</f>
        <v>9364</v>
      </c>
      <c r="H118" s="185">
        <f>IFERROR(__xludf.DUMMYFUNCTION("""COMPUTED_VALUE"""),668115.0)</f>
        <v>668115</v>
      </c>
      <c r="I118" s="254">
        <f>IFERROR(__xludf.DUMMYFUNCTION("""COMPUTED_VALUE"""),154.0)</f>
        <v>154</v>
      </c>
      <c r="J118" s="254">
        <f>IFERROR(__xludf.DUMMYFUNCTION("""COMPUTED_VALUE"""),132.0)</f>
        <v>132</v>
      </c>
      <c r="K118" s="254">
        <f>IFERROR(__xludf.DUMMYFUNCTION("""COMPUTED_VALUE"""),23435.0)</f>
        <v>23435</v>
      </c>
      <c r="L118" s="254">
        <f>IFERROR(__xludf.DUMMYFUNCTION("""COMPUTED_VALUE"""),1893.0)</f>
        <v>1893</v>
      </c>
      <c r="M118" s="254">
        <f>IFERROR(__xludf.DUMMYFUNCTION("""COMPUTED_VALUE"""),279694.0)</f>
        <v>279694</v>
      </c>
      <c r="N118" s="254">
        <f>IFERROR(__xludf.DUMMYFUNCTION("""COMPUTED_VALUE"""),303129.0)</f>
        <v>303129</v>
      </c>
      <c r="O118" s="254">
        <f>IFERROR(__xludf.DUMMYFUNCTION("""COMPUTED_VALUE"""),7.0)</f>
        <v>7</v>
      </c>
      <c r="P118" s="254">
        <f>IFERROR(__xludf.DUMMYFUNCTION("""COMPUTED_VALUE"""),2676.0)</f>
        <v>2676</v>
      </c>
      <c r="Q118" s="254">
        <f>IFERROR(__xludf.DUMMYFUNCTION("""COMPUTED_VALUE"""),15.0)</f>
        <v>15</v>
      </c>
      <c r="R118" s="254">
        <f>IFERROR(__xludf.DUMMYFUNCTION("""COMPUTED_VALUE"""),2257.0)</f>
        <v>2257</v>
      </c>
      <c r="S118" s="254">
        <f>IFERROR(__xludf.DUMMYFUNCTION("""COMPUTED_VALUE"""),0.0)</f>
        <v>0</v>
      </c>
      <c r="T118" s="254">
        <f>IFERROR(__xludf.DUMMYFUNCTION("""COMPUTED_VALUE"""),348.0)</f>
        <v>348</v>
      </c>
      <c r="U118" s="254">
        <f>IFERROR(__xludf.DUMMYFUNCTION("""COMPUTED_VALUE"""),71.0)</f>
        <v>71</v>
      </c>
      <c r="V118" s="254">
        <f>IFERROR(__xludf.DUMMYFUNCTION("""COMPUTED_VALUE"""),77.0)</f>
        <v>77</v>
      </c>
      <c r="W118" s="254">
        <f>IFERROR(__xludf.DUMMYFUNCTION("""COMPUTED_VALUE"""),8.0)</f>
        <v>8</v>
      </c>
      <c r="X118" s="254">
        <f>IFERROR(__xludf.DUMMYFUNCTION("""COMPUTED_VALUE"""),4.0)</f>
        <v>4</v>
      </c>
      <c r="Y118" s="254">
        <f>IFERROR(__xludf.DUMMYFUNCTION("""COMPUTED_VALUE"""),0.0)</f>
        <v>0</v>
      </c>
      <c r="Z118" s="254">
        <f>IFERROR(__xludf.DUMMYFUNCTION("""COMPUTED_VALUE"""),1103.0)</f>
        <v>1103</v>
      </c>
    </row>
    <row r="119">
      <c r="A119" s="253">
        <f>IFERROR(__xludf.DUMMYFUNCTION("""COMPUTED_VALUE"""),44092.0)</f>
        <v>44092</v>
      </c>
      <c r="B119" s="254">
        <f>IFERROR(__xludf.DUMMYFUNCTION("""COMPUTED_VALUE"""),132.0)</f>
        <v>132</v>
      </c>
      <c r="C119" s="254">
        <f>IFERROR(__xludf.DUMMYFUNCTION("""COMPUTED_VALUE"""),131.0)</f>
        <v>131</v>
      </c>
      <c r="D119" s="254">
        <f>IFERROR(__xludf.DUMMYFUNCTION("""COMPUTED_VALUE"""),33357.0)</f>
        <v>33357</v>
      </c>
      <c r="E119" s="254">
        <f>IFERROR(__xludf.DUMMYFUNCTION("""COMPUTED_VALUE"""),10045.0)</f>
        <v>10045</v>
      </c>
      <c r="F119" s="185">
        <f>IFERROR(__xludf.DUMMYFUNCTION("""COMPUTED_VALUE"""),644935.0)</f>
        <v>644935</v>
      </c>
      <c r="G119" s="185">
        <f>IFERROR(__xludf.DUMMYFUNCTION("""COMPUTED_VALUE"""),10177.0)</f>
        <v>10177</v>
      </c>
      <c r="H119" s="185">
        <f>IFERROR(__xludf.DUMMYFUNCTION("""COMPUTED_VALUE"""),678292.0)</f>
        <v>678292</v>
      </c>
      <c r="I119" s="254">
        <f>IFERROR(__xludf.DUMMYFUNCTION("""COMPUTED_VALUE"""),132.0)</f>
        <v>132</v>
      </c>
      <c r="J119" s="254">
        <f>IFERROR(__xludf.DUMMYFUNCTION("""COMPUTED_VALUE"""),135.0)</f>
        <v>135</v>
      </c>
      <c r="K119" s="254">
        <f>IFERROR(__xludf.DUMMYFUNCTION("""COMPUTED_VALUE"""),23567.0)</f>
        <v>23567</v>
      </c>
      <c r="L119" s="254">
        <f>IFERROR(__xludf.DUMMYFUNCTION("""COMPUTED_VALUE"""),1875.0)</f>
        <v>1875</v>
      </c>
      <c r="M119" s="254">
        <f>IFERROR(__xludf.DUMMYFUNCTION("""COMPUTED_VALUE"""),281569.0)</f>
        <v>281569</v>
      </c>
      <c r="N119" s="254">
        <f>IFERROR(__xludf.DUMMYFUNCTION("""COMPUTED_VALUE"""),305136.0)</f>
        <v>305136</v>
      </c>
      <c r="O119" s="254">
        <f>IFERROR(__xludf.DUMMYFUNCTION("""COMPUTED_VALUE"""),7.0)</f>
        <v>7</v>
      </c>
      <c r="P119" s="254">
        <f>IFERROR(__xludf.DUMMYFUNCTION("""COMPUTED_VALUE"""),2683.0)</f>
        <v>2683</v>
      </c>
      <c r="Q119" s="254">
        <f>IFERROR(__xludf.DUMMYFUNCTION("""COMPUTED_VALUE"""),7.0)</f>
        <v>7</v>
      </c>
      <c r="R119" s="254">
        <f>IFERROR(__xludf.DUMMYFUNCTION("""COMPUTED_VALUE"""),2264.0)</f>
        <v>2264</v>
      </c>
      <c r="S119" s="254">
        <f>IFERROR(__xludf.DUMMYFUNCTION("""COMPUTED_VALUE"""),1.0)</f>
        <v>1</v>
      </c>
      <c r="T119" s="254">
        <f>IFERROR(__xludf.DUMMYFUNCTION("""COMPUTED_VALUE"""),349.0)</f>
        <v>349</v>
      </c>
      <c r="U119" s="254">
        <f>IFERROR(__xludf.DUMMYFUNCTION("""COMPUTED_VALUE"""),70.0)</f>
        <v>70</v>
      </c>
      <c r="V119" s="254">
        <f>IFERROR(__xludf.DUMMYFUNCTION("""COMPUTED_VALUE"""),73.0)</f>
        <v>73</v>
      </c>
      <c r="W119" s="254">
        <f>IFERROR(__xludf.DUMMYFUNCTION("""COMPUTED_VALUE"""),11.0)</f>
        <v>11</v>
      </c>
      <c r="X119" s="254">
        <f>IFERROR(__xludf.DUMMYFUNCTION("""COMPUTED_VALUE"""),6.0)</f>
        <v>6</v>
      </c>
      <c r="Y119" s="254">
        <f>IFERROR(__xludf.DUMMYFUNCTION("""COMPUTED_VALUE"""),2.0)</f>
        <v>2</v>
      </c>
      <c r="Z119" s="254">
        <f>IFERROR(__xludf.DUMMYFUNCTION("""COMPUTED_VALUE"""),1105.0)</f>
        <v>1105</v>
      </c>
    </row>
    <row r="120">
      <c r="A120" s="253">
        <f>IFERROR(__xludf.DUMMYFUNCTION("""COMPUTED_VALUE"""),44093.0)</f>
        <v>44093</v>
      </c>
      <c r="B120" s="254">
        <f>IFERROR(__xludf.DUMMYFUNCTION("""COMPUTED_VALUE"""),115.0)</f>
        <v>115</v>
      </c>
      <c r="C120" s="254">
        <f>IFERROR(__xludf.DUMMYFUNCTION("""COMPUTED_VALUE"""),124.0)</f>
        <v>124</v>
      </c>
      <c r="D120" s="254">
        <f>IFERROR(__xludf.DUMMYFUNCTION("""COMPUTED_VALUE"""),33472.0)</f>
        <v>33472</v>
      </c>
      <c r="E120" s="254">
        <f>IFERROR(__xludf.DUMMYFUNCTION("""COMPUTED_VALUE"""),8297.0)</f>
        <v>8297</v>
      </c>
      <c r="F120" s="185">
        <f>IFERROR(__xludf.DUMMYFUNCTION("""COMPUTED_VALUE"""),653232.0)</f>
        <v>653232</v>
      </c>
      <c r="G120" s="185">
        <f>IFERROR(__xludf.DUMMYFUNCTION("""COMPUTED_VALUE"""),8412.0)</f>
        <v>8412</v>
      </c>
      <c r="H120" s="185">
        <f>IFERROR(__xludf.DUMMYFUNCTION("""COMPUTED_VALUE"""),686704.0)</f>
        <v>686704</v>
      </c>
      <c r="I120" s="254">
        <f>IFERROR(__xludf.DUMMYFUNCTION("""COMPUTED_VALUE"""),112.0)</f>
        <v>112</v>
      </c>
      <c r="J120" s="254">
        <f>IFERROR(__xludf.DUMMYFUNCTION("""COMPUTED_VALUE"""),133.0)</f>
        <v>133</v>
      </c>
      <c r="K120" s="254">
        <f>IFERROR(__xludf.DUMMYFUNCTION("""COMPUTED_VALUE"""),23679.0)</f>
        <v>23679</v>
      </c>
      <c r="L120" s="254">
        <f>IFERROR(__xludf.DUMMYFUNCTION("""COMPUTED_VALUE"""),1657.0)</f>
        <v>1657</v>
      </c>
      <c r="M120" s="254">
        <f>IFERROR(__xludf.DUMMYFUNCTION("""COMPUTED_VALUE"""),283226.0)</f>
        <v>283226</v>
      </c>
      <c r="N120" s="254">
        <f>IFERROR(__xludf.DUMMYFUNCTION("""COMPUTED_VALUE"""),306905.0)</f>
        <v>306905</v>
      </c>
      <c r="O120" s="254">
        <f>IFERROR(__xludf.DUMMYFUNCTION("""COMPUTED_VALUE"""),7.0)</f>
        <v>7</v>
      </c>
      <c r="P120" s="254">
        <f>IFERROR(__xludf.DUMMYFUNCTION("""COMPUTED_VALUE"""),2690.0)</f>
        <v>2690</v>
      </c>
      <c r="Q120" s="254">
        <f>IFERROR(__xludf.DUMMYFUNCTION("""COMPUTED_VALUE"""),3.0)</f>
        <v>3</v>
      </c>
      <c r="R120" s="254">
        <f>IFERROR(__xludf.DUMMYFUNCTION("""COMPUTED_VALUE"""),2267.0)</f>
        <v>2267</v>
      </c>
      <c r="S120" s="254">
        <f>IFERROR(__xludf.DUMMYFUNCTION("""COMPUTED_VALUE"""),0.0)</f>
        <v>0</v>
      </c>
      <c r="T120" s="254">
        <f>IFERROR(__xludf.DUMMYFUNCTION("""COMPUTED_VALUE"""),349.0)</f>
        <v>349</v>
      </c>
      <c r="U120" s="254">
        <f>IFERROR(__xludf.DUMMYFUNCTION("""COMPUTED_VALUE"""),74.0)</f>
        <v>74</v>
      </c>
      <c r="V120" s="254">
        <f>IFERROR(__xludf.DUMMYFUNCTION("""COMPUTED_VALUE"""),72.0)</f>
        <v>72</v>
      </c>
      <c r="W120" s="254">
        <f>IFERROR(__xludf.DUMMYFUNCTION("""COMPUTED_VALUE"""),10.0)</f>
        <v>10</v>
      </c>
      <c r="X120" s="254">
        <f>IFERROR(__xludf.DUMMYFUNCTION("""COMPUTED_VALUE"""),6.0)</f>
        <v>6</v>
      </c>
      <c r="Y120" s="254">
        <f>IFERROR(__xludf.DUMMYFUNCTION("""COMPUTED_VALUE"""),4.0)</f>
        <v>4</v>
      </c>
      <c r="Z120" s="254">
        <f>IFERROR(__xludf.DUMMYFUNCTION("""COMPUTED_VALUE"""),1109.0)</f>
        <v>1109</v>
      </c>
    </row>
    <row r="121">
      <c r="A121" s="253">
        <f>IFERROR(__xludf.DUMMYFUNCTION("""COMPUTED_VALUE"""),44094.0)</f>
        <v>44094</v>
      </c>
      <c r="B121" s="254">
        <f>IFERROR(__xludf.DUMMYFUNCTION("""COMPUTED_VALUE"""),60.0)</f>
        <v>60</v>
      </c>
      <c r="C121" s="254">
        <f>IFERROR(__xludf.DUMMYFUNCTION("""COMPUTED_VALUE"""),102.0)</f>
        <v>102</v>
      </c>
      <c r="D121" s="254">
        <f>IFERROR(__xludf.DUMMYFUNCTION("""COMPUTED_VALUE"""),33532.0)</f>
        <v>33532</v>
      </c>
      <c r="E121" s="254">
        <f>IFERROR(__xludf.DUMMYFUNCTION("""COMPUTED_VALUE"""),3676.0)</f>
        <v>3676</v>
      </c>
      <c r="F121" s="185">
        <f>IFERROR(__xludf.DUMMYFUNCTION("""COMPUTED_VALUE"""),656908.0)</f>
        <v>656908</v>
      </c>
      <c r="G121" s="185">
        <f>IFERROR(__xludf.DUMMYFUNCTION("""COMPUTED_VALUE"""),3736.0)</f>
        <v>3736</v>
      </c>
      <c r="H121" s="185">
        <f>IFERROR(__xludf.DUMMYFUNCTION("""COMPUTED_VALUE"""),690440.0)</f>
        <v>690440</v>
      </c>
      <c r="I121" s="254">
        <f>IFERROR(__xludf.DUMMYFUNCTION("""COMPUTED_VALUE"""),49.0)</f>
        <v>49</v>
      </c>
      <c r="J121" s="254">
        <f>IFERROR(__xludf.DUMMYFUNCTION("""COMPUTED_VALUE"""),98.0)</f>
        <v>98</v>
      </c>
      <c r="K121" s="254">
        <f>IFERROR(__xludf.DUMMYFUNCTION("""COMPUTED_VALUE"""),23728.0)</f>
        <v>23728</v>
      </c>
      <c r="L121" s="254">
        <f>IFERROR(__xludf.DUMMYFUNCTION("""COMPUTED_VALUE"""),1294.0)</f>
        <v>1294</v>
      </c>
      <c r="M121" s="254">
        <f>IFERROR(__xludf.DUMMYFUNCTION("""COMPUTED_VALUE"""),284520.0)</f>
        <v>284520</v>
      </c>
      <c r="N121" s="254">
        <f>IFERROR(__xludf.DUMMYFUNCTION("""COMPUTED_VALUE"""),308248.0)</f>
        <v>308248</v>
      </c>
      <c r="O121" s="254">
        <f>IFERROR(__xludf.DUMMYFUNCTION("""COMPUTED_VALUE"""),7.0)</f>
        <v>7</v>
      </c>
      <c r="P121" s="254">
        <f>IFERROR(__xludf.DUMMYFUNCTION("""COMPUTED_VALUE"""),2697.0)</f>
        <v>2697</v>
      </c>
      <c r="Q121" s="254">
        <f>IFERROR(__xludf.DUMMYFUNCTION("""COMPUTED_VALUE"""),6.0)</f>
        <v>6</v>
      </c>
      <c r="R121" s="254">
        <f>IFERROR(__xludf.DUMMYFUNCTION("""COMPUTED_VALUE"""),2273.0)</f>
        <v>2273</v>
      </c>
      <c r="S121" s="254">
        <f>IFERROR(__xludf.DUMMYFUNCTION("""COMPUTED_VALUE"""),2.0)</f>
        <v>2</v>
      </c>
      <c r="T121" s="254">
        <f>IFERROR(__xludf.DUMMYFUNCTION("""COMPUTED_VALUE"""),351.0)</f>
        <v>351</v>
      </c>
      <c r="U121" s="254">
        <f>IFERROR(__xludf.DUMMYFUNCTION("""COMPUTED_VALUE"""),73.0)</f>
        <v>73</v>
      </c>
      <c r="V121" s="254">
        <f>IFERROR(__xludf.DUMMYFUNCTION("""COMPUTED_VALUE"""),72.0)</f>
        <v>72</v>
      </c>
      <c r="W121" s="254">
        <f>IFERROR(__xludf.DUMMYFUNCTION("""COMPUTED_VALUE"""),9.0)</f>
        <v>9</v>
      </c>
      <c r="X121" s="254">
        <f>IFERROR(__xludf.DUMMYFUNCTION("""COMPUTED_VALUE"""),8.0)</f>
        <v>8</v>
      </c>
      <c r="Y121" s="254">
        <f>IFERROR(__xludf.DUMMYFUNCTION("""COMPUTED_VALUE"""),4.0)</f>
        <v>4</v>
      </c>
      <c r="Z121" s="254">
        <f>IFERROR(__xludf.DUMMYFUNCTION("""COMPUTED_VALUE"""),1113.0)</f>
        <v>1113</v>
      </c>
    </row>
    <row r="122">
      <c r="A122" s="253">
        <f>IFERROR(__xludf.DUMMYFUNCTION("""COMPUTED_VALUE"""),44095.0)</f>
        <v>44095</v>
      </c>
      <c r="B122" s="254">
        <f>IFERROR(__xludf.DUMMYFUNCTION("""COMPUTED_VALUE"""),102.0)</f>
        <v>102</v>
      </c>
      <c r="C122" s="254">
        <f>IFERROR(__xludf.DUMMYFUNCTION("""COMPUTED_VALUE"""),92.0)</f>
        <v>92</v>
      </c>
      <c r="D122" s="254">
        <f>IFERROR(__xludf.DUMMYFUNCTION("""COMPUTED_VALUE"""),33634.0)</f>
        <v>33634</v>
      </c>
      <c r="E122" s="254">
        <f>IFERROR(__xludf.DUMMYFUNCTION("""COMPUTED_VALUE"""),7018.0)</f>
        <v>7018</v>
      </c>
      <c r="F122" s="185">
        <f>IFERROR(__xludf.DUMMYFUNCTION("""COMPUTED_VALUE"""),663926.0)</f>
        <v>663926</v>
      </c>
      <c r="G122" s="185">
        <f>IFERROR(__xludf.DUMMYFUNCTION("""COMPUTED_VALUE"""),7120.0)</f>
        <v>7120</v>
      </c>
      <c r="H122" s="185">
        <f>IFERROR(__xludf.DUMMYFUNCTION("""COMPUTED_VALUE"""),697560.0)</f>
        <v>697560</v>
      </c>
      <c r="I122" s="254">
        <f>IFERROR(__xludf.DUMMYFUNCTION("""COMPUTED_VALUE"""),94.0)</f>
        <v>94</v>
      </c>
      <c r="J122" s="254">
        <f>IFERROR(__xludf.DUMMYFUNCTION("""COMPUTED_VALUE"""),85.0)</f>
        <v>85</v>
      </c>
      <c r="K122" s="254">
        <f>IFERROR(__xludf.DUMMYFUNCTION("""COMPUTED_VALUE"""),23822.0)</f>
        <v>23822</v>
      </c>
      <c r="L122" s="254">
        <f>IFERROR(__xludf.DUMMYFUNCTION("""COMPUTED_VALUE"""),2352.0)</f>
        <v>2352</v>
      </c>
      <c r="M122" s="254">
        <f>IFERROR(__xludf.DUMMYFUNCTION("""COMPUTED_VALUE"""),286872.0)</f>
        <v>286872</v>
      </c>
      <c r="N122" s="254">
        <f>IFERROR(__xludf.DUMMYFUNCTION("""COMPUTED_VALUE"""),310694.0)</f>
        <v>310694</v>
      </c>
      <c r="O122" s="254">
        <f>IFERROR(__xludf.DUMMYFUNCTION("""COMPUTED_VALUE"""),12.0)</f>
        <v>12</v>
      </c>
      <c r="P122" s="254">
        <f>IFERROR(__xludf.DUMMYFUNCTION("""COMPUTED_VALUE"""),2709.0)</f>
        <v>2709</v>
      </c>
      <c r="Q122" s="254">
        <f>IFERROR(__xludf.DUMMYFUNCTION("""COMPUTED_VALUE"""),3.0)</f>
        <v>3</v>
      </c>
      <c r="R122" s="254">
        <f>IFERROR(__xludf.DUMMYFUNCTION("""COMPUTED_VALUE"""),2276.0)</f>
        <v>2276</v>
      </c>
      <c r="S122" s="254">
        <f>IFERROR(__xludf.DUMMYFUNCTION("""COMPUTED_VALUE"""),2.0)</f>
        <v>2</v>
      </c>
      <c r="T122" s="254">
        <f>IFERROR(__xludf.DUMMYFUNCTION("""COMPUTED_VALUE"""),353.0)</f>
        <v>353</v>
      </c>
      <c r="U122" s="254">
        <f>IFERROR(__xludf.DUMMYFUNCTION("""COMPUTED_VALUE"""),80.0)</f>
        <v>80</v>
      </c>
      <c r="V122" s="254">
        <f>IFERROR(__xludf.DUMMYFUNCTION("""COMPUTED_VALUE"""),76.0)</f>
        <v>76</v>
      </c>
      <c r="W122" s="254">
        <f>IFERROR(__xludf.DUMMYFUNCTION("""COMPUTED_VALUE"""),8.0)</f>
        <v>8</v>
      </c>
      <c r="X122" s="254">
        <f>IFERROR(__xludf.DUMMYFUNCTION("""COMPUTED_VALUE"""),6.0)</f>
        <v>6</v>
      </c>
      <c r="Y122" s="254">
        <f>IFERROR(__xludf.DUMMYFUNCTION("""COMPUTED_VALUE"""),2.0)</f>
        <v>2</v>
      </c>
      <c r="Z122" s="254">
        <f>IFERROR(__xludf.DUMMYFUNCTION("""COMPUTED_VALUE"""),1115.0)</f>
        <v>1115</v>
      </c>
    </row>
    <row r="123">
      <c r="A123" s="253">
        <f>IFERROR(__xludf.DUMMYFUNCTION("""COMPUTED_VALUE"""),44096.0)</f>
        <v>44096</v>
      </c>
      <c r="B123" s="254">
        <f>IFERROR(__xludf.DUMMYFUNCTION("""COMPUTED_VALUE"""),154.0)</f>
        <v>154</v>
      </c>
      <c r="C123" s="254">
        <f>IFERROR(__xludf.DUMMYFUNCTION("""COMPUTED_VALUE"""),105.0)</f>
        <v>105</v>
      </c>
      <c r="D123" s="254">
        <f>IFERROR(__xludf.DUMMYFUNCTION("""COMPUTED_VALUE"""),33788.0)</f>
        <v>33788</v>
      </c>
      <c r="E123" s="254">
        <f>IFERROR(__xludf.DUMMYFUNCTION("""COMPUTED_VALUE"""),9287.0)</f>
        <v>9287</v>
      </c>
      <c r="F123" s="185">
        <f>IFERROR(__xludf.DUMMYFUNCTION("""COMPUTED_VALUE"""),673213.0)</f>
        <v>673213</v>
      </c>
      <c r="G123" s="185">
        <f>IFERROR(__xludf.DUMMYFUNCTION("""COMPUTED_VALUE"""),9441.0)</f>
        <v>9441</v>
      </c>
      <c r="H123" s="185">
        <f>IFERROR(__xludf.DUMMYFUNCTION("""COMPUTED_VALUE"""),707001.0)</f>
        <v>707001</v>
      </c>
      <c r="I123" s="254">
        <f>IFERROR(__xludf.DUMMYFUNCTION("""COMPUTED_VALUE"""),124.0)</f>
        <v>124</v>
      </c>
      <c r="J123" s="254">
        <f>IFERROR(__xludf.DUMMYFUNCTION("""COMPUTED_VALUE"""),89.0)</f>
        <v>89</v>
      </c>
      <c r="K123" s="254">
        <f>IFERROR(__xludf.DUMMYFUNCTION("""COMPUTED_VALUE"""),23946.0)</f>
        <v>23946</v>
      </c>
      <c r="L123" s="254">
        <f>IFERROR(__xludf.DUMMYFUNCTION("""COMPUTED_VALUE"""),2134.0)</f>
        <v>2134</v>
      </c>
      <c r="M123" s="254">
        <f>IFERROR(__xludf.DUMMYFUNCTION("""COMPUTED_VALUE"""),289006.0)</f>
        <v>289006</v>
      </c>
      <c r="N123" s="254">
        <f>IFERROR(__xludf.DUMMYFUNCTION("""COMPUTED_VALUE"""),312952.0)</f>
        <v>312952</v>
      </c>
      <c r="O123" s="254">
        <f>IFERROR(__xludf.DUMMYFUNCTION("""COMPUTED_VALUE"""),12.0)</f>
        <v>12</v>
      </c>
      <c r="P123" s="254">
        <f>IFERROR(__xludf.DUMMYFUNCTION("""COMPUTED_VALUE"""),2721.0)</f>
        <v>2721</v>
      </c>
      <c r="Q123" s="254">
        <f>IFERROR(__xludf.DUMMYFUNCTION("""COMPUTED_VALUE"""),3.0)</f>
        <v>3</v>
      </c>
      <c r="R123" s="254">
        <f>IFERROR(__xludf.DUMMYFUNCTION("""COMPUTED_VALUE"""),2279.0)</f>
        <v>2279</v>
      </c>
      <c r="S123" s="254">
        <f>IFERROR(__xludf.DUMMYFUNCTION("""COMPUTED_VALUE"""),1.0)</f>
        <v>1</v>
      </c>
      <c r="T123" s="254">
        <f>IFERROR(__xludf.DUMMYFUNCTION("""COMPUTED_VALUE"""),354.0)</f>
        <v>354</v>
      </c>
      <c r="U123" s="254">
        <f>IFERROR(__xludf.DUMMYFUNCTION("""COMPUTED_VALUE"""),88.0)</f>
        <v>88</v>
      </c>
      <c r="V123" s="254">
        <f>IFERROR(__xludf.DUMMYFUNCTION("""COMPUTED_VALUE"""),80.0)</f>
        <v>80</v>
      </c>
      <c r="W123" s="254">
        <f>IFERROR(__xludf.DUMMYFUNCTION("""COMPUTED_VALUE"""),7.0)</f>
        <v>7</v>
      </c>
      <c r="X123" s="254">
        <f>IFERROR(__xludf.DUMMYFUNCTION("""COMPUTED_VALUE"""),5.0)</f>
        <v>5</v>
      </c>
      <c r="Y123" s="254">
        <f>IFERROR(__xludf.DUMMYFUNCTION("""COMPUTED_VALUE"""),1.0)</f>
        <v>1</v>
      </c>
      <c r="Z123" s="254">
        <f>IFERROR(__xludf.DUMMYFUNCTION("""COMPUTED_VALUE"""),1116.0)</f>
        <v>1116</v>
      </c>
    </row>
    <row r="124">
      <c r="A124" s="253">
        <f>IFERROR(__xludf.DUMMYFUNCTION("""COMPUTED_VALUE"""),44097.0)</f>
        <v>44097</v>
      </c>
      <c r="B124" s="254">
        <f>IFERROR(__xludf.DUMMYFUNCTION("""COMPUTED_VALUE"""),136.0)</f>
        <v>136</v>
      </c>
      <c r="C124" s="254">
        <f>IFERROR(__xludf.DUMMYFUNCTION("""COMPUTED_VALUE"""),131.0)</f>
        <v>131</v>
      </c>
      <c r="D124" s="254">
        <f>IFERROR(__xludf.DUMMYFUNCTION("""COMPUTED_VALUE"""),33924.0)</f>
        <v>33924</v>
      </c>
      <c r="E124" s="254">
        <f>IFERROR(__xludf.DUMMYFUNCTION("""COMPUTED_VALUE"""),10651.0)</f>
        <v>10651</v>
      </c>
      <c r="F124" s="185">
        <f>IFERROR(__xludf.DUMMYFUNCTION("""COMPUTED_VALUE"""),683864.0)</f>
        <v>683864</v>
      </c>
      <c r="G124" s="185">
        <f>IFERROR(__xludf.DUMMYFUNCTION("""COMPUTED_VALUE"""),10787.0)</f>
        <v>10787</v>
      </c>
      <c r="H124" s="185">
        <f>IFERROR(__xludf.DUMMYFUNCTION("""COMPUTED_VALUE"""),717788.0)</f>
        <v>717788</v>
      </c>
      <c r="I124" s="254">
        <f>IFERROR(__xludf.DUMMYFUNCTION("""COMPUTED_VALUE"""),127.0)</f>
        <v>127</v>
      </c>
      <c r="J124" s="254">
        <f>IFERROR(__xludf.DUMMYFUNCTION("""COMPUTED_VALUE"""),115.0)</f>
        <v>115</v>
      </c>
      <c r="K124" s="254">
        <f>IFERROR(__xludf.DUMMYFUNCTION("""COMPUTED_VALUE"""),24073.0)</f>
        <v>24073</v>
      </c>
      <c r="L124" s="254">
        <f>IFERROR(__xludf.DUMMYFUNCTION("""COMPUTED_VALUE"""),2145.0)</f>
        <v>2145</v>
      </c>
      <c r="M124" s="254">
        <f>IFERROR(__xludf.DUMMYFUNCTION("""COMPUTED_VALUE"""),291151.0)</f>
        <v>291151</v>
      </c>
      <c r="N124" s="254">
        <f>IFERROR(__xludf.DUMMYFUNCTION("""COMPUTED_VALUE"""),315224.0)</f>
        <v>315224</v>
      </c>
      <c r="O124" s="254">
        <f>IFERROR(__xludf.DUMMYFUNCTION("""COMPUTED_VALUE"""),12.0)</f>
        <v>12</v>
      </c>
      <c r="P124" s="254">
        <f>IFERROR(__xludf.DUMMYFUNCTION("""COMPUTED_VALUE"""),2733.0)</f>
        <v>2733</v>
      </c>
      <c r="Q124" s="254">
        <f>IFERROR(__xludf.DUMMYFUNCTION("""COMPUTED_VALUE"""),7.0)</f>
        <v>7</v>
      </c>
      <c r="R124" s="254">
        <f>IFERROR(__xludf.DUMMYFUNCTION("""COMPUTED_VALUE"""),2286.0)</f>
        <v>2286</v>
      </c>
      <c r="S124" s="254">
        <f>IFERROR(__xludf.DUMMYFUNCTION("""COMPUTED_VALUE"""),0.0)</f>
        <v>0</v>
      </c>
      <c r="T124" s="254">
        <f>IFERROR(__xludf.DUMMYFUNCTION("""COMPUTED_VALUE"""),354.0)</f>
        <v>354</v>
      </c>
      <c r="U124" s="254">
        <f>IFERROR(__xludf.DUMMYFUNCTION("""COMPUTED_VALUE"""),93.0)</f>
        <v>93</v>
      </c>
      <c r="V124" s="254">
        <f>IFERROR(__xludf.DUMMYFUNCTION("""COMPUTED_VALUE"""),87.0)</f>
        <v>87</v>
      </c>
      <c r="W124" s="254">
        <f>IFERROR(__xludf.DUMMYFUNCTION("""COMPUTED_VALUE"""),6.0)</f>
        <v>6</v>
      </c>
      <c r="X124" s="254">
        <f>IFERROR(__xludf.DUMMYFUNCTION("""COMPUTED_VALUE"""),5.0)</f>
        <v>5</v>
      </c>
      <c r="Y124" s="254">
        <f>IFERROR(__xludf.DUMMYFUNCTION("""COMPUTED_VALUE"""),0.0)</f>
        <v>0</v>
      </c>
      <c r="Z124" s="254">
        <f>IFERROR(__xludf.DUMMYFUNCTION("""COMPUTED_VALUE"""),1116.0)</f>
        <v>1116</v>
      </c>
    </row>
    <row r="125">
      <c r="A125" s="253">
        <f>IFERROR(__xludf.DUMMYFUNCTION("""COMPUTED_VALUE"""),44098.0)</f>
        <v>44098</v>
      </c>
      <c r="B125" s="254">
        <f>IFERROR(__xludf.DUMMYFUNCTION("""COMPUTED_VALUE"""),120.0)</f>
        <v>120</v>
      </c>
      <c r="C125" s="254">
        <f>IFERROR(__xludf.DUMMYFUNCTION("""COMPUTED_VALUE"""),137.0)</f>
        <v>137</v>
      </c>
      <c r="D125" s="254">
        <f>IFERROR(__xludf.DUMMYFUNCTION("""COMPUTED_VALUE"""),34044.0)</f>
        <v>34044</v>
      </c>
      <c r="E125" s="254">
        <f>IFERROR(__xludf.DUMMYFUNCTION("""COMPUTED_VALUE"""),12480.0)</f>
        <v>12480</v>
      </c>
      <c r="F125" s="185">
        <f>IFERROR(__xludf.DUMMYFUNCTION("""COMPUTED_VALUE"""),696344.0)</f>
        <v>696344</v>
      </c>
      <c r="G125" s="185">
        <f>IFERROR(__xludf.DUMMYFUNCTION("""COMPUTED_VALUE"""),12600.0)</f>
        <v>12600</v>
      </c>
      <c r="H125" s="185">
        <f>IFERROR(__xludf.DUMMYFUNCTION("""COMPUTED_VALUE"""),730388.0)</f>
        <v>730388</v>
      </c>
      <c r="I125" s="254">
        <f>IFERROR(__xludf.DUMMYFUNCTION("""COMPUTED_VALUE"""),120.0)</f>
        <v>120</v>
      </c>
      <c r="J125" s="254">
        <f>IFERROR(__xludf.DUMMYFUNCTION("""COMPUTED_VALUE"""),124.0)</f>
        <v>124</v>
      </c>
      <c r="K125" s="254">
        <f>IFERROR(__xludf.DUMMYFUNCTION("""COMPUTED_VALUE"""),24193.0)</f>
        <v>24193</v>
      </c>
      <c r="L125" s="254">
        <f>IFERROR(__xludf.DUMMYFUNCTION("""COMPUTED_VALUE"""),3091.0)</f>
        <v>3091</v>
      </c>
      <c r="M125" s="254">
        <f>IFERROR(__xludf.DUMMYFUNCTION("""COMPUTED_VALUE"""),294242.0)</f>
        <v>294242</v>
      </c>
      <c r="N125" s="254">
        <f>IFERROR(__xludf.DUMMYFUNCTION("""COMPUTED_VALUE"""),318435.0)</f>
        <v>318435</v>
      </c>
      <c r="O125" s="254">
        <f>IFERROR(__xludf.DUMMYFUNCTION("""COMPUTED_VALUE"""),8.0)</f>
        <v>8</v>
      </c>
      <c r="P125" s="254">
        <f>IFERROR(__xludf.DUMMYFUNCTION("""COMPUTED_VALUE"""),2741.0)</f>
        <v>2741</v>
      </c>
      <c r="Q125" s="254">
        <f>IFERROR(__xludf.DUMMYFUNCTION("""COMPUTED_VALUE"""),9.0)</f>
        <v>9</v>
      </c>
      <c r="R125" s="254">
        <f>IFERROR(__xludf.DUMMYFUNCTION("""COMPUTED_VALUE"""),2295.0)</f>
        <v>2295</v>
      </c>
      <c r="S125" s="254">
        <f>IFERROR(__xludf.DUMMYFUNCTION("""COMPUTED_VALUE"""),1.0)</f>
        <v>1</v>
      </c>
      <c r="T125" s="254">
        <f>IFERROR(__xludf.DUMMYFUNCTION("""COMPUTED_VALUE"""),355.0)</f>
        <v>355</v>
      </c>
      <c r="U125" s="254">
        <f>IFERROR(__xludf.DUMMYFUNCTION("""COMPUTED_VALUE"""),91.0)</f>
        <v>91</v>
      </c>
      <c r="V125" s="254">
        <f>IFERROR(__xludf.DUMMYFUNCTION("""COMPUTED_VALUE"""),91.0)</f>
        <v>91</v>
      </c>
      <c r="W125" s="254">
        <f>IFERROR(__xludf.DUMMYFUNCTION("""COMPUTED_VALUE"""),7.0)</f>
        <v>7</v>
      </c>
      <c r="X125" s="254">
        <f>IFERROR(__xludf.DUMMYFUNCTION("""COMPUTED_VALUE"""),5.0)</f>
        <v>5</v>
      </c>
      <c r="Y125" s="254">
        <f>IFERROR(__xludf.DUMMYFUNCTION("""COMPUTED_VALUE"""),1.0)</f>
        <v>1</v>
      </c>
      <c r="Z125" s="254">
        <f>IFERROR(__xludf.DUMMYFUNCTION("""COMPUTED_VALUE"""),1117.0)</f>
        <v>1117</v>
      </c>
    </row>
    <row r="126">
      <c r="A126" s="253">
        <f>IFERROR(__xludf.DUMMYFUNCTION("""COMPUTED_VALUE"""),44099.0)</f>
        <v>44099</v>
      </c>
      <c r="B126" s="254">
        <f>IFERROR(__xludf.DUMMYFUNCTION("""COMPUTED_VALUE"""),150.0)</f>
        <v>150</v>
      </c>
      <c r="C126" s="254">
        <f>IFERROR(__xludf.DUMMYFUNCTION("""COMPUTED_VALUE"""),135.0)</f>
        <v>135</v>
      </c>
      <c r="D126" s="254">
        <f>IFERROR(__xludf.DUMMYFUNCTION("""COMPUTED_VALUE"""),34194.0)</f>
        <v>34194</v>
      </c>
      <c r="E126" s="254">
        <f>IFERROR(__xludf.DUMMYFUNCTION("""COMPUTED_VALUE"""),10553.0)</f>
        <v>10553</v>
      </c>
      <c r="F126" s="185">
        <f>IFERROR(__xludf.DUMMYFUNCTION("""COMPUTED_VALUE"""),706897.0)</f>
        <v>706897</v>
      </c>
      <c r="G126" s="185">
        <f>IFERROR(__xludf.DUMMYFUNCTION("""COMPUTED_VALUE"""),10703.0)</f>
        <v>10703</v>
      </c>
      <c r="H126" s="185">
        <f>IFERROR(__xludf.DUMMYFUNCTION("""COMPUTED_VALUE"""),741091.0)</f>
        <v>741091</v>
      </c>
      <c r="I126" s="254">
        <f>IFERROR(__xludf.DUMMYFUNCTION("""COMPUTED_VALUE"""),143.0)</f>
        <v>143</v>
      </c>
      <c r="J126" s="254">
        <f>IFERROR(__xludf.DUMMYFUNCTION("""COMPUTED_VALUE"""),130.0)</f>
        <v>130</v>
      </c>
      <c r="K126" s="254">
        <f>IFERROR(__xludf.DUMMYFUNCTION("""COMPUTED_VALUE"""),24336.0)</f>
        <v>24336</v>
      </c>
      <c r="L126" s="254">
        <f>IFERROR(__xludf.DUMMYFUNCTION("""COMPUTED_VALUE"""),2936.0)</f>
        <v>2936</v>
      </c>
      <c r="M126" s="254">
        <f>IFERROR(__xludf.DUMMYFUNCTION("""COMPUTED_VALUE"""),297178.0)</f>
        <v>297178</v>
      </c>
      <c r="N126" s="254">
        <f>IFERROR(__xludf.DUMMYFUNCTION("""COMPUTED_VALUE"""),321514.0)</f>
        <v>321514</v>
      </c>
      <c r="O126" s="254">
        <f>IFERROR(__xludf.DUMMYFUNCTION("""COMPUTED_VALUE"""),9.0)</f>
        <v>9</v>
      </c>
      <c r="P126" s="254">
        <f>IFERROR(__xludf.DUMMYFUNCTION("""COMPUTED_VALUE"""),2750.0)</f>
        <v>2750</v>
      </c>
      <c r="Q126" s="254">
        <f>IFERROR(__xludf.DUMMYFUNCTION("""COMPUTED_VALUE"""),10.0)</f>
        <v>10</v>
      </c>
      <c r="R126" s="254">
        <f>IFERROR(__xludf.DUMMYFUNCTION("""COMPUTED_VALUE"""),2305.0)</f>
        <v>2305</v>
      </c>
      <c r="S126" s="254">
        <f>IFERROR(__xludf.DUMMYFUNCTION("""COMPUTED_VALUE"""),0.0)</f>
        <v>0</v>
      </c>
      <c r="T126" s="254">
        <f>IFERROR(__xludf.DUMMYFUNCTION("""COMPUTED_VALUE"""),355.0)</f>
        <v>355</v>
      </c>
      <c r="U126" s="254">
        <f>IFERROR(__xludf.DUMMYFUNCTION("""COMPUTED_VALUE"""),90.0)</f>
        <v>90</v>
      </c>
      <c r="V126" s="254">
        <f>IFERROR(__xludf.DUMMYFUNCTION("""COMPUTED_VALUE"""),91.0)</f>
        <v>91</v>
      </c>
      <c r="W126" s="254">
        <f>IFERROR(__xludf.DUMMYFUNCTION("""COMPUTED_VALUE"""),6.0)</f>
        <v>6</v>
      </c>
      <c r="X126" s="254">
        <f>IFERROR(__xludf.DUMMYFUNCTION("""COMPUTED_VALUE"""),5.0)</f>
        <v>5</v>
      </c>
      <c r="Y126" s="254">
        <f>IFERROR(__xludf.DUMMYFUNCTION("""COMPUTED_VALUE"""),1.0)</f>
        <v>1</v>
      </c>
      <c r="Z126" s="254">
        <f>IFERROR(__xludf.DUMMYFUNCTION("""COMPUTED_VALUE"""),1118.0)</f>
        <v>1118</v>
      </c>
    </row>
    <row r="127">
      <c r="A127" s="253">
        <f>IFERROR(__xludf.DUMMYFUNCTION("""COMPUTED_VALUE"""),44100.0)</f>
        <v>44100</v>
      </c>
      <c r="B127" s="254">
        <f>IFERROR(__xludf.DUMMYFUNCTION("""COMPUTED_VALUE"""),147.0)</f>
        <v>147</v>
      </c>
      <c r="C127" s="254">
        <f>IFERROR(__xludf.DUMMYFUNCTION("""COMPUTED_VALUE"""),139.0)</f>
        <v>139</v>
      </c>
      <c r="D127" s="254">
        <f>IFERROR(__xludf.DUMMYFUNCTION("""COMPUTED_VALUE"""),34341.0)</f>
        <v>34341</v>
      </c>
      <c r="E127" s="254">
        <f>IFERROR(__xludf.DUMMYFUNCTION("""COMPUTED_VALUE"""),10560.0)</f>
        <v>10560</v>
      </c>
      <c r="F127" s="185">
        <f>IFERROR(__xludf.DUMMYFUNCTION("""COMPUTED_VALUE"""),717457.0)</f>
        <v>717457</v>
      </c>
      <c r="G127" s="185">
        <f>IFERROR(__xludf.DUMMYFUNCTION("""COMPUTED_VALUE"""),10707.0)</f>
        <v>10707</v>
      </c>
      <c r="H127" s="185">
        <f>IFERROR(__xludf.DUMMYFUNCTION("""COMPUTED_VALUE"""),751798.0)</f>
        <v>751798</v>
      </c>
      <c r="I127" s="254">
        <f>IFERROR(__xludf.DUMMYFUNCTION("""COMPUTED_VALUE"""),120.0)</f>
        <v>120</v>
      </c>
      <c r="J127" s="254">
        <f>IFERROR(__xludf.DUMMYFUNCTION("""COMPUTED_VALUE"""),128.0)</f>
        <v>128</v>
      </c>
      <c r="K127" s="254">
        <f>IFERROR(__xludf.DUMMYFUNCTION("""COMPUTED_VALUE"""),24456.0)</f>
        <v>24456</v>
      </c>
      <c r="L127" s="254">
        <f>IFERROR(__xludf.DUMMYFUNCTION("""COMPUTED_VALUE"""),2373.0)</f>
        <v>2373</v>
      </c>
      <c r="M127" s="254">
        <f>IFERROR(__xludf.DUMMYFUNCTION("""COMPUTED_VALUE"""),299551.0)</f>
        <v>299551</v>
      </c>
      <c r="N127" s="254">
        <f>IFERROR(__xludf.DUMMYFUNCTION("""COMPUTED_VALUE"""),324007.0)</f>
        <v>324007</v>
      </c>
      <c r="O127" s="254">
        <f>IFERROR(__xludf.DUMMYFUNCTION("""COMPUTED_VALUE"""),12.0)</f>
        <v>12</v>
      </c>
      <c r="P127" s="254">
        <f>IFERROR(__xludf.DUMMYFUNCTION("""COMPUTED_VALUE"""),2762.0)</f>
        <v>2762</v>
      </c>
      <c r="Q127" s="254">
        <f>IFERROR(__xludf.DUMMYFUNCTION("""COMPUTED_VALUE"""),9.0)</f>
        <v>9</v>
      </c>
      <c r="R127" s="254">
        <f>IFERROR(__xludf.DUMMYFUNCTION("""COMPUTED_VALUE"""),2314.0)</f>
        <v>2314</v>
      </c>
      <c r="S127" s="254">
        <f>IFERROR(__xludf.DUMMYFUNCTION("""COMPUTED_VALUE"""),0.0)</f>
        <v>0</v>
      </c>
      <c r="T127" s="254">
        <f>IFERROR(__xludf.DUMMYFUNCTION("""COMPUTED_VALUE"""),355.0)</f>
        <v>355</v>
      </c>
      <c r="U127" s="254">
        <f>IFERROR(__xludf.DUMMYFUNCTION("""COMPUTED_VALUE"""),93.0)</f>
        <v>93</v>
      </c>
      <c r="V127" s="254">
        <f>IFERROR(__xludf.DUMMYFUNCTION("""COMPUTED_VALUE"""),91.0)</f>
        <v>91</v>
      </c>
      <c r="W127" s="254">
        <f>IFERROR(__xludf.DUMMYFUNCTION("""COMPUTED_VALUE"""),6.0)</f>
        <v>6</v>
      </c>
      <c r="X127" s="254">
        <f>IFERROR(__xludf.DUMMYFUNCTION("""COMPUTED_VALUE"""),5.0)</f>
        <v>5</v>
      </c>
      <c r="Y127" s="254">
        <f>IFERROR(__xludf.DUMMYFUNCTION("""COMPUTED_VALUE"""),1.0)</f>
        <v>1</v>
      </c>
      <c r="Z127" s="254">
        <f>IFERROR(__xludf.DUMMYFUNCTION("""COMPUTED_VALUE"""),1119.0)</f>
        <v>1119</v>
      </c>
    </row>
    <row r="128">
      <c r="A128" s="253">
        <f>IFERROR(__xludf.DUMMYFUNCTION("""COMPUTED_VALUE"""),44101.0)</f>
        <v>44101</v>
      </c>
      <c r="B128" s="254">
        <f>IFERROR(__xludf.DUMMYFUNCTION("""COMPUTED_VALUE"""),43.0)</f>
        <v>43</v>
      </c>
      <c r="C128" s="254">
        <f>IFERROR(__xludf.DUMMYFUNCTION("""COMPUTED_VALUE"""),113.0)</f>
        <v>113</v>
      </c>
      <c r="D128" s="254">
        <f>IFERROR(__xludf.DUMMYFUNCTION("""COMPUTED_VALUE"""),34384.0)</f>
        <v>34384</v>
      </c>
      <c r="E128" s="254">
        <f>IFERROR(__xludf.DUMMYFUNCTION("""COMPUTED_VALUE"""),2764.0)</f>
        <v>2764</v>
      </c>
      <c r="F128" s="185">
        <f>IFERROR(__xludf.DUMMYFUNCTION("""COMPUTED_VALUE"""),720221.0)</f>
        <v>720221</v>
      </c>
      <c r="G128" s="185">
        <f>IFERROR(__xludf.DUMMYFUNCTION("""COMPUTED_VALUE"""),2807.0)</f>
        <v>2807</v>
      </c>
      <c r="H128" s="185">
        <f>IFERROR(__xludf.DUMMYFUNCTION("""COMPUTED_VALUE"""),754605.0)</f>
        <v>754605</v>
      </c>
      <c r="I128" s="254">
        <f>IFERROR(__xludf.DUMMYFUNCTION("""COMPUTED_VALUE"""),34.0)</f>
        <v>34</v>
      </c>
      <c r="J128" s="254">
        <f>IFERROR(__xludf.DUMMYFUNCTION("""COMPUTED_VALUE"""),99.0)</f>
        <v>99</v>
      </c>
      <c r="K128" s="254">
        <f>IFERROR(__xludf.DUMMYFUNCTION("""COMPUTED_VALUE"""),24490.0)</f>
        <v>24490</v>
      </c>
      <c r="L128" s="254">
        <f>IFERROR(__xludf.DUMMYFUNCTION("""COMPUTED_VALUE"""),825.0)</f>
        <v>825</v>
      </c>
      <c r="M128" s="254">
        <f>IFERROR(__xludf.DUMMYFUNCTION("""COMPUTED_VALUE"""),300376.0)</f>
        <v>300376</v>
      </c>
      <c r="N128" s="254">
        <f>IFERROR(__xludf.DUMMYFUNCTION("""COMPUTED_VALUE"""),324866.0)</f>
        <v>324866</v>
      </c>
      <c r="O128" s="254">
        <f>IFERROR(__xludf.DUMMYFUNCTION("""COMPUTED_VALUE"""),7.0)</f>
        <v>7</v>
      </c>
      <c r="P128" s="254">
        <f>IFERROR(__xludf.DUMMYFUNCTION("""COMPUTED_VALUE"""),2769.0)</f>
        <v>2769</v>
      </c>
      <c r="Q128" s="254">
        <f>IFERROR(__xludf.DUMMYFUNCTION("""COMPUTED_VALUE"""),5.0)</f>
        <v>5</v>
      </c>
      <c r="R128" s="254">
        <f>IFERROR(__xludf.DUMMYFUNCTION("""COMPUTED_VALUE"""),2319.0)</f>
        <v>2319</v>
      </c>
      <c r="S128" s="254">
        <f>IFERROR(__xludf.DUMMYFUNCTION("""COMPUTED_VALUE"""),0.0)</f>
        <v>0</v>
      </c>
      <c r="T128" s="254">
        <f>IFERROR(__xludf.DUMMYFUNCTION("""COMPUTED_VALUE"""),355.0)</f>
        <v>355</v>
      </c>
      <c r="U128" s="254">
        <f>IFERROR(__xludf.DUMMYFUNCTION("""COMPUTED_VALUE"""),95.0)</f>
        <v>95</v>
      </c>
      <c r="V128" s="254">
        <f>IFERROR(__xludf.DUMMYFUNCTION("""COMPUTED_VALUE"""),93.0)</f>
        <v>93</v>
      </c>
      <c r="W128" s="254">
        <f>IFERROR(__xludf.DUMMYFUNCTION("""COMPUTED_VALUE"""),9.0)</f>
        <v>9</v>
      </c>
      <c r="X128" s="254">
        <f>IFERROR(__xludf.DUMMYFUNCTION("""COMPUTED_VALUE"""),5.0)</f>
        <v>5</v>
      </c>
      <c r="Y128" s="254">
        <f>IFERROR(__xludf.DUMMYFUNCTION("""COMPUTED_VALUE"""),0.0)</f>
        <v>0</v>
      </c>
      <c r="Z128" s="254">
        <f>IFERROR(__xludf.DUMMYFUNCTION("""COMPUTED_VALUE"""),1119.0)</f>
        <v>1119</v>
      </c>
    </row>
    <row r="129">
      <c r="A129" s="253">
        <f>IFERROR(__xludf.DUMMYFUNCTION("""COMPUTED_VALUE"""),44102.0)</f>
        <v>44102</v>
      </c>
      <c r="B129" s="254">
        <f>IFERROR(__xludf.DUMMYFUNCTION("""COMPUTED_VALUE"""),156.0)</f>
        <v>156</v>
      </c>
      <c r="C129" s="254">
        <f>IFERROR(__xludf.DUMMYFUNCTION("""COMPUTED_VALUE"""),115.0)</f>
        <v>115</v>
      </c>
      <c r="D129" s="254">
        <f>IFERROR(__xludf.DUMMYFUNCTION("""COMPUTED_VALUE"""),34540.0)</f>
        <v>34540</v>
      </c>
      <c r="E129" s="254">
        <f>IFERROR(__xludf.DUMMYFUNCTION("""COMPUTED_VALUE"""),7307.0)</f>
        <v>7307</v>
      </c>
      <c r="F129" s="185">
        <f>IFERROR(__xludf.DUMMYFUNCTION("""COMPUTED_VALUE"""),727528.0)</f>
        <v>727528</v>
      </c>
      <c r="G129" s="185">
        <f>IFERROR(__xludf.DUMMYFUNCTION("""COMPUTED_VALUE"""),7463.0)</f>
        <v>7463</v>
      </c>
      <c r="H129" s="185">
        <f>IFERROR(__xludf.DUMMYFUNCTION("""COMPUTED_VALUE"""),762068.0)</f>
        <v>762068</v>
      </c>
      <c r="I129" s="254">
        <f>IFERROR(__xludf.DUMMYFUNCTION("""COMPUTED_VALUE"""),138.0)</f>
        <v>138</v>
      </c>
      <c r="J129" s="254">
        <f>IFERROR(__xludf.DUMMYFUNCTION("""COMPUTED_VALUE"""),97.0)</f>
        <v>97</v>
      </c>
      <c r="K129" s="254">
        <f>IFERROR(__xludf.DUMMYFUNCTION("""COMPUTED_VALUE"""),24628.0)</f>
        <v>24628</v>
      </c>
      <c r="L129" s="254">
        <f>IFERROR(__xludf.DUMMYFUNCTION("""COMPUTED_VALUE"""),2202.0)</f>
        <v>2202</v>
      </c>
      <c r="M129" s="254">
        <f>IFERROR(__xludf.DUMMYFUNCTION("""COMPUTED_VALUE"""),302578.0)</f>
        <v>302578</v>
      </c>
      <c r="N129" s="254">
        <f>IFERROR(__xludf.DUMMYFUNCTION("""COMPUTED_VALUE"""),327206.0)</f>
        <v>327206</v>
      </c>
      <c r="O129" s="254">
        <f>IFERROR(__xludf.DUMMYFUNCTION("""COMPUTED_VALUE"""),7.0)</f>
        <v>7</v>
      </c>
      <c r="P129" s="254">
        <f>IFERROR(__xludf.DUMMYFUNCTION("""COMPUTED_VALUE"""),2776.0)</f>
        <v>2776</v>
      </c>
      <c r="Q129" s="254">
        <f>IFERROR(__xludf.DUMMYFUNCTION("""COMPUTED_VALUE"""),7.0)</f>
        <v>7</v>
      </c>
      <c r="R129" s="254">
        <f>IFERROR(__xludf.DUMMYFUNCTION("""COMPUTED_VALUE"""),2326.0)</f>
        <v>2326</v>
      </c>
      <c r="S129" s="254">
        <f>IFERROR(__xludf.DUMMYFUNCTION("""COMPUTED_VALUE"""),2.0)</f>
        <v>2</v>
      </c>
      <c r="T129" s="254">
        <f>IFERROR(__xludf.DUMMYFUNCTION("""COMPUTED_VALUE"""),357.0)</f>
        <v>357</v>
      </c>
      <c r="U129" s="254">
        <f>IFERROR(__xludf.DUMMYFUNCTION("""COMPUTED_VALUE"""),93.0)</f>
        <v>93</v>
      </c>
      <c r="V129" s="254">
        <f>IFERROR(__xludf.DUMMYFUNCTION("""COMPUTED_VALUE"""),94.0)</f>
        <v>94</v>
      </c>
      <c r="W129" s="254">
        <f>IFERROR(__xludf.DUMMYFUNCTION("""COMPUTED_VALUE"""),7.0)</f>
        <v>7</v>
      </c>
      <c r="X129" s="254">
        <f>IFERROR(__xludf.DUMMYFUNCTION("""COMPUTED_VALUE"""),5.0)</f>
        <v>5</v>
      </c>
      <c r="Y129" s="254">
        <f>IFERROR(__xludf.DUMMYFUNCTION("""COMPUTED_VALUE"""),2.0)</f>
        <v>2</v>
      </c>
      <c r="Z129" s="254">
        <f>IFERROR(__xludf.DUMMYFUNCTION("""COMPUTED_VALUE"""),1121.0)</f>
        <v>1121</v>
      </c>
    </row>
    <row r="130">
      <c r="A130" s="253">
        <f>IFERROR(__xludf.DUMMYFUNCTION("""COMPUTED_VALUE"""),44103.0)</f>
        <v>44103</v>
      </c>
      <c r="B130" s="254">
        <f>IFERROR(__xludf.DUMMYFUNCTION("""COMPUTED_VALUE"""),203.0)</f>
        <v>203</v>
      </c>
      <c r="C130" s="254">
        <f>IFERROR(__xludf.DUMMYFUNCTION("""COMPUTED_VALUE"""),134.0)</f>
        <v>134</v>
      </c>
      <c r="D130" s="254">
        <f>IFERROR(__xludf.DUMMYFUNCTION("""COMPUTED_VALUE"""),34743.0)</f>
        <v>34743</v>
      </c>
      <c r="E130" s="254">
        <f>IFERROR(__xludf.DUMMYFUNCTION("""COMPUTED_VALUE"""),11046.0)</f>
        <v>11046</v>
      </c>
      <c r="F130" s="185">
        <f>IFERROR(__xludf.DUMMYFUNCTION("""COMPUTED_VALUE"""),738574.0)</f>
        <v>738574</v>
      </c>
      <c r="G130" s="185">
        <f>IFERROR(__xludf.DUMMYFUNCTION("""COMPUTED_VALUE"""),11249.0)</f>
        <v>11249</v>
      </c>
      <c r="H130" s="185">
        <f>IFERROR(__xludf.DUMMYFUNCTION("""COMPUTED_VALUE"""),773317.0)</f>
        <v>773317</v>
      </c>
      <c r="I130" s="254">
        <f>IFERROR(__xludf.DUMMYFUNCTION("""COMPUTED_VALUE"""),185.0)</f>
        <v>185</v>
      </c>
      <c r="J130" s="254">
        <f>IFERROR(__xludf.DUMMYFUNCTION("""COMPUTED_VALUE"""),119.0)</f>
        <v>119</v>
      </c>
      <c r="K130" s="254">
        <f>IFERROR(__xludf.DUMMYFUNCTION("""COMPUTED_VALUE"""),24813.0)</f>
        <v>24813</v>
      </c>
      <c r="L130" s="254">
        <f>IFERROR(__xludf.DUMMYFUNCTION("""COMPUTED_VALUE"""),2758.0)</f>
        <v>2758</v>
      </c>
      <c r="M130" s="254">
        <f>IFERROR(__xludf.DUMMYFUNCTION("""COMPUTED_VALUE"""),305336.0)</f>
        <v>305336</v>
      </c>
      <c r="N130" s="254">
        <f>IFERROR(__xludf.DUMMYFUNCTION("""COMPUTED_VALUE"""),330149.0)</f>
        <v>330149</v>
      </c>
      <c r="O130" s="254">
        <f>IFERROR(__xludf.DUMMYFUNCTION("""COMPUTED_VALUE"""),12.0)</f>
        <v>12</v>
      </c>
      <c r="P130" s="254">
        <f>IFERROR(__xludf.DUMMYFUNCTION("""COMPUTED_VALUE"""),2788.0)</f>
        <v>2788</v>
      </c>
      <c r="Q130" s="254">
        <f>IFERROR(__xludf.DUMMYFUNCTION("""COMPUTED_VALUE"""),18.0)</f>
        <v>18</v>
      </c>
      <c r="R130" s="254">
        <f>IFERROR(__xludf.DUMMYFUNCTION("""COMPUTED_VALUE"""),2344.0)</f>
        <v>2344</v>
      </c>
      <c r="S130" s="254">
        <f>IFERROR(__xludf.DUMMYFUNCTION("""COMPUTED_VALUE"""),1.0)</f>
        <v>1</v>
      </c>
      <c r="T130" s="254">
        <f>IFERROR(__xludf.DUMMYFUNCTION("""COMPUTED_VALUE"""),358.0)</f>
        <v>358</v>
      </c>
      <c r="U130" s="254">
        <f>IFERROR(__xludf.DUMMYFUNCTION("""COMPUTED_VALUE"""),86.0)</f>
        <v>86</v>
      </c>
      <c r="V130" s="254">
        <f>IFERROR(__xludf.DUMMYFUNCTION("""COMPUTED_VALUE"""),91.0)</f>
        <v>91</v>
      </c>
      <c r="W130" s="254">
        <f>IFERROR(__xludf.DUMMYFUNCTION("""COMPUTED_VALUE"""),6.0)</f>
        <v>6</v>
      </c>
      <c r="X130" s="254">
        <f>IFERROR(__xludf.DUMMYFUNCTION("""COMPUTED_VALUE"""),6.0)</f>
        <v>6</v>
      </c>
      <c r="Y130" s="254">
        <f>IFERROR(__xludf.DUMMYFUNCTION("""COMPUTED_VALUE"""),1.0)</f>
        <v>1</v>
      </c>
      <c r="Z130" s="254">
        <f>IFERROR(__xludf.DUMMYFUNCTION("""COMPUTED_VALUE"""),1122.0)</f>
        <v>1122</v>
      </c>
    </row>
    <row r="131">
      <c r="A131" s="253">
        <f>IFERROR(__xludf.DUMMYFUNCTION("""COMPUTED_VALUE"""),44104.0)</f>
        <v>44104</v>
      </c>
      <c r="B131" s="254">
        <f>IFERROR(__xludf.DUMMYFUNCTION("""COMPUTED_VALUE"""),223.0)</f>
        <v>223</v>
      </c>
      <c r="C131" s="254">
        <f>IFERROR(__xludf.DUMMYFUNCTION("""COMPUTED_VALUE"""),194.0)</f>
        <v>194</v>
      </c>
      <c r="D131" s="254">
        <f>IFERROR(__xludf.DUMMYFUNCTION("""COMPUTED_VALUE"""),34966.0)</f>
        <v>34966</v>
      </c>
      <c r="E131" s="254">
        <f>IFERROR(__xludf.DUMMYFUNCTION("""COMPUTED_VALUE"""),12230.0)</f>
        <v>12230</v>
      </c>
      <c r="F131" s="185">
        <f>IFERROR(__xludf.DUMMYFUNCTION("""COMPUTED_VALUE"""),750804.0)</f>
        <v>750804</v>
      </c>
      <c r="G131" s="185">
        <f>IFERROR(__xludf.DUMMYFUNCTION("""COMPUTED_VALUE"""),12453.0)</f>
        <v>12453</v>
      </c>
      <c r="H131" s="185">
        <f>IFERROR(__xludf.DUMMYFUNCTION("""COMPUTED_VALUE"""),785770.0)</f>
        <v>785770</v>
      </c>
      <c r="I131" s="254">
        <f>IFERROR(__xludf.DUMMYFUNCTION("""COMPUTED_VALUE"""),189.0)</f>
        <v>189</v>
      </c>
      <c r="J131" s="254">
        <f>IFERROR(__xludf.DUMMYFUNCTION("""COMPUTED_VALUE"""),171.0)</f>
        <v>171</v>
      </c>
      <c r="K131" s="254">
        <f>IFERROR(__xludf.DUMMYFUNCTION("""COMPUTED_VALUE"""),25002.0)</f>
        <v>25002</v>
      </c>
      <c r="L131" s="254">
        <f>IFERROR(__xludf.DUMMYFUNCTION("""COMPUTED_VALUE"""),2510.0)</f>
        <v>2510</v>
      </c>
      <c r="M131" s="254">
        <f>IFERROR(__xludf.DUMMYFUNCTION("""COMPUTED_VALUE"""),307846.0)</f>
        <v>307846</v>
      </c>
      <c r="N131" s="254">
        <f>IFERROR(__xludf.DUMMYFUNCTION("""COMPUTED_VALUE"""),332848.0)</f>
        <v>332848</v>
      </c>
      <c r="O131" s="254">
        <f>IFERROR(__xludf.DUMMYFUNCTION("""COMPUTED_VALUE"""),6.0)</f>
        <v>6</v>
      </c>
      <c r="P131" s="254">
        <f>IFERROR(__xludf.DUMMYFUNCTION("""COMPUTED_VALUE"""),2794.0)</f>
        <v>2794</v>
      </c>
      <c r="Q131" s="254">
        <f>IFERROR(__xludf.DUMMYFUNCTION("""COMPUTED_VALUE"""),6.0)</f>
        <v>6</v>
      </c>
      <c r="R131" s="254">
        <f>IFERROR(__xludf.DUMMYFUNCTION("""COMPUTED_VALUE"""),2350.0)</f>
        <v>2350</v>
      </c>
      <c r="S131" s="254">
        <f>IFERROR(__xludf.DUMMYFUNCTION("""COMPUTED_VALUE"""),0.0)</f>
        <v>0</v>
      </c>
      <c r="T131" s="254">
        <f>IFERROR(__xludf.DUMMYFUNCTION("""COMPUTED_VALUE"""),358.0)</f>
        <v>358</v>
      </c>
      <c r="U131" s="254">
        <f>IFERROR(__xludf.DUMMYFUNCTION("""COMPUTED_VALUE"""),86.0)</f>
        <v>86</v>
      </c>
      <c r="V131" s="254">
        <f>IFERROR(__xludf.DUMMYFUNCTION("""COMPUTED_VALUE"""),88.0)</f>
        <v>88</v>
      </c>
      <c r="W131" s="254">
        <f>IFERROR(__xludf.DUMMYFUNCTION("""COMPUTED_VALUE"""),6.0)</f>
        <v>6</v>
      </c>
      <c r="X131" s="254">
        <f>IFERROR(__xludf.DUMMYFUNCTION("""COMPUTED_VALUE"""),6.0)</f>
        <v>6</v>
      </c>
      <c r="Y131" s="254">
        <f>IFERROR(__xludf.DUMMYFUNCTION("""COMPUTED_VALUE"""),1.0)</f>
        <v>1</v>
      </c>
      <c r="Z131" s="254">
        <f>IFERROR(__xludf.DUMMYFUNCTION("""COMPUTED_VALUE"""),1123.0)</f>
        <v>1123</v>
      </c>
    </row>
    <row r="132">
      <c r="A132" s="253">
        <f>IFERROR(__xludf.DUMMYFUNCTION("""COMPUTED_VALUE"""),44105.0)</f>
        <v>44105</v>
      </c>
      <c r="B132" s="254">
        <f>IFERROR(__xludf.DUMMYFUNCTION("""COMPUTED_VALUE"""),185.0)</f>
        <v>185</v>
      </c>
      <c r="C132" s="254">
        <f>IFERROR(__xludf.DUMMYFUNCTION("""COMPUTED_VALUE"""),204.0)</f>
        <v>204</v>
      </c>
      <c r="D132" s="254">
        <f>IFERROR(__xludf.DUMMYFUNCTION("""COMPUTED_VALUE"""),35151.0)</f>
        <v>35151</v>
      </c>
      <c r="E132" s="254">
        <f>IFERROR(__xludf.DUMMYFUNCTION("""COMPUTED_VALUE"""),12503.0)</f>
        <v>12503</v>
      </c>
      <c r="F132" s="185">
        <f>IFERROR(__xludf.DUMMYFUNCTION("""COMPUTED_VALUE"""),763307.0)</f>
        <v>763307</v>
      </c>
      <c r="G132" s="185">
        <f>IFERROR(__xludf.DUMMYFUNCTION("""COMPUTED_VALUE"""),12688.0)</f>
        <v>12688</v>
      </c>
      <c r="H132" s="185">
        <f>IFERROR(__xludf.DUMMYFUNCTION("""COMPUTED_VALUE"""),798458.0)</f>
        <v>798458</v>
      </c>
      <c r="I132" s="254">
        <f>IFERROR(__xludf.DUMMYFUNCTION("""COMPUTED_VALUE"""),166.0)</f>
        <v>166</v>
      </c>
      <c r="J132" s="254">
        <f>IFERROR(__xludf.DUMMYFUNCTION("""COMPUTED_VALUE"""),180.0)</f>
        <v>180</v>
      </c>
      <c r="K132" s="254">
        <f>IFERROR(__xludf.DUMMYFUNCTION("""COMPUTED_VALUE"""),25168.0)</f>
        <v>25168</v>
      </c>
      <c r="L132" s="254">
        <f>IFERROR(__xludf.DUMMYFUNCTION("""COMPUTED_VALUE"""),2343.0)</f>
        <v>2343</v>
      </c>
      <c r="M132" s="254">
        <f>IFERROR(__xludf.DUMMYFUNCTION("""COMPUTED_VALUE"""),310189.0)</f>
        <v>310189</v>
      </c>
      <c r="N132" s="254">
        <f>IFERROR(__xludf.DUMMYFUNCTION("""COMPUTED_VALUE"""),335357.0)</f>
        <v>335357</v>
      </c>
      <c r="O132" s="254">
        <f>IFERROR(__xludf.DUMMYFUNCTION("""COMPUTED_VALUE"""),17.0)</f>
        <v>17</v>
      </c>
      <c r="P132" s="254">
        <f>IFERROR(__xludf.DUMMYFUNCTION("""COMPUTED_VALUE"""),2811.0)</f>
        <v>2811</v>
      </c>
      <c r="Q132" s="254">
        <f>IFERROR(__xludf.DUMMYFUNCTION("""COMPUTED_VALUE"""),13.0)</f>
        <v>13</v>
      </c>
      <c r="R132" s="254">
        <f>IFERROR(__xludf.DUMMYFUNCTION("""COMPUTED_VALUE"""),2363.0)</f>
        <v>2363</v>
      </c>
      <c r="S132" s="254">
        <f>IFERROR(__xludf.DUMMYFUNCTION("""COMPUTED_VALUE"""),1.0)</f>
        <v>1</v>
      </c>
      <c r="T132" s="254">
        <f>IFERROR(__xludf.DUMMYFUNCTION("""COMPUTED_VALUE"""),359.0)</f>
        <v>359</v>
      </c>
      <c r="U132" s="254">
        <f>IFERROR(__xludf.DUMMYFUNCTION("""COMPUTED_VALUE"""),89.0)</f>
        <v>89</v>
      </c>
      <c r="V132" s="254">
        <f>IFERROR(__xludf.DUMMYFUNCTION("""COMPUTED_VALUE"""),87.0)</f>
        <v>87</v>
      </c>
      <c r="W132" s="254">
        <f>IFERROR(__xludf.DUMMYFUNCTION("""COMPUTED_VALUE"""),6.0)</f>
        <v>6</v>
      </c>
      <c r="X132" s="254">
        <f>IFERROR(__xludf.DUMMYFUNCTION("""COMPUTED_VALUE"""),4.0)</f>
        <v>4</v>
      </c>
      <c r="Y132" s="254">
        <f>IFERROR(__xludf.DUMMYFUNCTION("""COMPUTED_VALUE"""),2.0)</f>
        <v>2</v>
      </c>
      <c r="Z132" s="254">
        <f>IFERROR(__xludf.DUMMYFUNCTION("""COMPUTED_VALUE"""),1125.0)</f>
        <v>1125</v>
      </c>
    </row>
    <row r="133">
      <c r="A133" s="253">
        <f>IFERROR(__xludf.DUMMYFUNCTION("""COMPUTED_VALUE"""),44106.0)</f>
        <v>44106</v>
      </c>
      <c r="B133" s="254">
        <f>IFERROR(__xludf.DUMMYFUNCTION("""COMPUTED_VALUE"""),209.0)</f>
        <v>209</v>
      </c>
      <c r="C133" s="254">
        <f>IFERROR(__xludf.DUMMYFUNCTION("""COMPUTED_VALUE"""),206.0)</f>
        <v>206</v>
      </c>
      <c r="D133" s="254">
        <f>IFERROR(__xludf.DUMMYFUNCTION("""COMPUTED_VALUE"""),35360.0)</f>
        <v>35360</v>
      </c>
      <c r="E133" s="254">
        <f>IFERROR(__xludf.DUMMYFUNCTION("""COMPUTED_VALUE"""),12154.0)</f>
        <v>12154</v>
      </c>
      <c r="F133" s="185">
        <f>IFERROR(__xludf.DUMMYFUNCTION("""COMPUTED_VALUE"""),775461.0)</f>
        <v>775461</v>
      </c>
      <c r="G133" s="185">
        <f>IFERROR(__xludf.DUMMYFUNCTION("""COMPUTED_VALUE"""),12363.0)</f>
        <v>12363</v>
      </c>
      <c r="H133" s="185">
        <f>IFERROR(__xludf.DUMMYFUNCTION("""COMPUTED_VALUE"""),810821.0)</f>
        <v>810821</v>
      </c>
      <c r="I133" s="254">
        <f>IFERROR(__xludf.DUMMYFUNCTION("""COMPUTED_VALUE"""),181.0)</f>
        <v>181</v>
      </c>
      <c r="J133" s="254">
        <f>IFERROR(__xludf.DUMMYFUNCTION("""COMPUTED_VALUE"""),179.0)</f>
        <v>179</v>
      </c>
      <c r="K133" s="254">
        <f>IFERROR(__xludf.DUMMYFUNCTION("""COMPUTED_VALUE"""),25349.0)</f>
        <v>25349</v>
      </c>
      <c r="L133" s="254">
        <f>IFERROR(__xludf.DUMMYFUNCTION("""COMPUTED_VALUE"""),2436.0)</f>
        <v>2436</v>
      </c>
      <c r="M133" s="254">
        <f>IFERROR(__xludf.DUMMYFUNCTION("""COMPUTED_VALUE"""),312625.0)</f>
        <v>312625</v>
      </c>
      <c r="N133" s="254">
        <f>IFERROR(__xludf.DUMMYFUNCTION("""COMPUTED_VALUE"""),337974.0)</f>
        <v>337974</v>
      </c>
      <c r="O133" s="254">
        <f>IFERROR(__xludf.DUMMYFUNCTION("""COMPUTED_VALUE"""),14.0)</f>
        <v>14</v>
      </c>
      <c r="P133" s="254">
        <f>IFERROR(__xludf.DUMMYFUNCTION("""COMPUTED_VALUE"""),2825.0)</f>
        <v>2825</v>
      </c>
      <c r="Q133" s="254">
        <f>IFERROR(__xludf.DUMMYFUNCTION("""COMPUTED_VALUE"""),13.0)</f>
        <v>13</v>
      </c>
      <c r="R133" s="254">
        <f>IFERROR(__xludf.DUMMYFUNCTION("""COMPUTED_VALUE"""),2376.0)</f>
        <v>2376</v>
      </c>
      <c r="S133" s="254">
        <f>IFERROR(__xludf.DUMMYFUNCTION("""COMPUTED_VALUE"""),1.0)</f>
        <v>1</v>
      </c>
      <c r="T133" s="254">
        <f>IFERROR(__xludf.DUMMYFUNCTION("""COMPUTED_VALUE"""),360.0)</f>
        <v>360</v>
      </c>
      <c r="U133" s="254">
        <f>IFERROR(__xludf.DUMMYFUNCTION("""COMPUTED_VALUE"""),89.0)</f>
        <v>89</v>
      </c>
      <c r="V133" s="254">
        <f>IFERROR(__xludf.DUMMYFUNCTION("""COMPUTED_VALUE"""),88.0)</f>
        <v>88</v>
      </c>
      <c r="W133" s="254">
        <f>IFERROR(__xludf.DUMMYFUNCTION("""COMPUTED_VALUE"""),8.0)</f>
        <v>8</v>
      </c>
      <c r="X133" s="254">
        <f>IFERROR(__xludf.DUMMYFUNCTION("""COMPUTED_VALUE"""),5.0)</f>
        <v>5</v>
      </c>
      <c r="Y133" s="254">
        <f>IFERROR(__xludf.DUMMYFUNCTION("""COMPUTED_VALUE"""),2.0)</f>
        <v>2</v>
      </c>
      <c r="Z133" s="254">
        <f>IFERROR(__xludf.DUMMYFUNCTION("""COMPUTED_VALUE"""),1127.0)</f>
        <v>1127</v>
      </c>
    </row>
    <row r="134">
      <c r="A134" s="253">
        <f>IFERROR(__xludf.DUMMYFUNCTION("""COMPUTED_VALUE"""),44107.0)</f>
        <v>44107</v>
      </c>
      <c r="B134" s="254">
        <f>IFERROR(__xludf.DUMMYFUNCTION("""COMPUTED_VALUE"""),157.0)</f>
        <v>157</v>
      </c>
      <c r="C134" s="254">
        <f>IFERROR(__xludf.DUMMYFUNCTION("""COMPUTED_VALUE"""),184.0)</f>
        <v>184</v>
      </c>
      <c r="D134" s="254">
        <f>IFERROR(__xludf.DUMMYFUNCTION("""COMPUTED_VALUE"""),35517.0)</f>
        <v>35517</v>
      </c>
      <c r="E134" s="254">
        <f>IFERROR(__xludf.DUMMYFUNCTION("""COMPUTED_VALUE"""),9313.0)</f>
        <v>9313</v>
      </c>
      <c r="F134" s="185">
        <f>IFERROR(__xludf.DUMMYFUNCTION("""COMPUTED_VALUE"""),784774.0)</f>
        <v>784774</v>
      </c>
      <c r="G134" s="185">
        <f>IFERROR(__xludf.DUMMYFUNCTION("""COMPUTED_VALUE"""),9470.0)</f>
        <v>9470</v>
      </c>
      <c r="H134" s="185">
        <f>IFERROR(__xludf.DUMMYFUNCTION("""COMPUTED_VALUE"""),820291.0)</f>
        <v>820291</v>
      </c>
      <c r="I134" s="254">
        <f>IFERROR(__xludf.DUMMYFUNCTION("""COMPUTED_VALUE"""),131.0)</f>
        <v>131</v>
      </c>
      <c r="J134" s="254">
        <f>IFERROR(__xludf.DUMMYFUNCTION("""COMPUTED_VALUE"""),159.0)</f>
        <v>159</v>
      </c>
      <c r="K134" s="254">
        <f>IFERROR(__xludf.DUMMYFUNCTION("""COMPUTED_VALUE"""),25480.0)</f>
        <v>25480</v>
      </c>
      <c r="L134" s="254">
        <f>IFERROR(__xludf.DUMMYFUNCTION("""COMPUTED_VALUE"""),1972.0)</f>
        <v>1972</v>
      </c>
      <c r="M134" s="254">
        <f>IFERROR(__xludf.DUMMYFUNCTION("""COMPUTED_VALUE"""),314597.0)</f>
        <v>314597</v>
      </c>
      <c r="N134" s="254">
        <f>IFERROR(__xludf.DUMMYFUNCTION("""COMPUTED_VALUE"""),340077.0)</f>
        <v>340077</v>
      </c>
      <c r="O134" s="254">
        <f>IFERROR(__xludf.DUMMYFUNCTION("""COMPUTED_VALUE"""),9.0)</f>
        <v>9</v>
      </c>
      <c r="P134" s="254">
        <f>IFERROR(__xludf.DUMMYFUNCTION("""COMPUTED_VALUE"""),2834.0)</f>
        <v>2834</v>
      </c>
      <c r="Q134" s="254">
        <f>IFERROR(__xludf.DUMMYFUNCTION("""COMPUTED_VALUE"""),9.0)</f>
        <v>9</v>
      </c>
      <c r="R134" s="254">
        <f>IFERROR(__xludf.DUMMYFUNCTION("""COMPUTED_VALUE"""),2385.0)</f>
        <v>2385</v>
      </c>
      <c r="S134" s="254">
        <f>IFERROR(__xludf.DUMMYFUNCTION("""COMPUTED_VALUE"""),2.0)</f>
        <v>2</v>
      </c>
      <c r="T134" s="254">
        <f>IFERROR(__xludf.DUMMYFUNCTION("""COMPUTED_VALUE"""),362.0)</f>
        <v>362</v>
      </c>
      <c r="U134" s="254">
        <f>IFERROR(__xludf.DUMMYFUNCTION("""COMPUTED_VALUE"""),87.0)</f>
        <v>87</v>
      </c>
      <c r="V134" s="254">
        <f>IFERROR(__xludf.DUMMYFUNCTION("""COMPUTED_VALUE"""),88.0)</f>
        <v>88</v>
      </c>
      <c r="W134" s="254">
        <f>IFERROR(__xludf.DUMMYFUNCTION("""COMPUTED_VALUE"""),9.0)</f>
        <v>9</v>
      </c>
      <c r="X134" s="254">
        <f>IFERROR(__xludf.DUMMYFUNCTION("""COMPUTED_VALUE"""),4.0)</f>
        <v>4</v>
      </c>
      <c r="Y134" s="254">
        <f>IFERROR(__xludf.DUMMYFUNCTION("""COMPUTED_VALUE"""),2.0)</f>
        <v>2</v>
      </c>
      <c r="Z134" s="254">
        <f>IFERROR(__xludf.DUMMYFUNCTION("""COMPUTED_VALUE"""),1129.0)</f>
        <v>1129</v>
      </c>
    </row>
    <row r="135">
      <c r="A135" s="253">
        <f>IFERROR(__xludf.DUMMYFUNCTION("""COMPUTED_VALUE"""),44108.0)</f>
        <v>44108</v>
      </c>
      <c r="B135" s="254">
        <f>IFERROR(__xludf.DUMMYFUNCTION("""COMPUTED_VALUE"""),81.0)</f>
        <v>81</v>
      </c>
      <c r="C135" s="254">
        <f>IFERROR(__xludf.DUMMYFUNCTION("""COMPUTED_VALUE"""),149.0)</f>
        <v>149</v>
      </c>
      <c r="D135" s="254">
        <f>IFERROR(__xludf.DUMMYFUNCTION("""COMPUTED_VALUE"""),35598.0)</f>
        <v>35598</v>
      </c>
      <c r="E135" s="254">
        <f>IFERROR(__xludf.DUMMYFUNCTION("""COMPUTED_VALUE"""),2369.0)</f>
        <v>2369</v>
      </c>
      <c r="F135" s="185">
        <f>IFERROR(__xludf.DUMMYFUNCTION("""COMPUTED_VALUE"""),787143.0)</f>
        <v>787143</v>
      </c>
      <c r="G135" s="185">
        <f>IFERROR(__xludf.DUMMYFUNCTION("""COMPUTED_VALUE"""),2450.0)</f>
        <v>2450</v>
      </c>
      <c r="H135" s="185">
        <f>IFERROR(__xludf.DUMMYFUNCTION("""COMPUTED_VALUE"""),822741.0)</f>
        <v>822741</v>
      </c>
      <c r="I135" s="254">
        <f>IFERROR(__xludf.DUMMYFUNCTION("""COMPUTED_VALUE"""),77.0)</f>
        <v>77</v>
      </c>
      <c r="J135" s="254">
        <f>IFERROR(__xludf.DUMMYFUNCTION("""COMPUTED_VALUE"""),130.0)</f>
        <v>130</v>
      </c>
      <c r="K135" s="254">
        <f>IFERROR(__xludf.DUMMYFUNCTION("""COMPUTED_VALUE"""),25557.0)</f>
        <v>25557</v>
      </c>
      <c r="L135" s="254">
        <f>IFERROR(__xludf.DUMMYFUNCTION("""COMPUTED_VALUE"""),932.0)</f>
        <v>932</v>
      </c>
      <c r="M135" s="254">
        <f>IFERROR(__xludf.DUMMYFUNCTION("""COMPUTED_VALUE"""),315529.0)</f>
        <v>315529</v>
      </c>
      <c r="N135" s="254">
        <f>IFERROR(__xludf.DUMMYFUNCTION("""COMPUTED_VALUE"""),341086.0)</f>
        <v>341086</v>
      </c>
      <c r="O135" s="254">
        <f>IFERROR(__xludf.DUMMYFUNCTION("""COMPUTED_VALUE"""),11.0)</f>
        <v>11</v>
      </c>
      <c r="P135" s="254">
        <f>IFERROR(__xludf.DUMMYFUNCTION("""COMPUTED_VALUE"""),2845.0)</f>
        <v>2845</v>
      </c>
      <c r="Q135" s="254">
        <f>IFERROR(__xludf.DUMMYFUNCTION("""COMPUTED_VALUE"""),9.0)</f>
        <v>9</v>
      </c>
      <c r="R135" s="254">
        <f>IFERROR(__xludf.DUMMYFUNCTION("""COMPUTED_VALUE"""),2394.0)</f>
        <v>2394</v>
      </c>
      <c r="S135" s="254">
        <f>IFERROR(__xludf.DUMMYFUNCTION("""COMPUTED_VALUE"""),1.0)</f>
        <v>1</v>
      </c>
      <c r="T135" s="254">
        <f>IFERROR(__xludf.DUMMYFUNCTION("""COMPUTED_VALUE"""),363.0)</f>
        <v>363</v>
      </c>
      <c r="U135" s="254">
        <f>IFERROR(__xludf.DUMMYFUNCTION("""COMPUTED_VALUE"""),88.0)</f>
        <v>88</v>
      </c>
      <c r="V135" s="254">
        <f>IFERROR(__xludf.DUMMYFUNCTION("""COMPUTED_VALUE"""),88.0)</f>
        <v>88</v>
      </c>
      <c r="W135" s="254">
        <f>IFERROR(__xludf.DUMMYFUNCTION("""COMPUTED_VALUE"""),8.0)</f>
        <v>8</v>
      </c>
      <c r="X135" s="254">
        <f>IFERROR(__xludf.DUMMYFUNCTION("""COMPUTED_VALUE"""),5.0)</f>
        <v>5</v>
      </c>
      <c r="Y135" s="254">
        <f>IFERROR(__xludf.DUMMYFUNCTION("""COMPUTED_VALUE"""),2.0)</f>
        <v>2</v>
      </c>
      <c r="Z135" s="254">
        <f>IFERROR(__xludf.DUMMYFUNCTION("""COMPUTED_VALUE"""),1131.0)</f>
        <v>1131</v>
      </c>
    </row>
    <row r="136">
      <c r="A136" s="253">
        <f>IFERROR(__xludf.DUMMYFUNCTION("""COMPUTED_VALUE"""),44109.0)</f>
        <v>44109</v>
      </c>
      <c r="B136" s="254">
        <f>IFERROR(__xludf.DUMMYFUNCTION("""COMPUTED_VALUE"""),174.0)</f>
        <v>174</v>
      </c>
      <c r="C136" s="254">
        <f>IFERROR(__xludf.DUMMYFUNCTION("""COMPUTED_VALUE"""),137.0)</f>
        <v>137</v>
      </c>
      <c r="D136" s="254">
        <f>IFERROR(__xludf.DUMMYFUNCTION("""COMPUTED_VALUE"""),35772.0)</f>
        <v>35772</v>
      </c>
      <c r="E136" s="254">
        <f>IFERROR(__xludf.DUMMYFUNCTION("""COMPUTED_VALUE"""),8982.0)</f>
        <v>8982</v>
      </c>
      <c r="F136" s="185">
        <f>IFERROR(__xludf.DUMMYFUNCTION("""COMPUTED_VALUE"""),796125.0)</f>
        <v>796125</v>
      </c>
      <c r="G136" s="185">
        <f>IFERROR(__xludf.DUMMYFUNCTION("""COMPUTED_VALUE"""),9156.0)</f>
        <v>9156</v>
      </c>
      <c r="H136" s="185">
        <f>IFERROR(__xludf.DUMMYFUNCTION("""COMPUTED_VALUE"""),831897.0)</f>
        <v>831897</v>
      </c>
      <c r="I136" s="254">
        <f>IFERROR(__xludf.DUMMYFUNCTION("""COMPUTED_VALUE"""),160.0)</f>
        <v>160</v>
      </c>
      <c r="J136" s="254">
        <f>IFERROR(__xludf.DUMMYFUNCTION("""COMPUTED_VALUE"""),123.0)</f>
        <v>123</v>
      </c>
      <c r="K136" s="254">
        <f>IFERROR(__xludf.DUMMYFUNCTION("""COMPUTED_VALUE"""),25717.0)</f>
        <v>25717</v>
      </c>
      <c r="L136" s="254">
        <f>IFERROR(__xludf.DUMMYFUNCTION("""COMPUTED_VALUE"""),2969.0)</f>
        <v>2969</v>
      </c>
      <c r="M136" s="254">
        <f>IFERROR(__xludf.DUMMYFUNCTION("""COMPUTED_VALUE"""),318498.0)</f>
        <v>318498</v>
      </c>
      <c r="N136" s="254">
        <f>IFERROR(__xludf.DUMMYFUNCTION("""COMPUTED_VALUE"""),344215.0)</f>
        <v>344215</v>
      </c>
      <c r="O136" s="254">
        <f>IFERROR(__xludf.DUMMYFUNCTION("""COMPUTED_VALUE"""),30.0)</f>
        <v>30</v>
      </c>
      <c r="P136" s="254">
        <f>IFERROR(__xludf.DUMMYFUNCTION("""COMPUTED_VALUE"""),2875.0)</f>
        <v>2875</v>
      </c>
      <c r="Q136" s="254">
        <f>IFERROR(__xludf.DUMMYFUNCTION("""COMPUTED_VALUE"""),10.0)</f>
        <v>10</v>
      </c>
      <c r="R136" s="254">
        <f>IFERROR(__xludf.DUMMYFUNCTION("""COMPUTED_VALUE"""),2404.0)</f>
        <v>2404</v>
      </c>
      <c r="S136" s="254">
        <f>IFERROR(__xludf.DUMMYFUNCTION("""COMPUTED_VALUE"""),2.0)</f>
        <v>2</v>
      </c>
      <c r="T136" s="254">
        <f>IFERROR(__xludf.DUMMYFUNCTION("""COMPUTED_VALUE"""),365.0)</f>
        <v>365</v>
      </c>
      <c r="U136" s="254">
        <f>IFERROR(__xludf.DUMMYFUNCTION("""COMPUTED_VALUE"""),106.0)</f>
        <v>106</v>
      </c>
      <c r="V136" s="254">
        <f>IFERROR(__xludf.DUMMYFUNCTION("""COMPUTED_VALUE"""),94.0)</f>
        <v>94</v>
      </c>
      <c r="W136" s="254">
        <f>IFERROR(__xludf.DUMMYFUNCTION("""COMPUTED_VALUE"""),9.0)</f>
        <v>9</v>
      </c>
      <c r="X136" s="254">
        <f>IFERROR(__xludf.DUMMYFUNCTION("""COMPUTED_VALUE"""),6.0)</f>
        <v>6</v>
      </c>
      <c r="Y136" s="254">
        <f>IFERROR(__xludf.DUMMYFUNCTION("""COMPUTED_VALUE"""),4.0)</f>
        <v>4</v>
      </c>
      <c r="Z136" s="254">
        <f>IFERROR(__xludf.DUMMYFUNCTION("""COMPUTED_VALUE"""),1135.0)</f>
        <v>1135</v>
      </c>
    </row>
    <row r="137">
      <c r="A137" s="253">
        <f>IFERROR(__xludf.DUMMYFUNCTION("""COMPUTED_VALUE"""),44110.0)</f>
        <v>44110</v>
      </c>
      <c r="B137" s="254">
        <f>IFERROR(__xludf.DUMMYFUNCTION("""COMPUTED_VALUE"""),187.0)</f>
        <v>187</v>
      </c>
      <c r="C137" s="254">
        <f>IFERROR(__xludf.DUMMYFUNCTION("""COMPUTED_VALUE"""),147.0)</f>
        <v>147</v>
      </c>
      <c r="D137" s="254">
        <f>IFERROR(__xludf.DUMMYFUNCTION("""COMPUTED_VALUE"""),35959.0)</f>
        <v>35959</v>
      </c>
      <c r="E137" s="254">
        <f>IFERROR(__xludf.DUMMYFUNCTION("""COMPUTED_VALUE"""),11186.0)</f>
        <v>11186</v>
      </c>
      <c r="F137" s="185">
        <f>IFERROR(__xludf.DUMMYFUNCTION("""COMPUTED_VALUE"""),807311.0)</f>
        <v>807311</v>
      </c>
      <c r="G137" s="185">
        <f>IFERROR(__xludf.DUMMYFUNCTION("""COMPUTED_VALUE"""),11373.0)</f>
        <v>11373</v>
      </c>
      <c r="H137" s="185">
        <f>IFERROR(__xludf.DUMMYFUNCTION("""COMPUTED_VALUE"""),843270.0)</f>
        <v>843270</v>
      </c>
      <c r="I137" s="254">
        <f>IFERROR(__xludf.DUMMYFUNCTION("""COMPUTED_VALUE"""),188.0)</f>
        <v>188</v>
      </c>
      <c r="J137" s="254">
        <f>IFERROR(__xludf.DUMMYFUNCTION("""COMPUTED_VALUE"""),142.0)</f>
        <v>142</v>
      </c>
      <c r="K137" s="254">
        <f>IFERROR(__xludf.DUMMYFUNCTION("""COMPUTED_VALUE"""),25905.0)</f>
        <v>25905</v>
      </c>
      <c r="L137" s="254">
        <f>IFERROR(__xludf.DUMMYFUNCTION("""COMPUTED_VALUE"""),2829.0)</f>
        <v>2829</v>
      </c>
      <c r="M137" s="254">
        <f>IFERROR(__xludf.DUMMYFUNCTION("""COMPUTED_VALUE"""),321327.0)</f>
        <v>321327</v>
      </c>
      <c r="N137" s="254">
        <f>IFERROR(__xludf.DUMMYFUNCTION("""COMPUTED_VALUE"""),347232.0)</f>
        <v>347232</v>
      </c>
      <c r="O137" s="254">
        <f>IFERROR(__xludf.DUMMYFUNCTION("""COMPUTED_VALUE"""),11.0)</f>
        <v>11</v>
      </c>
      <c r="P137" s="254">
        <f>IFERROR(__xludf.DUMMYFUNCTION("""COMPUTED_VALUE"""),2886.0)</f>
        <v>2886</v>
      </c>
      <c r="Q137" s="254">
        <f>IFERROR(__xludf.DUMMYFUNCTION("""COMPUTED_VALUE"""),4.0)</f>
        <v>4</v>
      </c>
      <c r="R137" s="254">
        <f>IFERROR(__xludf.DUMMYFUNCTION("""COMPUTED_VALUE"""),2408.0)</f>
        <v>2408</v>
      </c>
      <c r="S137" s="254">
        <f>IFERROR(__xludf.DUMMYFUNCTION("""COMPUTED_VALUE"""),0.0)</f>
        <v>0</v>
      </c>
      <c r="T137" s="254">
        <f>IFERROR(__xludf.DUMMYFUNCTION("""COMPUTED_VALUE"""),365.0)</f>
        <v>365</v>
      </c>
      <c r="U137" s="254">
        <f>IFERROR(__xludf.DUMMYFUNCTION("""COMPUTED_VALUE"""),113.0)</f>
        <v>113</v>
      </c>
      <c r="V137" s="254">
        <f>IFERROR(__xludf.DUMMYFUNCTION("""COMPUTED_VALUE"""),102.0)</f>
        <v>102</v>
      </c>
      <c r="W137" s="254">
        <f>IFERROR(__xludf.DUMMYFUNCTION("""COMPUTED_VALUE"""),11.0)</f>
        <v>11</v>
      </c>
      <c r="X137" s="254">
        <f>IFERROR(__xludf.DUMMYFUNCTION("""COMPUTED_VALUE"""),7.0)</f>
        <v>7</v>
      </c>
      <c r="Y137" s="254">
        <f>IFERROR(__xludf.DUMMYFUNCTION("""COMPUTED_VALUE"""),0.0)</f>
        <v>0</v>
      </c>
      <c r="Z137" s="254">
        <f>IFERROR(__xludf.DUMMYFUNCTION("""COMPUTED_VALUE"""),1135.0)</f>
        <v>1135</v>
      </c>
    </row>
    <row r="138">
      <c r="A138" s="253">
        <f>IFERROR(__xludf.DUMMYFUNCTION("""COMPUTED_VALUE"""),44111.0)</f>
        <v>44111</v>
      </c>
      <c r="B138" s="254">
        <f>IFERROR(__xludf.DUMMYFUNCTION("""COMPUTED_VALUE"""),242.0)</f>
        <v>242</v>
      </c>
      <c r="C138" s="254">
        <f>IFERROR(__xludf.DUMMYFUNCTION("""COMPUTED_VALUE"""),201.0)</f>
        <v>201</v>
      </c>
      <c r="D138" s="254">
        <f>IFERROR(__xludf.DUMMYFUNCTION("""COMPUTED_VALUE"""),36201.0)</f>
        <v>36201</v>
      </c>
      <c r="E138" s="254">
        <f>IFERROR(__xludf.DUMMYFUNCTION("""COMPUTED_VALUE"""),12442.0)</f>
        <v>12442</v>
      </c>
      <c r="F138" s="185">
        <f>IFERROR(__xludf.DUMMYFUNCTION("""COMPUTED_VALUE"""),819753.0)</f>
        <v>819753</v>
      </c>
      <c r="G138" s="185">
        <f>IFERROR(__xludf.DUMMYFUNCTION("""COMPUTED_VALUE"""),12684.0)</f>
        <v>12684</v>
      </c>
      <c r="H138" s="185">
        <f>IFERROR(__xludf.DUMMYFUNCTION("""COMPUTED_VALUE"""),855954.0)</f>
        <v>855954</v>
      </c>
      <c r="I138" s="254">
        <f>IFERROR(__xludf.DUMMYFUNCTION("""COMPUTED_VALUE"""),244.0)</f>
        <v>244</v>
      </c>
      <c r="J138" s="254">
        <f>IFERROR(__xludf.DUMMYFUNCTION("""COMPUTED_VALUE"""),197.0)</f>
        <v>197</v>
      </c>
      <c r="K138" s="254">
        <f>IFERROR(__xludf.DUMMYFUNCTION("""COMPUTED_VALUE"""),26149.0)</f>
        <v>26149</v>
      </c>
      <c r="L138" s="254">
        <f>IFERROR(__xludf.DUMMYFUNCTION("""COMPUTED_VALUE"""),3455.0)</f>
        <v>3455</v>
      </c>
      <c r="M138" s="254">
        <f>IFERROR(__xludf.DUMMYFUNCTION("""COMPUTED_VALUE"""),324782.0)</f>
        <v>324782</v>
      </c>
      <c r="N138" s="254">
        <f>IFERROR(__xludf.DUMMYFUNCTION("""COMPUTED_VALUE"""),350931.0)</f>
        <v>350931</v>
      </c>
      <c r="O138" s="254">
        <f>IFERROR(__xludf.DUMMYFUNCTION("""COMPUTED_VALUE"""),13.0)</f>
        <v>13</v>
      </c>
      <c r="P138" s="254">
        <f>IFERROR(__xludf.DUMMYFUNCTION("""COMPUTED_VALUE"""),2899.0)</f>
        <v>2899</v>
      </c>
      <c r="Q138" s="254">
        <f>IFERROR(__xludf.DUMMYFUNCTION("""COMPUTED_VALUE"""),14.0)</f>
        <v>14</v>
      </c>
      <c r="R138" s="254">
        <f>IFERROR(__xludf.DUMMYFUNCTION("""COMPUTED_VALUE"""),2422.0)</f>
        <v>2422</v>
      </c>
      <c r="S138" s="254">
        <f>IFERROR(__xludf.DUMMYFUNCTION("""COMPUTED_VALUE"""),2.0)</f>
        <v>2</v>
      </c>
      <c r="T138" s="254">
        <f>IFERROR(__xludf.DUMMYFUNCTION("""COMPUTED_VALUE"""),367.0)</f>
        <v>367</v>
      </c>
      <c r="U138" s="254">
        <f>IFERROR(__xludf.DUMMYFUNCTION("""COMPUTED_VALUE"""),110.0)</f>
        <v>110</v>
      </c>
      <c r="V138" s="254">
        <f>IFERROR(__xludf.DUMMYFUNCTION("""COMPUTED_VALUE"""),110.0)</f>
        <v>110</v>
      </c>
      <c r="W138" s="254">
        <f>IFERROR(__xludf.DUMMYFUNCTION("""COMPUTED_VALUE"""),9.0)</f>
        <v>9</v>
      </c>
      <c r="X138" s="254">
        <f>IFERROR(__xludf.DUMMYFUNCTION("""COMPUTED_VALUE"""),7.0)</f>
        <v>7</v>
      </c>
      <c r="Y138" s="254">
        <f>IFERROR(__xludf.DUMMYFUNCTION("""COMPUTED_VALUE"""),2.0)</f>
        <v>2</v>
      </c>
      <c r="Z138" s="254">
        <f>IFERROR(__xludf.DUMMYFUNCTION("""COMPUTED_VALUE"""),1137.0)</f>
        <v>1137</v>
      </c>
    </row>
    <row r="139">
      <c r="A139" s="253">
        <f>IFERROR(__xludf.DUMMYFUNCTION("""COMPUTED_VALUE"""),44112.0)</f>
        <v>44112</v>
      </c>
      <c r="B139" s="254">
        <f>IFERROR(__xludf.DUMMYFUNCTION("""COMPUTED_VALUE"""),279.0)</f>
        <v>279</v>
      </c>
      <c r="C139" s="254">
        <f>IFERROR(__xludf.DUMMYFUNCTION("""COMPUTED_VALUE"""),236.0)</f>
        <v>236</v>
      </c>
      <c r="D139" s="254">
        <f>IFERROR(__xludf.DUMMYFUNCTION("""COMPUTED_VALUE"""),36480.0)</f>
        <v>36480</v>
      </c>
      <c r="E139" s="254">
        <f>IFERROR(__xludf.DUMMYFUNCTION("""COMPUTED_VALUE"""),15231.0)</f>
        <v>15231</v>
      </c>
      <c r="F139" s="185">
        <f>IFERROR(__xludf.DUMMYFUNCTION("""COMPUTED_VALUE"""),834984.0)</f>
        <v>834984</v>
      </c>
      <c r="G139" s="185">
        <f>IFERROR(__xludf.DUMMYFUNCTION("""COMPUTED_VALUE"""),15510.0)</f>
        <v>15510</v>
      </c>
      <c r="H139" s="185">
        <f>IFERROR(__xludf.DUMMYFUNCTION("""COMPUTED_VALUE"""),871464.0)</f>
        <v>871464</v>
      </c>
      <c r="I139" s="254">
        <f>IFERROR(__xludf.DUMMYFUNCTION("""COMPUTED_VALUE"""),277.0)</f>
        <v>277</v>
      </c>
      <c r="J139" s="254">
        <f>IFERROR(__xludf.DUMMYFUNCTION("""COMPUTED_VALUE"""),236.0)</f>
        <v>236</v>
      </c>
      <c r="K139" s="254">
        <f>IFERROR(__xludf.DUMMYFUNCTION("""COMPUTED_VALUE"""),26426.0)</f>
        <v>26426</v>
      </c>
      <c r="L139" s="254">
        <f>IFERROR(__xludf.DUMMYFUNCTION("""COMPUTED_VALUE"""),4136.0)</f>
        <v>4136</v>
      </c>
      <c r="M139" s="254">
        <f>IFERROR(__xludf.DUMMYFUNCTION("""COMPUTED_VALUE"""),328918.0)</f>
        <v>328918</v>
      </c>
      <c r="N139" s="254">
        <f>IFERROR(__xludf.DUMMYFUNCTION("""COMPUTED_VALUE"""),355344.0)</f>
        <v>355344</v>
      </c>
      <c r="O139" s="254">
        <f>IFERROR(__xludf.DUMMYFUNCTION("""COMPUTED_VALUE"""),17.0)</f>
        <v>17</v>
      </c>
      <c r="P139" s="254">
        <f>IFERROR(__xludf.DUMMYFUNCTION("""COMPUTED_VALUE"""),2916.0)</f>
        <v>2916</v>
      </c>
      <c r="Q139" s="254">
        <f>IFERROR(__xludf.DUMMYFUNCTION("""COMPUTED_VALUE"""),13.0)</f>
        <v>13</v>
      </c>
      <c r="R139" s="254">
        <f>IFERROR(__xludf.DUMMYFUNCTION("""COMPUTED_VALUE"""),2435.0)</f>
        <v>2435</v>
      </c>
      <c r="S139" s="254">
        <f>IFERROR(__xludf.DUMMYFUNCTION("""COMPUTED_VALUE"""),2.0)</f>
        <v>2</v>
      </c>
      <c r="T139" s="254">
        <f>IFERROR(__xludf.DUMMYFUNCTION("""COMPUTED_VALUE"""),369.0)</f>
        <v>369</v>
      </c>
      <c r="U139" s="254">
        <f>IFERROR(__xludf.DUMMYFUNCTION("""COMPUTED_VALUE"""),112.0)</f>
        <v>112</v>
      </c>
      <c r="V139" s="254">
        <f>IFERROR(__xludf.DUMMYFUNCTION("""COMPUTED_VALUE"""),112.0)</f>
        <v>112</v>
      </c>
      <c r="W139" s="254">
        <f>IFERROR(__xludf.DUMMYFUNCTION("""COMPUTED_VALUE"""),7.0)</f>
        <v>7</v>
      </c>
      <c r="X139" s="254">
        <f>IFERROR(__xludf.DUMMYFUNCTION("""COMPUTED_VALUE"""),5.0)</f>
        <v>5</v>
      </c>
      <c r="Y139" s="254">
        <f>IFERROR(__xludf.DUMMYFUNCTION("""COMPUTED_VALUE"""),4.0)</f>
        <v>4</v>
      </c>
      <c r="Z139" s="254">
        <f>IFERROR(__xludf.DUMMYFUNCTION("""COMPUTED_VALUE"""),1141.0)</f>
        <v>1141</v>
      </c>
    </row>
    <row r="140">
      <c r="A140" s="253">
        <f>IFERROR(__xludf.DUMMYFUNCTION("""COMPUTED_VALUE"""),44113.0)</f>
        <v>44113</v>
      </c>
      <c r="B140" s="254">
        <f>IFERROR(__xludf.DUMMYFUNCTION("""COMPUTED_VALUE"""),229.0)</f>
        <v>229</v>
      </c>
      <c r="C140" s="254">
        <f>IFERROR(__xludf.DUMMYFUNCTION("""COMPUTED_VALUE"""),250.0)</f>
        <v>250</v>
      </c>
      <c r="D140" s="254">
        <f>IFERROR(__xludf.DUMMYFUNCTION("""COMPUTED_VALUE"""),36709.0)</f>
        <v>36709</v>
      </c>
      <c r="E140" s="254">
        <f>IFERROR(__xludf.DUMMYFUNCTION("""COMPUTED_VALUE"""),13745.0)</f>
        <v>13745</v>
      </c>
      <c r="F140" s="185">
        <f>IFERROR(__xludf.DUMMYFUNCTION("""COMPUTED_VALUE"""),848729.0)</f>
        <v>848729</v>
      </c>
      <c r="G140" s="185">
        <f>IFERROR(__xludf.DUMMYFUNCTION("""COMPUTED_VALUE"""),13974.0)</f>
        <v>13974</v>
      </c>
      <c r="H140" s="185">
        <f>IFERROR(__xludf.DUMMYFUNCTION("""COMPUTED_VALUE"""),885438.0)</f>
        <v>885438</v>
      </c>
      <c r="I140" s="254">
        <f>IFERROR(__xludf.DUMMYFUNCTION("""COMPUTED_VALUE"""),200.0)</f>
        <v>200</v>
      </c>
      <c r="J140" s="254">
        <f>IFERROR(__xludf.DUMMYFUNCTION("""COMPUTED_VALUE"""),240.0)</f>
        <v>240</v>
      </c>
      <c r="K140" s="254">
        <f>IFERROR(__xludf.DUMMYFUNCTION("""COMPUTED_VALUE"""),26626.0)</f>
        <v>26626</v>
      </c>
      <c r="L140" s="254">
        <f>IFERROR(__xludf.DUMMYFUNCTION("""COMPUTED_VALUE"""),4221.0)</f>
        <v>4221</v>
      </c>
      <c r="M140" s="254">
        <f>IFERROR(__xludf.DUMMYFUNCTION("""COMPUTED_VALUE"""),333139.0)</f>
        <v>333139</v>
      </c>
      <c r="N140" s="254">
        <f>IFERROR(__xludf.DUMMYFUNCTION("""COMPUTED_VALUE"""),359765.0)</f>
        <v>359765</v>
      </c>
      <c r="O140" s="254">
        <f>IFERROR(__xludf.DUMMYFUNCTION("""COMPUTED_VALUE"""),21.0)</f>
        <v>21</v>
      </c>
      <c r="P140" s="254">
        <f>IFERROR(__xludf.DUMMYFUNCTION("""COMPUTED_VALUE"""),2937.0)</f>
        <v>2937</v>
      </c>
      <c r="Q140" s="254">
        <f>IFERROR(__xludf.DUMMYFUNCTION("""COMPUTED_VALUE"""),12.0)</f>
        <v>12</v>
      </c>
      <c r="R140" s="254">
        <f>IFERROR(__xludf.DUMMYFUNCTION("""COMPUTED_VALUE"""),2447.0)</f>
        <v>2447</v>
      </c>
      <c r="S140" s="254">
        <f>IFERROR(__xludf.DUMMYFUNCTION("""COMPUTED_VALUE"""),0.0)</f>
        <v>0</v>
      </c>
      <c r="T140" s="254">
        <f>IFERROR(__xludf.DUMMYFUNCTION("""COMPUTED_VALUE"""),369.0)</f>
        <v>369</v>
      </c>
      <c r="U140" s="254">
        <f>IFERROR(__xludf.DUMMYFUNCTION("""COMPUTED_VALUE"""),121.0)</f>
        <v>121</v>
      </c>
      <c r="V140" s="254">
        <f>IFERROR(__xludf.DUMMYFUNCTION("""COMPUTED_VALUE"""),114.0)</f>
        <v>114</v>
      </c>
      <c r="W140" s="254">
        <f>IFERROR(__xludf.DUMMYFUNCTION("""COMPUTED_VALUE"""),10.0)</f>
        <v>10</v>
      </c>
      <c r="X140" s="254">
        <f>IFERROR(__xludf.DUMMYFUNCTION("""COMPUTED_VALUE"""),7.0)</f>
        <v>7</v>
      </c>
      <c r="Y140" s="254">
        <f>IFERROR(__xludf.DUMMYFUNCTION("""COMPUTED_VALUE"""),3.0)</f>
        <v>3</v>
      </c>
      <c r="Z140" s="254">
        <f>IFERROR(__xludf.DUMMYFUNCTION("""COMPUTED_VALUE"""),1144.0)</f>
        <v>1144</v>
      </c>
    </row>
    <row r="141">
      <c r="A141" s="253">
        <f>IFERROR(__xludf.DUMMYFUNCTION("""COMPUTED_VALUE"""),44114.0)</f>
        <v>44114</v>
      </c>
      <c r="B141" s="254">
        <f>IFERROR(__xludf.DUMMYFUNCTION("""COMPUTED_VALUE"""),231.0)</f>
        <v>231</v>
      </c>
      <c r="C141" s="254">
        <f>IFERROR(__xludf.DUMMYFUNCTION("""COMPUTED_VALUE"""),246.0)</f>
        <v>246</v>
      </c>
      <c r="D141" s="254">
        <f>IFERROR(__xludf.DUMMYFUNCTION("""COMPUTED_VALUE"""),36940.0)</f>
        <v>36940</v>
      </c>
      <c r="E141" s="254">
        <f>IFERROR(__xludf.DUMMYFUNCTION("""COMPUTED_VALUE"""),13832.0)</f>
        <v>13832</v>
      </c>
      <c r="F141" s="185">
        <f>IFERROR(__xludf.DUMMYFUNCTION("""COMPUTED_VALUE"""),862561.0)</f>
        <v>862561</v>
      </c>
      <c r="G141" s="185">
        <f>IFERROR(__xludf.DUMMYFUNCTION("""COMPUTED_VALUE"""),14063.0)</f>
        <v>14063</v>
      </c>
      <c r="H141" s="185">
        <f>IFERROR(__xludf.DUMMYFUNCTION("""COMPUTED_VALUE"""),899501.0)</f>
        <v>899501</v>
      </c>
      <c r="I141" s="254">
        <f>IFERROR(__xludf.DUMMYFUNCTION("""COMPUTED_VALUE"""),192.0)</f>
        <v>192</v>
      </c>
      <c r="J141" s="254">
        <f>IFERROR(__xludf.DUMMYFUNCTION("""COMPUTED_VALUE"""),223.0)</f>
        <v>223</v>
      </c>
      <c r="K141" s="254">
        <f>IFERROR(__xludf.DUMMYFUNCTION("""COMPUTED_VALUE"""),26818.0)</f>
        <v>26818</v>
      </c>
      <c r="L141" s="254">
        <f>IFERROR(__xludf.DUMMYFUNCTION("""COMPUTED_VALUE"""),3714.0)</f>
        <v>3714</v>
      </c>
      <c r="M141" s="254">
        <f>IFERROR(__xludf.DUMMYFUNCTION("""COMPUTED_VALUE"""),336853.0)</f>
        <v>336853</v>
      </c>
      <c r="N141" s="254">
        <f>IFERROR(__xludf.DUMMYFUNCTION("""COMPUTED_VALUE"""),363671.0)</f>
        <v>363671</v>
      </c>
      <c r="O141" s="254">
        <f>IFERROR(__xludf.DUMMYFUNCTION("""COMPUTED_VALUE"""),19.0)</f>
        <v>19</v>
      </c>
      <c r="P141" s="254">
        <f>IFERROR(__xludf.DUMMYFUNCTION("""COMPUTED_VALUE"""),2956.0)</f>
        <v>2956</v>
      </c>
      <c r="Q141" s="254">
        <f>IFERROR(__xludf.DUMMYFUNCTION("""COMPUTED_VALUE"""),10.0)</f>
        <v>10</v>
      </c>
      <c r="R141" s="254">
        <f>IFERROR(__xludf.DUMMYFUNCTION("""COMPUTED_VALUE"""),2457.0)</f>
        <v>2457</v>
      </c>
      <c r="S141" s="254">
        <f>IFERROR(__xludf.DUMMYFUNCTION("""COMPUTED_VALUE"""),1.0)</f>
        <v>1</v>
      </c>
      <c r="T141" s="254">
        <f>IFERROR(__xludf.DUMMYFUNCTION("""COMPUTED_VALUE"""),370.0)</f>
        <v>370</v>
      </c>
      <c r="U141" s="254">
        <f>IFERROR(__xludf.DUMMYFUNCTION("""COMPUTED_VALUE"""),129.0)</f>
        <v>129</v>
      </c>
      <c r="V141" s="254">
        <f>IFERROR(__xludf.DUMMYFUNCTION("""COMPUTED_VALUE"""),121.0)</f>
        <v>121</v>
      </c>
      <c r="W141" s="254">
        <f>IFERROR(__xludf.DUMMYFUNCTION("""COMPUTED_VALUE"""),13.0)</f>
        <v>13</v>
      </c>
      <c r="X141" s="254">
        <f>IFERROR(__xludf.DUMMYFUNCTION("""COMPUTED_VALUE"""),7.0)</f>
        <v>7</v>
      </c>
      <c r="Y141" s="254">
        <f>IFERROR(__xludf.DUMMYFUNCTION("""COMPUTED_VALUE"""),2.0)</f>
        <v>2</v>
      </c>
      <c r="Z141" s="254">
        <f>IFERROR(__xludf.DUMMYFUNCTION("""COMPUTED_VALUE"""),1146.0)</f>
        <v>1146</v>
      </c>
    </row>
    <row r="142">
      <c r="A142" s="253">
        <f>IFERROR(__xludf.DUMMYFUNCTION("""COMPUTED_VALUE"""),44115.0)</f>
        <v>44115</v>
      </c>
      <c r="B142" s="254">
        <f>IFERROR(__xludf.DUMMYFUNCTION("""COMPUTED_VALUE"""),97.0)</f>
        <v>97</v>
      </c>
      <c r="C142" s="254">
        <f>IFERROR(__xludf.DUMMYFUNCTION("""COMPUTED_VALUE"""),186.0)</f>
        <v>186</v>
      </c>
      <c r="D142" s="254">
        <f>IFERROR(__xludf.DUMMYFUNCTION("""COMPUTED_VALUE"""),37037.0)</f>
        <v>37037</v>
      </c>
      <c r="E142" s="254">
        <f>IFERROR(__xludf.DUMMYFUNCTION("""COMPUTED_VALUE"""),3263.0)</f>
        <v>3263</v>
      </c>
      <c r="F142" s="185">
        <f>IFERROR(__xludf.DUMMYFUNCTION("""COMPUTED_VALUE"""),865824.0)</f>
        <v>865824</v>
      </c>
      <c r="G142" s="185">
        <f>IFERROR(__xludf.DUMMYFUNCTION("""COMPUTED_VALUE"""),3360.0)</f>
        <v>3360</v>
      </c>
      <c r="H142" s="185">
        <f>IFERROR(__xludf.DUMMYFUNCTION("""COMPUTED_VALUE"""),902861.0)</f>
        <v>902861</v>
      </c>
      <c r="I142" s="254">
        <f>IFERROR(__xludf.DUMMYFUNCTION("""COMPUTED_VALUE"""),87.0)</f>
        <v>87</v>
      </c>
      <c r="J142" s="254">
        <f>IFERROR(__xludf.DUMMYFUNCTION("""COMPUTED_VALUE"""),160.0)</f>
        <v>160</v>
      </c>
      <c r="K142" s="254">
        <f>IFERROR(__xludf.DUMMYFUNCTION("""COMPUTED_VALUE"""),26905.0)</f>
        <v>26905</v>
      </c>
      <c r="L142" s="254">
        <f>IFERROR(__xludf.DUMMYFUNCTION("""COMPUTED_VALUE"""),1140.0)</f>
        <v>1140</v>
      </c>
      <c r="M142" s="254">
        <f>IFERROR(__xludf.DUMMYFUNCTION("""COMPUTED_VALUE"""),337993.0)</f>
        <v>337993</v>
      </c>
      <c r="N142" s="254">
        <f>IFERROR(__xludf.DUMMYFUNCTION("""COMPUTED_VALUE"""),364898.0)</f>
        <v>364898</v>
      </c>
      <c r="O142" s="254">
        <f>IFERROR(__xludf.DUMMYFUNCTION("""COMPUTED_VALUE"""),12.0)</f>
        <v>12</v>
      </c>
      <c r="P142" s="254">
        <f>IFERROR(__xludf.DUMMYFUNCTION("""COMPUTED_VALUE"""),2968.0)</f>
        <v>2968</v>
      </c>
      <c r="Q142" s="254">
        <f>IFERROR(__xludf.DUMMYFUNCTION("""COMPUTED_VALUE"""),9.0)</f>
        <v>9</v>
      </c>
      <c r="R142" s="254">
        <f>IFERROR(__xludf.DUMMYFUNCTION("""COMPUTED_VALUE"""),2466.0)</f>
        <v>2466</v>
      </c>
      <c r="S142" s="254">
        <f>IFERROR(__xludf.DUMMYFUNCTION("""COMPUTED_VALUE"""),1.0)</f>
        <v>1</v>
      </c>
      <c r="T142" s="254">
        <f>IFERROR(__xludf.DUMMYFUNCTION("""COMPUTED_VALUE"""),371.0)</f>
        <v>371</v>
      </c>
      <c r="U142" s="254">
        <f>IFERROR(__xludf.DUMMYFUNCTION("""COMPUTED_VALUE"""),131.0)</f>
        <v>131</v>
      </c>
      <c r="V142" s="254">
        <f>IFERROR(__xludf.DUMMYFUNCTION("""COMPUTED_VALUE"""),127.0)</f>
        <v>127</v>
      </c>
      <c r="W142" s="254">
        <f>IFERROR(__xludf.DUMMYFUNCTION("""COMPUTED_VALUE"""),14.0)</f>
        <v>14</v>
      </c>
      <c r="X142" s="254">
        <f>IFERROR(__xludf.DUMMYFUNCTION("""COMPUTED_VALUE"""),5.0)</f>
        <v>5</v>
      </c>
      <c r="Y142" s="254">
        <f>IFERROR(__xludf.DUMMYFUNCTION("""COMPUTED_VALUE"""),6.0)</f>
        <v>6</v>
      </c>
      <c r="Z142" s="254">
        <f>IFERROR(__xludf.DUMMYFUNCTION("""COMPUTED_VALUE"""),1152.0)</f>
        <v>1152</v>
      </c>
    </row>
    <row r="143">
      <c r="A143" s="253">
        <f>IFERROR(__xludf.DUMMYFUNCTION("""COMPUTED_VALUE"""),44116.0)</f>
        <v>44116</v>
      </c>
      <c r="B143" s="254">
        <f>IFERROR(__xludf.DUMMYFUNCTION("""COMPUTED_VALUE"""),169.0)</f>
        <v>169</v>
      </c>
      <c r="C143" s="254">
        <f>IFERROR(__xludf.DUMMYFUNCTION("""COMPUTED_VALUE"""),166.0)</f>
        <v>166</v>
      </c>
      <c r="D143" s="254">
        <f>IFERROR(__xludf.DUMMYFUNCTION("""COMPUTED_VALUE"""),37206.0)</f>
        <v>37206</v>
      </c>
      <c r="E143" s="254">
        <f>IFERROR(__xludf.DUMMYFUNCTION("""COMPUTED_VALUE"""),6440.0)</f>
        <v>6440</v>
      </c>
      <c r="F143" s="185">
        <f>IFERROR(__xludf.DUMMYFUNCTION("""COMPUTED_VALUE"""),872264.0)</f>
        <v>872264</v>
      </c>
      <c r="G143" s="185">
        <f>IFERROR(__xludf.DUMMYFUNCTION("""COMPUTED_VALUE"""),6609.0)</f>
        <v>6609</v>
      </c>
      <c r="H143" s="185">
        <f>IFERROR(__xludf.DUMMYFUNCTION("""COMPUTED_VALUE"""),909470.0)</f>
        <v>909470</v>
      </c>
      <c r="I143" s="254">
        <f>IFERROR(__xludf.DUMMYFUNCTION("""COMPUTED_VALUE"""),157.0)</f>
        <v>157</v>
      </c>
      <c r="J143" s="254">
        <f>IFERROR(__xludf.DUMMYFUNCTION("""COMPUTED_VALUE"""),145.0)</f>
        <v>145</v>
      </c>
      <c r="K143" s="254">
        <f>IFERROR(__xludf.DUMMYFUNCTION("""COMPUTED_VALUE"""),27062.0)</f>
        <v>27062</v>
      </c>
      <c r="L143" s="254">
        <f>IFERROR(__xludf.DUMMYFUNCTION("""COMPUTED_VALUE"""),1684.0)</f>
        <v>1684</v>
      </c>
      <c r="M143" s="254">
        <f>IFERROR(__xludf.DUMMYFUNCTION("""COMPUTED_VALUE"""),339677.0)</f>
        <v>339677</v>
      </c>
      <c r="N143" s="254">
        <f>IFERROR(__xludf.DUMMYFUNCTION("""COMPUTED_VALUE"""),366739.0)</f>
        <v>366739</v>
      </c>
      <c r="O143" s="254">
        <f>IFERROR(__xludf.DUMMYFUNCTION("""COMPUTED_VALUE"""),19.0)</f>
        <v>19</v>
      </c>
      <c r="P143" s="254">
        <f>IFERROR(__xludf.DUMMYFUNCTION("""COMPUTED_VALUE"""),2987.0)</f>
        <v>2987</v>
      </c>
      <c r="Q143" s="254">
        <f>IFERROR(__xludf.DUMMYFUNCTION("""COMPUTED_VALUE"""),15.0)</f>
        <v>15</v>
      </c>
      <c r="R143" s="254">
        <f>IFERROR(__xludf.DUMMYFUNCTION("""COMPUTED_VALUE"""),2481.0)</f>
        <v>2481</v>
      </c>
      <c r="S143" s="254">
        <f>IFERROR(__xludf.DUMMYFUNCTION("""COMPUTED_VALUE"""),2.0)</f>
        <v>2</v>
      </c>
      <c r="T143" s="254">
        <f>IFERROR(__xludf.DUMMYFUNCTION("""COMPUTED_VALUE"""),373.0)</f>
        <v>373</v>
      </c>
      <c r="U143" s="254">
        <f>IFERROR(__xludf.DUMMYFUNCTION("""COMPUTED_VALUE"""),133.0)</f>
        <v>133</v>
      </c>
      <c r="V143" s="254">
        <f>IFERROR(__xludf.DUMMYFUNCTION("""COMPUTED_VALUE"""),131.0)</f>
        <v>131</v>
      </c>
      <c r="W143" s="254">
        <f>IFERROR(__xludf.DUMMYFUNCTION("""COMPUTED_VALUE"""),14.0)</f>
        <v>14</v>
      </c>
      <c r="X143" s="254">
        <f>IFERROR(__xludf.DUMMYFUNCTION("""COMPUTED_VALUE"""),5.0)</f>
        <v>5</v>
      </c>
      <c r="Y143" s="254">
        <f>IFERROR(__xludf.DUMMYFUNCTION("""COMPUTED_VALUE"""),4.0)</f>
        <v>4</v>
      </c>
      <c r="Z143" s="254">
        <f>IFERROR(__xludf.DUMMYFUNCTION("""COMPUTED_VALUE"""),1156.0)</f>
        <v>1156</v>
      </c>
    </row>
    <row r="144">
      <c r="A144" s="253">
        <f>IFERROR(__xludf.DUMMYFUNCTION("""COMPUTED_VALUE"""),44117.0)</f>
        <v>44117</v>
      </c>
      <c r="B144" s="254">
        <f>IFERROR(__xludf.DUMMYFUNCTION("""COMPUTED_VALUE"""),213.0)</f>
        <v>213</v>
      </c>
      <c r="C144" s="254">
        <f>IFERROR(__xludf.DUMMYFUNCTION("""COMPUTED_VALUE"""),160.0)</f>
        <v>160</v>
      </c>
      <c r="D144" s="254">
        <f>IFERROR(__xludf.DUMMYFUNCTION("""COMPUTED_VALUE"""),37419.0)</f>
        <v>37419</v>
      </c>
      <c r="E144" s="254">
        <f>IFERROR(__xludf.DUMMYFUNCTION("""COMPUTED_VALUE"""),8522.0)</f>
        <v>8522</v>
      </c>
      <c r="F144" s="185">
        <f>IFERROR(__xludf.DUMMYFUNCTION("""COMPUTED_VALUE"""),880786.0)</f>
        <v>880786</v>
      </c>
      <c r="G144" s="185">
        <f>IFERROR(__xludf.DUMMYFUNCTION("""COMPUTED_VALUE"""),8735.0)</f>
        <v>8735</v>
      </c>
      <c r="H144" s="185">
        <f>IFERROR(__xludf.DUMMYFUNCTION("""COMPUTED_VALUE"""),918205.0)</f>
        <v>918205</v>
      </c>
      <c r="I144" s="254">
        <f>IFERROR(__xludf.DUMMYFUNCTION("""COMPUTED_VALUE"""),207.0)</f>
        <v>207</v>
      </c>
      <c r="J144" s="254">
        <f>IFERROR(__xludf.DUMMYFUNCTION("""COMPUTED_VALUE"""),150.0)</f>
        <v>150</v>
      </c>
      <c r="K144" s="254">
        <f>IFERROR(__xludf.DUMMYFUNCTION("""COMPUTED_VALUE"""),27269.0)</f>
        <v>27269</v>
      </c>
      <c r="L144" s="254">
        <f>IFERROR(__xludf.DUMMYFUNCTION("""COMPUTED_VALUE"""),2270.0)</f>
        <v>2270</v>
      </c>
      <c r="M144" s="254">
        <f>IFERROR(__xludf.DUMMYFUNCTION("""COMPUTED_VALUE"""),341947.0)</f>
        <v>341947</v>
      </c>
      <c r="N144" s="254">
        <f>IFERROR(__xludf.DUMMYFUNCTION("""COMPUTED_VALUE"""),369216.0)</f>
        <v>369216</v>
      </c>
      <c r="O144" s="254">
        <f>IFERROR(__xludf.DUMMYFUNCTION("""COMPUTED_VALUE"""),15.0)</f>
        <v>15</v>
      </c>
      <c r="P144" s="254">
        <f>IFERROR(__xludf.DUMMYFUNCTION("""COMPUTED_VALUE"""),3002.0)</f>
        <v>3002</v>
      </c>
      <c r="Q144" s="254">
        <f>IFERROR(__xludf.DUMMYFUNCTION("""COMPUTED_VALUE"""),13.0)</f>
        <v>13</v>
      </c>
      <c r="R144" s="254">
        <f>IFERROR(__xludf.DUMMYFUNCTION("""COMPUTED_VALUE"""),2494.0)</f>
        <v>2494</v>
      </c>
      <c r="S144" s="254">
        <f>IFERROR(__xludf.DUMMYFUNCTION("""COMPUTED_VALUE"""),4.0)</f>
        <v>4</v>
      </c>
      <c r="T144" s="254">
        <f>IFERROR(__xludf.DUMMYFUNCTION("""COMPUTED_VALUE"""),377.0)</f>
        <v>377</v>
      </c>
      <c r="U144" s="254">
        <f>IFERROR(__xludf.DUMMYFUNCTION("""COMPUTED_VALUE"""),131.0)</f>
        <v>131</v>
      </c>
      <c r="V144" s="254">
        <f>IFERROR(__xludf.DUMMYFUNCTION("""COMPUTED_VALUE"""),132.0)</f>
        <v>132</v>
      </c>
      <c r="W144" s="254">
        <f>IFERROR(__xludf.DUMMYFUNCTION("""COMPUTED_VALUE"""),13.0)</f>
        <v>13</v>
      </c>
      <c r="X144" s="254">
        <f>IFERROR(__xludf.DUMMYFUNCTION("""COMPUTED_VALUE"""),5.0)</f>
        <v>5</v>
      </c>
      <c r="Y144" s="254">
        <f>IFERROR(__xludf.DUMMYFUNCTION("""COMPUTED_VALUE"""),7.0)</f>
        <v>7</v>
      </c>
      <c r="Z144" s="254">
        <f>IFERROR(__xludf.DUMMYFUNCTION("""COMPUTED_VALUE"""),1163.0)</f>
        <v>1163</v>
      </c>
    </row>
    <row r="145">
      <c r="A145" s="253">
        <f>IFERROR(__xludf.DUMMYFUNCTION("""COMPUTED_VALUE"""),44118.0)</f>
        <v>44118</v>
      </c>
      <c r="B145" s="254">
        <f>IFERROR(__xludf.DUMMYFUNCTION("""COMPUTED_VALUE"""),322.0)</f>
        <v>322</v>
      </c>
      <c r="C145" s="254">
        <f>IFERROR(__xludf.DUMMYFUNCTION("""COMPUTED_VALUE"""),235.0)</f>
        <v>235</v>
      </c>
      <c r="D145" s="254">
        <f>IFERROR(__xludf.DUMMYFUNCTION("""COMPUTED_VALUE"""),37741.0)</f>
        <v>37741</v>
      </c>
      <c r="E145" s="254">
        <f>IFERROR(__xludf.DUMMYFUNCTION("""COMPUTED_VALUE"""),15039.0)</f>
        <v>15039</v>
      </c>
      <c r="F145" s="185">
        <f>IFERROR(__xludf.DUMMYFUNCTION("""COMPUTED_VALUE"""),895825.0)</f>
        <v>895825</v>
      </c>
      <c r="G145" s="185">
        <f>IFERROR(__xludf.DUMMYFUNCTION("""COMPUTED_VALUE"""),15361.0)</f>
        <v>15361</v>
      </c>
      <c r="H145" s="185">
        <f>IFERROR(__xludf.DUMMYFUNCTION("""COMPUTED_VALUE"""),933566.0)</f>
        <v>933566</v>
      </c>
      <c r="I145" s="254">
        <f>IFERROR(__xludf.DUMMYFUNCTION("""COMPUTED_VALUE"""),299.0)</f>
        <v>299</v>
      </c>
      <c r="J145" s="254">
        <f>IFERROR(__xludf.DUMMYFUNCTION("""COMPUTED_VALUE"""),221.0)</f>
        <v>221</v>
      </c>
      <c r="K145" s="254">
        <f>IFERROR(__xludf.DUMMYFUNCTION("""COMPUTED_VALUE"""),27568.0)</f>
        <v>27568</v>
      </c>
      <c r="L145" s="254">
        <f>IFERROR(__xludf.DUMMYFUNCTION("""COMPUTED_VALUE"""),3945.0)</f>
        <v>3945</v>
      </c>
      <c r="M145" s="254">
        <f>IFERROR(__xludf.DUMMYFUNCTION("""COMPUTED_VALUE"""),345892.0)</f>
        <v>345892</v>
      </c>
      <c r="N145" s="254">
        <f>IFERROR(__xludf.DUMMYFUNCTION("""COMPUTED_VALUE"""),373460.0)</f>
        <v>373460</v>
      </c>
      <c r="O145" s="254">
        <f>IFERROR(__xludf.DUMMYFUNCTION("""COMPUTED_VALUE"""),17.0)</f>
        <v>17</v>
      </c>
      <c r="P145" s="254">
        <f>IFERROR(__xludf.DUMMYFUNCTION("""COMPUTED_VALUE"""),3019.0)</f>
        <v>3019</v>
      </c>
      <c r="Q145" s="254">
        <f>IFERROR(__xludf.DUMMYFUNCTION("""COMPUTED_VALUE"""),7.0)</f>
        <v>7</v>
      </c>
      <c r="R145" s="254">
        <f>IFERROR(__xludf.DUMMYFUNCTION("""COMPUTED_VALUE"""),2501.0)</f>
        <v>2501</v>
      </c>
      <c r="S145" s="254">
        <f>IFERROR(__xludf.DUMMYFUNCTION("""COMPUTED_VALUE"""),0.0)</f>
        <v>0</v>
      </c>
      <c r="T145" s="254">
        <f>IFERROR(__xludf.DUMMYFUNCTION("""COMPUTED_VALUE"""),377.0)</f>
        <v>377</v>
      </c>
      <c r="U145" s="254">
        <f>IFERROR(__xludf.DUMMYFUNCTION("""COMPUTED_VALUE"""),141.0)</f>
        <v>141</v>
      </c>
      <c r="V145" s="254">
        <f>IFERROR(__xludf.DUMMYFUNCTION("""COMPUTED_VALUE"""),135.0)</f>
        <v>135</v>
      </c>
      <c r="W145" s="254">
        <f>IFERROR(__xludf.DUMMYFUNCTION("""COMPUTED_VALUE"""),15.0)</f>
        <v>15</v>
      </c>
      <c r="X145" s="254">
        <f>IFERROR(__xludf.DUMMYFUNCTION("""COMPUTED_VALUE"""),5.0)</f>
        <v>5</v>
      </c>
      <c r="Y145" s="254">
        <f>IFERROR(__xludf.DUMMYFUNCTION("""COMPUTED_VALUE"""),2.0)</f>
        <v>2</v>
      </c>
      <c r="Z145" s="254">
        <f>IFERROR(__xludf.DUMMYFUNCTION("""COMPUTED_VALUE"""),1165.0)</f>
        <v>1165</v>
      </c>
    </row>
    <row r="146">
      <c r="A146" s="253">
        <f>IFERROR(__xludf.DUMMYFUNCTION("""COMPUTED_VALUE"""),44119.0)</f>
        <v>44119</v>
      </c>
      <c r="B146" s="254">
        <f>IFERROR(__xludf.DUMMYFUNCTION("""COMPUTED_VALUE"""),262.0)</f>
        <v>262</v>
      </c>
      <c r="C146" s="254">
        <f>IFERROR(__xludf.DUMMYFUNCTION("""COMPUTED_VALUE"""),266.0)</f>
        <v>266</v>
      </c>
      <c r="D146" s="254">
        <f>IFERROR(__xludf.DUMMYFUNCTION("""COMPUTED_VALUE"""),38003.0)</f>
        <v>38003</v>
      </c>
      <c r="E146" s="254">
        <f>IFERROR(__xludf.DUMMYFUNCTION("""COMPUTED_VALUE"""),14639.0)</f>
        <v>14639</v>
      </c>
      <c r="F146" s="185">
        <f>IFERROR(__xludf.DUMMYFUNCTION("""COMPUTED_VALUE"""),910464.0)</f>
        <v>910464</v>
      </c>
      <c r="G146" s="185">
        <f>IFERROR(__xludf.DUMMYFUNCTION("""COMPUTED_VALUE"""),14901.0)</f>
        <v>14901</v>
      </c>
      <c r="H146" s="185">
        <f>IFERROR(__xludf.DUMMYFUNCTION("""COMPUTED_VALUE"""),948467.0)</f>
        <v>948467</v>
      </c>
      <c r="I146" s="254">
        <f>IFERROR(__xludf.DUMMYFUNCTION("""COMPUTED_VALUE"""),253.0)</f>
        <v>253</v>
      </c>
      <c r="J146" s="254">
        <f>IFERROR(__xludf.DUMMYFUNCTION("""COMPUTED_VALUE"""),253.0)</f>
        <v>253</v>
      </c>
      <c r="K146" s="254">
        <f>IFERROR(__xludf.DUMMYFUNCTION("""COMPUTED_VALUE"""),27821.0)</f>
        <v>27821</v>
      </c>
      <c r="L146" s="254">
        <f>IFERROR(__xludf.DUMMYFUNCTION("""COMPUTED_VALUE"""),3492.0)</f>
        <v>3492</v>
      </c>
      <c r="M146" s="254">
        <f>IFERROR(__xludf.DUMMYFUNCTION("""COMPUTED_VALUE"""),349384.0)</f>
        <v>349384</v>
      </c>
      <c r="N146" s="254">
        <f>IFERROR(__xludf.DUMMYFUNCTION("""COMPUTED_VALUE"""),377205.0)</f>
        <v>377205</v>
      </c>
      <c r="O146" s="254">
        <f>IFERROR(__xludf.DUMMYFUNCTION("""COMPUTED_VALUE"""),12.0)</f>
        <v>12</v>
      </c>
      <c r="P146" s="254">
        <f>IFERROR(__xludf.DUMMYFUNCTION("""COMPUTED_VALUE"""),3031.0)</f>
        <v>3031</v>
      </c>
      <c r="Q146" s="254">
        <f>IFERROR(__xludf.DUMMYFUNCTION("""COMPUTED_VALUE"""),16.0)</f>
        <v>16</v>
      </c>
      <c r="R146" s="254">
        <f>IFERROR(__xludf.DUMMYFUNCTION("""COMPUTED_VALUE"""),2517.0)</f>
        <v>2517</v>
      </c>
      <c r="S146" s="254">
        <f>IFERROR(__xludf.DUMMYFUNCTION("""COMPUTED_VALUE"""),1.0)</f>
        <v>1</v>
      </c>
      <c r="T146" s="254">
        <f>IFERROR(__xludf.DUMMYFUNCTION("""COMPUTED_VALUE"""),378.0)</f>
        <v>378</v>
      </c>
      <c r="U146" s="254">
        <f>IFERROR(__xludf.DUMMYFUNCTION("""COMPUTED_VALUE"""),136.0)</f>
        <v>136</v>
      </c>
      <c r="V146" s="254">
        <f>IFERROR(__xludf.DUMMYFUNCTION("""COMPUTED_VALUE"""),136.0)</f>
        <v>136</v>
      </c>
      <c r="W146" s="254">
        <f>IFERROR(__xludf.DUMMYFUNCTION("""COMPUTED_VALUE"""),13.0)</f>
        <v>13</v>
      </c>
      <c r="X146" s="254">
        <f>IFERROR(__xludf.DUMMYFUNCTION("""COMPUTED_VALUE"""),5.0)</f>
        <v>5</v>
      </c>
      <c r="Y146" s="254">
        <f>IFERROR(__xludf.DUMMYFUNCTION("""COMPUTED_VALUE"""),2.0)</f>
        <v>2</v>
      </c>
      <c r="Z146" s="254">
        <f>IFERROR(__xludf.DUMMYFUNCTION("""COMPUTED_VALUE"""),1167.0)</f>
        <v>1167</v>
      </c>
    </row>
    <row r="147">
      <c r="A147" s="253">
        <f>IFERROR(__xludf.DUMMYFUNCTION("""COMPUTED_VALUE"""),44120.0)</f>
        <v>44120</v>
      </c>
      <c r="B147" s="254">
        <f>IFERROR(__xludf.DUMMYFUNCTION("""COMPUTED_VALUE"""),279.0)</f>
        <v>279</v>
      </c>
      <c r="C147" s="254">
        <f>IFERROR(__xludf.DUMMYFUNCTION("""COMPUTED_VALUE"""),288.0)</f>
        <v>288</v>
      </c>
      <c r="D147" s="254">
        <f>IFERROR(__xludf.DUMMYFUNCTION("""COMPUTED_VALUE"""),38282.0)</f>
        <v>38282</v>
      </c>
      <c r="E147" s="254">
        <f>IFERROR(__xludf.DUMMYFUNCTION("""COMPUTED_VALUE"""),15011.0)</f>
        <v>15011</v>
      </c>
      <c r="F147" s="185">
        <f>IFERROR(__xludf.DUMMYFUNCTION("""COMPUTED_VALUE"""),925475.0)</f>
        <v>925475</v>
      </c>
      <c r="G147" s="185">
        <f>IFERROR(__xludf.DUMMYFUNCTION("""COMPUTED_VALUE"""),15290.0)</f>
        <v>15290</v>
      </c>
      <c r="H147" s="185">
        <f>IFERROR(__xludf.DUMMYFUNCTION("""COMPUTED_VALUE"""),963757.0)</f>
        <v>963757</v>
      </c>
      <c r="I147" s="254">
        <f>IFERROR(__xludf.DUMMYFUNCTION("""COMPUTED_VALUE"""),275.0)</f>
        <v>275</v>
      </c>
      <c r="J147" s="254">
        <f>IFERROR(__xludf.DUMMYFUNCTION("""COMPUTED_VALUE"""),276.0)</f>
        <v>276</v>
      </c>
      <c r="K147" s="254">
        <f>IFERROR(__xludf.DUMMYFUNCTION("""COMPUTED_VALUE"""),28096.0)</f>
        <v>28096</v>
      </c>
      <c r="L147" s="254">
        <f>IFERROR(__xludf.DUMMYFUNCTION("""COMPUTED_VALUE"""),3307.0)</f>
        <v>3307</v>
      </c>
      <c r="M147" s="254">
        <f>IFERROR(__xludf.DUMMYFUNCTION("""COMPUTED_VALUE"""),352691.0)</f>
        <v>352691</v>
      </c>
      <c r="N147" s="254">
        <f>IFERROR(__xludf.DUMMYFUNCTION("""COMPUTED_VALUE"""),380787.0)</f>
        <v>380787</v>
      </c>
      <c r="O147" s="254">
        <f>IFERROR(__xludf.DUMMYFUNCTION("""COMPUTED_VALUE"""),13.0)</f>
        <v>13</v>
      </c>
      <c r="P147" s="254">
        <f>IFERROR(__xludf.DUMMYFUNCTION("""COMPUTED_VALUE"""),3044.0)</f>
        <v>3044</v>
      </c>
      <c r="Q147" s="254">
        <f>IFERROR(__xludf.DUMMYFUNCTION("""COMPUTED_VALUE"""),18.0)</f>
        <v>18</v>
      </c>
      <c r="R147" s="254">
        <f>IFERROR(__xludf.DUMMYFUNCTION("""COMPUTED_VALUE"""),2535.0)</f>
        <v>2535</v>
      </c>
      <c r="S147" s="254">
        <f>IFERROR(__xludf.DUMMYFUNCTION("""COMPUTED_VALUE"""),1.0)</f>
        <v>1</v>
      </c>
      <c r="T147" s="254">
        <f>IFERROR(__xludf.DUMMYFUNCTION("""COMPUTED_VALUE"""),379.0)</f>
        <v>379</v>
      </c>
      <c r="U147" s="254">
        <f>IFERROR(__xludf.DUMMYFUNCTION("""COMPUTED_VALUE"""),130.0)</f>
        <v>130</v>
      </c>
      <c r="V147" s="254">
        <f>IFERROR(__xludf.DUMMYFUNCTION("""COMPUTED_VALUE"""),136.0)</f>
        <v>136</v>
      </c>
      <c r="W147" s="254">
        <f>IFERROR(__xludf.DUMMYFUNCTION("""COMPUTED_VALUE"""),13.0)</f>
        <v>13</v>
      </c>
      <c r="X147" s="254">
        <f>IFERROR(__xludf.DUMMYFUNCTION("""COMPUTED_VALUE"""),4.0)</f>
        <v>4</v>
      </c>
      <c r="Y147" s="254">
        <f>IFERROR(__xludf.DUMMYFUNCTION("""COMPUTED_VALUE"""),2.0)</f>
        <v>2</v>
      </c>
      <c r="Z147" s="254">
        <f>IFERROR(__xludf.DUMMYFUNCTION("""COMPUTED_VALUE"""),1169.0)</f>
        <v>1169</v>
      </c>
    </row>
    <row r="148">
      <c r="A148" s="253">
        <f>IFERROR(__xludf.DUMMYFUNCTION("""COMPUTED_VALUE"""),44121.0)</f>
        <v>44121</v>
      </c>
      <c r="B148" s="254">
        <f>IFERROR(__xludf.DUMMYFUNCTION("""COMPUTED_VALUE"""),354.0)</f>
        <v>354</v>
      </c>
      <c r="C148" s="254">
        <f>IFERROR(__xludf.DUMMYFUNCTION("""COMPUTED_VALUE"""),298.0)</f>
        <v>298</v>
      </c>
      <c r="D148" s="254">
        <f>IFERROR(__xludf.DUMMYFUNCTION("""COMPUTED_VALUE"""),38636.0)</f>
        <v>38636</v>
      </c>
      <c r="E148" s="254">
        <f>IFERROR(__xludf.DUMMYFUNCTION("""COMPUTED_VALUE"""),14069.0)</f>
        <v>14069</v>
      </c>
      <c r="F148" s="185">
        <f>IFERROR(__xludf.DUMMYFUNCTION("""COMPUTED_VALUE"""),939544.0)</f>
        <v>939544</v>
      </c>
      <c r="G148" s="185">
        <f>IFERROR(__xludf.DUMMYFUNCTION("""COMPUTED_VALUE"""),14423.0)</f>
        <v>14423</v>
      </c>
      <c r="H148" s="185">
        <f>IFERROR(__xludf.DUMMYFUNCTION("""COMPUTED_VALUE"""),978180.0)</f>
        <v>978180</v>
      </c>
      <c r="I148" s="254">
        <f>IFERROR(__xludf.DUMMYFUNCTION("""COMPUTED_VALUE"""),309.0)</f>
        <v>309</v>
      </c>
      <c r="J148" s="254">
        <f>IFERROR(__xludf.DUMMYFUNCTION("""COMPUTED_VALUE"""),279.0)</f>
        <v>279</v>
      </c>
      <c r="K148" s="254">
        <f>IFERROR(__xludf.DUMMYFUNCTION("""COMPUTED_VALUE"""),28405.0)</f>
        <v>28405</v>
      </c>
      <c r="L148" s="254">
        <f>IFERROR(__xludf.DUMMYFUNCTION("""COMPUTED_VALUE"""),3195.0)</f>
        <v>3195</v>
      </c>
      <c r="M148" s="254">
        <f>IFERROR(__xludf.DUMMYFUNCTION("""COMPUTED_VALUE"""),355886.0)</f>
        <v>355886</v>
      </c>
      <c r="N148" s="254">
        <f>IFERROR(__xludf.DUMMYFUNCTION("""COMPUTED_VALUE"""),384291.0)</f>
        <v>384291</v>
      </c>
      <c r="O148" s="254">
        <f>IFERROR(__xludf.DUMMYFUNCTION("""COMPUTED_VALUE"""),19.0)</f>
        <v>19</v>
      </c>
      <c r="P148" s="254">
        <f>IFERROR(__xludf.DUMMYFUNCTION("""COMPUTED_VALUE"""),3063.0)</f>
        <v>3063</v>
      </c>
      <c r="Q148" s="254">
        <f>IFERROR(__xludf.DUMMYFUNCTION("""COMPUTED_VALUE"""),11.0)</f>
        <v>11</v>
      </c>
      <c r="R148" s="254">
        <f>IFERROR(__xludf.DUMMYFUNCTION("""COMPUTED_VALUE"""),2546.0)</f>
        <v>2546</v>
      </c>
      <c r="S148" s="254">
        <f>IFERROR(__xludf.DUMMYFUNCTION("""COMPUTED_VALUE"""),1.0)</f>
        <v>1</v>
      </c>
      <c r="T148" s="254">
        <f>IFERROR(__xludf.DUMMYFUNCTION("""COMPUTED_VALUE"""),380.0)</f>
        <v>380</v>
      </c>
      <c r="U148" s="254">
        <f>IFERROR(__xludf.DUMMYFUNCTION("""COMPUTED_VALUE"""),137.0)</f>
        <v>137</v>
      </c>
      <c r="V148" s="254">
        <f>IFERROR(__xludf.DUMMYFUNCTION("""COMPUTED_VALUE"""),134.0)</f>
        <v>134</v>
      </c>
      <c r="W148" s="254">
        <f>IFERROR(__xludf.DUMMYFUNCTION("""COMPUTED_VALUE"""),17.0)</f>
        <v>17</v>
      </c>
      <c r="X148" s="254">
        <f>IFERROR(__xludf.DUMMYFUNCTION("""COMPUTED_VALUE"""),4.0)</f>
        <v>4</v>
      </c>
      <c r="Y148" s="254">
        <f>IFERROR(__xludf.DUMMYFUNCTION("""COMPUTED_VALUE"""),2.0)</f>
        <v>2</v>
      </c>
      <c r="Z148" s="254">
        <f>IFERROR(__xludf.DUMMYFUNCTION("""COMPUTED_VALUE"""),1171.0)</f>
        <v>1171</v>
      </c>
    </row>
    <row r="149">
      <c r="A149" s="253">
        <f>IFERROR(__xludf.DUMMYFUNCTION("""COMPUTED_VALUE"""),44122.0)</f>
        <v>44122</v>
      </c>
      <c r="B149" s="254">
        <f>IFERROR(__xludf.DUMMYFUNCTION("""COMPUTED_VALUE"""),155.0)</f>
        <v>155</v>
      </c>
      <c r="C149" s="254">
        <f>IFERROR(__xludf.DUMMYFUNCTION("""COMPUTED_VALUE"""),263.0)</f>
        <v>263</v>
      </c>
      <c r="D149" s="254">
        <f>IFERROR(__xludf.DUMMYFUNCTION("""COMPUTED_VALUE"""),38791.0)</f>
        <v>38791</v>
      </c>
      <c r="E149" s="254">
        <f>IFERROR(__xludf.DUMMYFUNCTION("""COMPUTED_VALUE"""),4039.0)</f>
        <v>4039</v>
      </c>
      <c r="F149" s="185">
        <f>IFERROR(__xludf.DUMMYFUNCTION("""COMPUTED_VALUE"""),943583.0)</f>
        <v>943583</v>
      </c>
      <c r="G149" s="185">
        <f>IFERROR(__xludf.DUMMYFUNCTION("""COMPUTED_VALUE"""),4194.0)</f>
        <v>4194</v>
      </c>
      <c r="H149" s="185">
        <f>IFERROR(__xludf.DUMMYFUNCTION("""COMPUTED_VALUE"""),982374.0)</f>
        <v>982374</v>
      </c>
      <c r="I149" s="254">
        <f>IFERROR(__xludf.DUMMYFUNCTION("""COMPUTED_VALUE"""),126.0)</f>
        <v>126</v>
      </c>
      <c r="J149" s="254">
        <f>IFERROR(__xludf.DUMMYFUNCTION("""COMPUTED_VALUE"""),237.0)</f>
        <v>237</v>
      </c>
      <c r="K149" s="254">
        <f>IFERROR(__xludf.DUMMYFUNCTION("""COMPUTED_VALUE"""),28531.0)</f>
        <v>28531</v>
      </c>
      <c r="L149" s="254">
        <f>IFERROR(__xludf.DUMMYFUNCTION("""COMPUTED_VALUE"""),1279.0)</f>
        <v>1279</v>
      </c>
      <c r="M149" s="254">
        <f>IFERROR(__xludf.DUMMYFUNCTION("""COMPUTED_VALUE"""),357165.0)</f>
        <v>357165</v>
      </c>
      <c r="N149" s="254">
        <f>IFERROR(__xludf.DUMMYFUNCTION("""COMPUTED_VALUE"""),385696.0)</f>
        <v>385696</v>
      </c>
      <c r="O149" s="254">
        <f>IFERROR(__xludf.DUMMYFUNCTION("""COMPUTED_VALUE"""),18.0)</f>
        <v>18</v>
      </c>
      <c r="P149" s="254">
        <f>IFERROR(__xludf.DUMMYFUNCTION("""COMPUTED_VALUE"""),3081.0)</f>
        <v>3081</v>
      </c>
      <c r="Q149" s="254">
        <f>IFERROR(__xludf.DUMMYFUNCTION("""COMPUTED_VALUE"""),11.0)</f>
        <v>11</v>
      </c>
      <c r="R149" s="254">
        <f>IFERROR(__xludf.DUMMYFUNCTION("""COMPUTED_VALUE"""),2557.0)</f>
        <v>2557</v>
      </c>
      <c r="S149" s="254">
        <f>IFERROR(__xludf.DUMMYFUNCTION("""COMPUTED_VALUE"""),0.0)</f>
        <v>0</v>
      </c>
      <c r="T149" s="254">
        <f>IFERROR(__xludf.DUMMYFUNCTION("""COMPUTED_VALUE"""),380.0)</f>
        <v>380</v>
      </c>
      <c r="U149" s="254">
        <f>IFERROR(__xludf.DUMMYFUNCTION("""COMPUTED_VALUE"""),144.0)</f>
        <v>144</v>
      </c>
      <c r="V149" s="254">
        <f>IFERROR(__xludf.DUMMYFUNCTION("""COMPUTED_VALUE"""),137.0)</f>
        <v>137</v>
      </c>
      <c r="W149" s="254">
        <f>IFERROR(__xludf.DUMMYFUNCTION("""COMPUTED_VALUE"""),17.0)</f>
        <v>17</v>
      </c>
      <c r="X149" s="254">
        <f>IFERROR(__xludf.DUMMYFUNCTION("""COMPUTED_VALUE"""),6.0)</f>
        <v>6</v>
      </c>
      <c r="Y149" s="254">
        <f>IFERROR(__xludf.DUMMYFUNCTION("""COMPUTED_VALUE"""),2.0)</f>
        <v>2</v>
      </c>
      <c r="Z149" s="254">
        <f>IFERROR(__xludf.DUMMYFUNCTION("""COMPUTED_VALUE"""),1173.0)</f>
        <v>1173</v>
      </c>
    </row>
    <row r="150">
      <c r="A150" s="253">
        <f>IFERROR(__xludf.DUMMYFUNCTION("""COMPUTED_VALUE"""),44123.0)</f>
        <v>44123</v>
      </c>
      <c r="B150" s="254">
        <f>IFERROR(__xludf.DUMMYFUNCTION("""COMPUTED_VALUE"""),388.0)</f>
        <v>388</v>
      </c>
      <c r="C150" s="254">
        <f>IFERROR(__xludf.DUMMYFUNCTION("""COMPUTED_VALUE"""),299.0)</f>
        <v>299</v>
      </c>
      <c r="D150" s="254">
        <f>IFERROR(__xludf.DUMMYFUNCTION("""COMPUTED_VALUE"""),39179.0)</f>
        <v>39179</v>
      </c>
      <c r="E150" s="254">
        <f>IFERROR(__xludf.DUMMYFUNCTION("""COMPUTED_VALUE"""),8491.0)</f>
        <v>8491</v>
      </c>
      <c r="F150" s="185">
        <f>IFERROR(__xludf.DUMMYFUNCTION("""COMPUTED_VALUE"""),952074.0)</f>
        <v>952074</v>
      </c>
      <c r="G150" s="185">
        <f>IFERROR(__xludf.DUMMYFUNCTION("""COMPUTED_VALUE"""),8879.0)</f>
        <v>8879</v>
      </c>
      <c r="H150" s="185">
        <f>IFERROR(__xludf.DUMMYFUNCTION("""COMPUTED_VALUE"""),991253.0)</f>
        <v>991253</v>
      </c>
      <c r="I150" s="254">
        <f>IFERROR(__xludf.DUMMYFUNCTION("""COMPUTED_VALUE"""),323.0)</f>
        <v>323</v>
      </c>
      <c r="J150" s="254">
        <f>IFERROR(__xludf.DUMMYFUNCTION("""COMPUTED_VALUE"""),253.0)</f>
        <v>253</v>
      </c>
      <c r="K150" s="254">
        <f>IFERROR(__xludf.DUMMYFUNCTION("""COMPUTED_VALUE"""),28854.0)</f>
        <v>28854</v>
      </c>
      <c r="L150" s="254">
        <f>IFERROR(__xludf.DUMMYFUNCTION("""COMPUTED_VALUE"""),2506.0)</f>
        <v>2506</v>
      </c>
      <c r="M150" s="254">
        <f>IFERROR(__xludf.DUMMYFUNCTION("""COMPUTED_VALUE"""),359671.0)</f>
        <v>359671</v>
      </c>
      <c r="N150" s="254">
        <f>IFERROR(__xludf.DUMMYFUNCTION("""COMPUTED_VALUE"""),388525.0)</f>
        <v>388525</v>
      </c>
      <c r="O150" s="254">
        <f>IFERROR(__xludf.DUMMYFUNCTION("""COMPUTED_VALUE"""),21.0)</f>
        <v>21</v>
      </c>
      <c r="P150" s="254">
        <f>IFERROR(__xludf.DUMMYFUNCTION("""COMPUTED_VALUE"""),3102.0)</f>
        <v>3102</v>
      </c>
      <c r="Q150" s="254">
        <f>IFERROR(__xludf.DUMMYFUNCTION("""COMPUTED_VALUE"""),22.0)</f>
        <v>22</v>
      </c>
      <c r="R150" s="254">
        <f>IFERROR(__xludf.DUMMYFUNCTION("""COMPUTED_VALUE"""),2579.0)</f>
        <v>2579</v>
      </c>
      <c r="S150" s="254">
        <f>IFERROR(__xludf.DUMMYFUNCTION("""COMPUTED_VALUE"""),2.0)</f>
        <v>2</v>
      </c>
      <c r="T150" s="254">
        <f>IFERROR(__xludf.DUMMYFUNCTION("""COMPUTED_VALUE"""),382.0)</f>
        <v>382</v>
      </c>
      <c r="U150" s="254">
        <f>IFERROR(__xludf.DUMMYFUNCTION("""COMPUTED_VALUE"""),141.0)</f>
        <v>141</v>
      </c>
      <c r="V150" s="254">
        <f>IFERROR(__xludf.DUMMYFUNCTION("""COMPUTED_VALUE"""),141.0)</f>
        <v>141</v>
      </c>
      <c r="W150" s="254">
        <f>IFERROR(__xludf.DUMMYFUNCTION("""COMPUTED_VALUE"""),15.0)</f>
        <v>15</v>
      </c>
      <c r="X150" s="254">
        <f>IFERROR(__xludf.DUMMYFUNCTION("""COMPUTED_VALUE"""),6.0)</f>
        <v>6</v>
      </c>
      <c r="Y150" s="254">
        <f>IFERROR(__xludf.DUMMYFUNCTION("""COMPUTED_VALUE"""),1.0)</f>
        <v>1</v>
      </c>
      <c r="Z150" s="254">
        <f>IFERROR(__xludf.DUMMYFUNCTION("""COMPUTED_VALUE"""),1174.0)</f>
        <v>1174</v>
      </c>
    </row>
    <row r="151">
      <c r="A151" s="253">
        <f>IFERROR(__xludf.DUMMYFUNCTION("""COMPUTED_VALUE"""),44124.0)</f>
        <v>44124</v>
      </c>
      <c r="B151" s="254">
        <f>IFERROR(__xludf.DUMMYFUNCTION("""COMPUTED_VALUE"""),439.0)</f>
        <v>439</v>
      </c>
      <c r="C151" s="254">
        <f>IFERROR(__xludf.DUMMYFUNCTION("""COMPUTED_VALUE"""),327.0)</f>
        <v>327</v>
      </c>
      <c r="D151" s="254">
        <f>IFERROR(__xludf.DUMMYFUNCTION("""COMPUTED_VALUE"""),39618.0)</f>
        <v>39618</v>
      </c>
      <c r="E151" s="254">
        <f>IFERROR(__xludf.DUMMYFUNCTION("""COMPUTED_VALUE"""),13242.0)</f>
        <v>13242</v>
      </c>
      <c r="F151" s="185">
        <f>IFERROR(__xludf.DUMMYFUNCTION("""COMPUTED_VALUE"""),965316.0)</f>
        <v>965316</v>
      </c>
      <c r="G151" s="185">
        <f>IFERROR(__xludf.DUMMYFUNCTION("""COMPUTED_VALUE"""),13681.0)</f>
        <v>13681</v>
      </c>
      <c r="H151" s="185">
        <f>IFERROR(__xludf.DUMMYFUNCTION("""COMPUTED_VALUE"""),1004934.0)</f>
        <v>1004934</v>
      </c>
      <c r="I151" s="254">
        <f>IFERROR(__xludf.DUMMYFUNCTION("""COMPUTED_VALUE"""),387.0)</f>
        <v>387</v>
      </c>
      <c r="J151" s="254">
        <f>IFERROR(__xludf.DUMMYFUNCTION("""COMPUTED_VALUE"""),279.0)</f>
        <v>279</v>
      </c>
      <c r="K151" s="254">
        <f>IFERROR(__xludf.DUMMYFUNCTION("""COMPUTED_VALUE"""),29241.0)</f>
        <v>29241</v>
      </c>
      <c r="L151" s="254">
        <f>IFERROR(__xludf.DUMMYFUNCTION("""COMPUTED_VALUE"""),2943.0)</f>
        <v>2943</v>
      </c>
      <c r="M151" s="254">
        <f>IFERROR(__xludf.DUMMYFUNCTION("""COMPUTED_VALUE"""),362614.0)</f>
        <v>362614</v>
      </c>
      <c r="N151" s="254">
        <f>IFERROR(__xludf.DUMMYFUNCTION("""COMPUTED_VALUE"""),391855.0)</f>
        <v>391855</v>
      </c>
      <c r="O151" s="254">
        <f>IFERROR(__xludf.DUMMYFUNCTION("""COMPUTED_VALUE"""),23.0)</f>
        <v>23</v>
      </c>
      <c r="P151" s="254">
        <f>IFERROR(__xludf.DUMMYFUNCTION("""COMPUTED_VALUE"""),3125.0)</f>
        <v>3125</v>
      </c>
      <c r="Q151" s="254">
        <f>IFERROR(__xludf.DUMMYFUNCTION("""COMPUTED_VALUE"""),17.0)</f>
        <v>17</v>
      </c>
      <c r="R151" s="254">
        <f>IFERROR(__xludf.DUMMYFUNCTION("""COMPUTED_VALUE"""),2596.0)</f>
        <v>2596</v>
      </c>
      <c r="S151" s="254">
        <f>IFERROR(__xludf.DUMMYFUNCTION("""COMPUTED_VALUE"""),0.0)</f>
        <v>0</v>
      </c>
      <c r="T151" s="254">
        <f>IFERROR(__xludf.DUMMYFUNCTION("""COMPUTED_VALUE"""),382.0)</f>
        <v>382</v>
      </c>
      <c r="U151" s="254">
        <f>IFERROR(__xludf.DUMMYFUNCTION("""COMPUTED_VALUE"""),147.0)</f>
        <v>147</v>
      </c>
      <c r="V151" s="254">
        <f>IFERROR(__xludf.DUMMYFUNCTION("""COMPUTED_VALUE"""),144.0)</f>
        <v>144</v>
      </c>
      <c r="W151" s="254">
        <f>IFERROR(__xludf.DUMMYFUNCTION("""COMPUTED_VALUE"""),14.0)</f>
        <v>14</v>
      </c>
      <c r="X151" s="254">
        <f>IFERROR(__xludf.DUMMYFUNCTION("""COMPUTED_VALUE"""),8.0)</f>
        <v>8</v>
      </c>
      <c r="Y151" s="254">
        <f>IFERROR(__xludf.DUMMYFUNCTION("""COMPUTED_VALUE"""),3.0)</f>
        <v>3</v>
      </c>
      <c r="Z151" s="254">
        <f>IFERROR(__xludf.DUMMYFUNCTION("""COMPUTED_VALUE"""),1177.0)</f>
        <v>1177</v>
      </c>
    </row>
    <row r="152">
      <c r="A152" s="253">
        <f>IFERROR(__xludf.DUMMYFUNCTION("""COMPUTED_VALUE"""),44125.0)</f>
        <v>44125</v>
      </c>
      <c r="B152" s="254">
        <f>IFERROR(__xludf.DUMMYFUNCTION("""COMPUTED_VALUE"""),544.0)</f>
        <v>544</v>
      </c>
      <c r="C152" s="254">
        <f>IFERROR(__xludf.DUMMYFUNCTION("""COMPUTED_VALUE"""),457.0)</f>
        <v>457</v>
      </c>
      <c r="D152" s="254">
        <f>IFERROR(__xludf.DUMMYFUNCTION("""COMPUTED_VALUE"""),40162.0)</f>
        <v>40162</v>
      </c>
      <c r="E152" s="254">
        <f>IFERROR(__xludf.DUMMYFUNCTION("""COMPUTED_VALUE"""),17463.0)</f>
        <v>17463</v>
      </c>
      <c r="F152" s="185">
        <f>IFERROR(__xludf.DUMMYFUNCTION("""COMPUTED_VALUE"""),982779.0)</f>
        <v>982779</v>
      </c>
      <c r="G152" s="185">
        <f>IFERROR(__xludf.DUMMYFUNCTION("""COMPUTED_VALUE"""),18007.0)</f>
        <v>18007</v>
      </c>
      <c r="H152" s="185">
        <f>IFERROR(__xludf.DUMMYFUNCTION("""COMPUTED_VALUE"""),1022941.0)</f>
        <v>1022941</v>
      </c>
      <c r="I152" s="254">
        <f>IFERROR(__xludf.DUMMYFUNCTION("""COMPUTED_VALUE"""),472.0)</f>
        <v>472</v>
      </c>
      <c r="J152" s="254">
        <f>IFERROR(__xludf.DUMMYFUNCTION("""COMPUTED_VALUE"""),394.0)</f>
        <v>394</v>
      </c>
      <c r="K152" s="254">
        <f>IFERROR(__xludf.DUMMYFUNCTION("""COMPUTED_VALUE"""),29713.0)</f>
        <v>29713</v>
      </c>
      <c r="L152" s="254">
        <f>IFERROR(__xludf.DUMMYFUNCTION("""COMPUTED_VALUE"""),3423.0)</f>
        <v>3423</v>
      </c>
      <c r="M152" s="254">
        <f>IFERROR(__xludf.DUMMYFUNCTION("""COMPUTED_VALUE"""),366037.0)</f>
        <v>366037</v>
      </c>
      <c r="N152" s="254">
        <f>IFERROR(__xludf.DUMMYFUNCTION("""COMPUTED_VALUE"""),395750.0)</f>
        <v>395750</v>
      </c>
      <c r="O152" s="254">
        <f>IFERROR(__xludf.DUMMYFUNCTION("""COMPUTED_VALUE"""),23.0)</f>
        <v>23</v>
      </c>
      <c r="P152" s="254">
        <f>IFERROR(__xludf.DUMMYFUNCTION("""COMPUTED_VALUE"""),3148.0)</f>
        <v>3148</v>
      </c>
      <c r="Q152" s="254">
        <f>IFERROR(__xludf.DUMMYFUNCTION("""COMPUTED_VALUE"""),8.0)</f>
        <v>8</v>
      </c>
      <c r="R152" s="254">
        <f>IFERROR(__xludf.DUMMYFUNCTION("""COMPUTED_VALUE"""),2604.0)</f>
        <v>2604</v>
      </c>
      <c r="S152" s="254">
        <f>IFERROR(__xludf.DUMMYFUNCTION("""COMPUTED_VALUE"""),2.0)</f>
        <v>2</v>
      </c>
      <c r="T152" s="254">
        <f>IFERROR(__xludf.DUMMYFUNCTION("""COMPUTED_VALUE"""),384.0)</f>
        <v>384</v>
      </c>
      <c r="U152" s="254">
        <f>IFERROR(__xludf.DUMMYFUNCTION("""COMPUTED_VALUE"""),160.0)</f>
        <v>160</v>
      </c>
      <c r="V152" s="254">
        <f>IFERROR(__xludf.DUMMYFUNCTION("""COMPUTED_VALUE"""),149.0)</f>
        <v>149</v>
      </c>
      <c r="W152" s="254">
        <f>IFERROR(__xludf.DUMMYFUNCTION("""COMPUTED_VALUE"""),15.0)</f>
        <v>15</v>
      </c>
      <c r="X152" s="254">
        <f>IFERROR(__xludf.DUMMYFUNCTION("""COMPUTED_VALUE"""),9.0)</f>
        <v>9</v>
      </c>
      <c r="Y152" s="254">
        <f>IFERROR(__xludf.DUMMYFUNCTION("""COMPUTED_VALUE"""),3.0)</f>
        <v>3</v>
      </c>
      <c r="Z152" s="254">
        <f>IFERROR(__xludf.DUMMYFUNCTION("""COMPUTED_VALUE"""),1180.0)</f>
        <v>1180</v>
      </c>
    </row>
    <row r="153">
      <c r="A153" s="253">
        <f>IFERROR(__xludf.DUMMYFUNCTION("""COMPUTED_VALUE"""),44126.0)</f>
        <v>44126</v>
      </c>
      <c r="B153" s="254">
        <f>IFERROR(__xludf.DUMMYFUNCTION("""COMPUTED_VALUE"""),538.0)</f>
        <v>538</v>
      </c>
      <c r="C153" s="254">
        <f>IFERROR(__xludf.DUMMYFUNCTION("""COMPUTED_VALUE"""),507.0)</f>
        <v>507</v>
      </c>
      <c r="D153" s="254">
        <f>IFERROR(__xludf.DUMMYFUNCTION("""COMPUTED_VALUE"""),40700.0)</f>
        <v>40700</v>
      </c>
      <c r="E153" s="254">
        <f>IFERROR(__xludf.DUMMYFUNCTION("""COMPUTED_VALUE"""),15863.0)</f>
        <v>15863</v>
      </c>
      <c r="F153" s="185">
        <f>IFERROR(__xludf.DUMMYFUNCTION("""COMPUTED_VALUE"""),998642.0)</f>
        <v>998642</v>
      </c>
      <c r="G153" s="185">
        <f>IFERROR(__xludf.DUMMYFUNCTION("""COMPUTED_VALUE"""),16401.0)</f>
        <v>16401</v>
      </c>
      <c r="H153" s="185">
        <f>IFERROR(__xludf.DUMMYFUNCTION("""COMPUTED_VALUE"""),1039342.0)</f>
        <v>1039342</v>
      </c>
      <c r="I153" s="254">
        <f>IFERROR(__xludf.DUMMYFUNCTION("""COMPUTED_VALUE"""),489.0)</f>
        <v>489</v>
      </c>
      <c r="J153" s="254">
        <f>IFERROR(__xludf.DUMMYFUNCTION("""COMPUTED_VALUE"""),449.0)</f>
        <v>449</v>
      </c>
      <c r="K153" s="254">
        <f>IFERROR(__xludf.DUMMYFUNCTION("""COMPUTED_VALUE"""),30202.0)</f>
        <v>30202</v>
      </c>
      <c r="L153" s="254">
        <f>IFERROR(__xludf.DUMMYFUNCTION("""COMPUTED_VALUE"""),3112.0)</f>
        <v>3112</v>
      </c>
      <c r="M153" s="254">
        <f>IFERROR(__xludf.DUMMYFUNCTION("""COMPUTED_VALUE"""),369149.0)</f>
        <v>369149</v>
      </c>
      <c r="N153" s="254">
        <f>IFERROR(__xludf.DUMMYFUNCTION("""COMPUTED_VALUE"""),399351.0)</f>
        <v>399351</v>
      </c>
      <c r="O153" s="254">
        <f>IFERROR(__xludf.DUMMYFUNCTION("""COMPUTED_VALUE"""),24.0)</f>
        <v>24</v>
      </c>
      <c r="P153" s="254">
        <f>IFERROR(__xludf.DUMMYFUNCTION("""COMPUTED_VALUE"""),3172.0)</f>
        <v>3172</v>
      </c>
      <c r="Q153" s="254">
        <f>IFERROR(__xludf.DUMMYFUNCTION("""COMPUTED_VALUE"""),20.0)</f>
        <v>20</v>
      </c>
      <c r="R153" s="254">
        <f>IFERROR(__xludf.DUMMYFUNCTION("""COMPUTED_VALUE"""),2624.0)</f>
        <v>2624</v>
      </c>
      <c r="S153" s="254">
        <f>IFERROR(__xludf.DUMMYFUNCTION("""COMPUTED_VALUE"""),3.0)</f>
        <v>3</v>
      </c>
      <c r="T153" s="254">
        <f>IFERROR(__xludf.DUMMYFUNCTION("""COMPUTED_VALUE"""),387.0)</f>
        <v>387</v>
      </c>
      <c r="U153" s="254">
        <f>IFERROR(__xludf.DUMMYFUNCTION("""COMPUTED_VALUE"""),161.0)</f>
        <v>161</v>
      </c>
      <c r="V153" s="254">
        <f>IFERROR(__xludf.DUMMYFUNCTION("""COMPUTED_VALUE"""),156.0)</f>
        <v>156</v>
      </c>
      <c r="W153" s="254">
        <f>IFERROR(__xludf.DUMMYFUNCTION("""COMPUTED_VALUE"""),14.0)</f>
        <v>14</v>
      </c>
      <c r="X153" s="254">
        <f>IFERROR(__xludf.DUMMYFUNCTION("""COMPUTED_VALUE"""),9.0)</f>
        <v>9</v>
      </c>
      <c r="Y153" s="254">
        <f>IFERROR(__xludf.DUMMYFUNCTION("""COMPUTED_VALUE"""),3.0)</f>
        <v>3</v>
      </c>
      <c r="Z153" s="254">
        <f>IFERROR(__xludf.DUMMYFUNCTION("""COMPUTED_VALUE"""),1183.0)</f>
        <v>1183</v>
      </c>
    </row>
    <row r="154">
      <c r="A154" s="253">
        <f>IFERROR(__xludf.DUMMYFUNCTION("""COMPUTED_VALUE"""),44127.0)</f>
        <v>44127</v>
      </c>
      <c r="B154" s="254">
        <f>IFERROR(__xludf.DUMMYFUNCTION("""COMPUTED_VALUE"""),514.0)</f>
        <v>514</v>
      </c>
      <c r="C154" s="254">
        <f>IFERROR(__xludf.DUMMYFUNCTION("""COMPUTED_VALUE"""),532.0)</f>
        <v>532</v>
      </c>
      <c r="D154" s="254">
        <f>IFERROR(__xludf.DUMMYFUNCTION("""COMPUTED_VALUE"""),41214.0)</f>
        <v>41214</v>
      </c>
      <c r="E154" s="254">
        <f>IFERROR(__xludf.DUMMYFUNCTION("""COMPUTED_VALUE"""),16634.0)</f>
        <v>16634</v>
      </c>
      <c r="F154" s="185">
        <f>IFERROR(__xludf.DUMMYFUNCTION("""COMPUTED_VALUE"""),1015276.0)</f>
        <v>1015276</v>
      </c>
      <c r="G154" s="185">
        <f>IFERROR(__xludf.DUMMYFUNCTION("""COMPUTED_VALUE"""),17148.0)</f>
        <v>17148</v>
      </c>
      <c r="H154" s="185">
        <f>IFERROR(__xludf.DUMMYFUNCTION("""COMPUTED_VALUE"""),1056490.0)</f>
        <v>1056490</v>
      </c>
      <c r="I154" s="254">
        <f>IFERROR(__xludf.DUMMYFUNCTION("""COMPUTED_VALUE"""),458.0)</f>
        <v>458</v>
      </c>
      <c r="J154" s="254">
        <f>IFERROR(__xludf.DUMMYFUNCTION("""COMPUTED_VALUE"""),473.0)</f>
        <v>473</v>
      </c>
      <c r="K154" s="254">
        <f>IFERROR(__xludf.DUMMYFUNCTION("""COMPUTED_VALUE"""),30660.0)</f>
        <v>30660</v>
      </c>
      <c r="L154" s="254">
        <f>IFERROR(__xludf.DUMMYFUNCTION("""COMPUTED_VALUE"""),2825.0)</f>
        <v>2825</v>
      </c>
      <c r="M154" s="254">
        <f>IFERROR(__xludf.DUMMYFUNCTION("""COMPUTED_VALUE"""),371974.0)</f>
        <v>371974</v>
      </c>
      <c r="N154" s="254">
        <f>IFERROR(__xludf.DUMMYFUNCTION("""COMPUTED_VALUE"""),402634.0)</f>
        <v>402634</v>
      </c>
      <c r="O154" s="254">
        <f>IFERROR(__xludf.DUMMYFUNCTION("""COMPUTED_VALUE"""),22.0)</f>
        <v>22</v>
      </c>
      <c r="P154" s="254">
        <f>IFERROR(__xludf.DUMMYFUNCTION("""COMPUTED_VALUE"""),3194.0)</f>
        <v>3194</v>
      </c>
      <c r="Q154" s="254">
        <f>IFERROR(__xludf.DUMMYFUNCTION("""COMPUTED_VALUE"""),22.0)</f>
        <v>22</v>
      </c>
      <c r="R154" s="254">
        <f>IFERROR(__xludf.DUMMYFUNCTION("""COMPUTED_VALUE"""),2646.0)</f>
        <v>2646</v>
      </c>
      <c r="S154" s="254">
        <f>IFERROR(__xludf.DUMMYFUNCTION("""COMPUTED_VALUE"""),1.0)</f>
        <v>1</v>
      </c>
      <c r="T154" s="254">
        <f>IFERROR(__xludf.DUMMYFUNCTION("""COMPUTED_VALUE"""),388.0)</f>
        <v>388</v>
      </c>
      <c r="U154" s="254">
        <f>IFERROR(__xludf.DUMMYFUNCTION("""COMPUTED_VALUE"""),160.0)</f>
        <v>160</v>
      </c>
      <c r="V154" s="254">
        <f>IFERROR(__xludf.DUMMYFUNCTION("""COMPUTED_VALUE"""),160.0)</f>
        <v>160</v>
      </c>
      <c r="W154" s="254">
        <f>IFERROR(__xludf.DUMMYFUNCTION("""COMPUTED_VALUE"""),15.0)</f>
        <v>15</v>
      </c>
      <c r="X154" s="254">
        <f>IFERROR(__xludf.DUMMYFUNCTION("""COMPUTED_VALUE"""),9.0)</f>
        <v>9</v>
      </c>
      <c r="Y154" s="254">
        <f>IFERROR(__xludf.DUMMYFUNCTION("""COMPUTED_VALUE"""),3.0)</f>
        <v>3</v>
      </c>
      <c r="Z154" s="254">
        <f>IFERROR(__xludf.DUMMYFUNCTION("""COMPUTED_VALUE"""),1186.0)</f>
        <v>1186</v>
      </c>
    </row>
    <row r="155">
      <c r="A155" s="253">
        <f>IFERROR(__xludf.DUMMYFUNCTION("""COMPUTED_VALUE"""),44128.0)</f>
        <v>44128</v>
      </c>
      <c r="B155" s="254">
        <f>IFERROR(__xludf.DUMMYFUNCTION("""COMPUTED_VALUE"""),359.0)</f>
        <v>359</v>
      </c>
      <c r="C155" s="254">
        <f>IFERROR(__xludf.DUMMYFUNCTION("""COMPUTED_VALUE"""),470.0)</f>
        <v>470</v>
      </c>
      <c r="D155" s="254">
        <f>IFERROR(__xludf.DUMMYFUNCTION("""COMPUTED_VALUE"""),41573.0)</f>
        <v>41573</v>
      </c>
      <c r="E155" s="254">
        <f>IFERROR(__xludf.DUMMYFUNCTION("""COMPUTED_VALUE"""),10249.0)</f>
        <v>10249</v>
      </c>
      <c r="F155" s="185">
        <f>IFERROR(__xludf.DUMMYFUNCTION("""COMPUTED_VALUE"""),1025525.0)</f>
        <v>1025525</v>
      </c>
      <c r="G155" s="185">
        <f>IFERROR(__xludf.DUMMYFUNCTION("""COMPUTED_VALUE"""),10608.0)</f>
        <v>10608</v>
      </c>
      <c r="H155" s="185">
        <f>IFERROR(__xludf.DUMMYFUNCTION("""COMPUTED_VALUE"""),1067098.0)</f>
        <v>1067098</v>
      </c>
      <c r="I155" s="254">
        <f>IFERROR(__xludf.DUMMYFUNCTION("""COMPUTED_VALUE"""),338.0)</f>
        <v>338</v>
      </c>
      <c r="J155" s="254">
        <f>IFERROR(__xludf.DUMMYFUNCTION("""COMPUTED_VALUE"""),428.0)</f>
        <v>428</v>
      </c>
      <c r="K155" s="254">
        <f>IFERROR(__xludf.DUMMYFUNCTION("""COMPUTED_VALUE"""),30998.0)</f>
        <v>30998</v>
      </c>
      <c r="L155" s="254">
        <f>IFERROR(__xludf.DUMMYFUNCTION("""COMPUTED_VALUE"""),2214.0)</f>
        <v>2214</v>
      </c>
      <c r="M155" s="254">
        <f>IFERROR(__xludf.DUMMYFUNCTION("""COMPUTED_VALUE"""),374188.0)</f>
        <v>374188</v>
      </c>
      <c r="N155" s="254">
        <f>IFERROR(__xludf.DUMMYFUNCTION("""COMPUTED_VALUE"""),405186.0)</f>
        <v>405186</v>
      </c>
      <c r="O155" s="254">
        <f>IFERROR(__xludf.DUMMYFUNCTION("""COMPUTED_VALUE"""),17.0)</f>
        <v>17</v>
      </c>
      <c r="P155" s="254">
        <f>IFERROR(__xludf.DUMMYFUNCTION("""COMPUTED_VALUE"""),3211.0)</f>
        <v>3211</v>
      </c>
      <c r="Q155" s="254">
        <f>IFERROR(__xludf.DUMMYFUNCTION("""COMPUTED_VALUE"""),11.0)</f>
        <v>11</v>
      </c>
      <c r="R155" s="254">
        <f>IFERROR(__xludf.DUMMYFUNCTION("""COMPUTED_VALUE"""),2657.0)</f>
        <v>2657</v>
      </c>
      <c r="S155" s="254">
        <f>IFERROR(__xludf.DUMMYFUNCTION("""COMPUTED_VALUE"""),0.0)</f>
        <v>0</v>
      </c>
      <c r="T155" s="254">
        <f>IFERROR(__xludf.DUMMYFUNCTION("""COMPUTED_VALUE"""),388.0)</f>
        <v>388</v>
      </c>
      <c r="U155" s="254">
        <f>IFERROR(__xludf.DUMMYFUNCTION("""COMPUTED_VALUE"""),166.0)</f>
        <v>166</v>
      </c>
      <c r="V155" s="254">
        <f>IFERROR(__xludf.DUMMYFUNCTION("""COMPUTED_VALUE"""),162.0)</f>
        <v>162</v>
      </c>
      <c r="W155" s="254">
        <f>IFERROR(__xludf.DUMMYFUNCTION("""COMPUTED_VALUE"""),14.0)</f>
        <v>14</v>
      </c>
      <c r="X155" s="254">
        <f>IFERROR(__xludf.DUMMYFUNCTION("""COMPUTED_VALUE"""),8.0)</f>
        <v>8</v>
      </c>
      <c r="Y155" s="254">
        <f>IFERROR(__xludf.DUMMYFUNCTION("""COMPUTED_VALUE"""),1.0)</f>
        <v>1</v>
      </c>
      <c r="Z155" s="254">
        <f>IFERROR(__xludf.DUMMYFUNCTION("""COMPUTED_VALUE"""),1187.0)</f>
        <v>1187</v>
      </c>
    </row>
    <row r="156">
      <c r="A156" s="253">
        <f>IFERROR(__xludf.DUMMYFUNCTION("""COMPUTED_VALUE"""),44129.0)</f>
        <v>44129</v>
      </c>
      <c r="B156" s="254">
        <f>IFERROR(__xludf.DUMMYFUNCTION("""COMPUTED_VALUE"""),233.0)</f>
        <v>233</v>
      </c>
      <c r="C156" s="254">
        <f>IFERROR(__xludf.DUMMYFUNCTION("""COMPUTED_VALUE"""),369.0)</f>
        <v>369</v>
      </c>
      <c r="D156" s="254">
        <f>IFERROR(__xludf.DUMMYFUNCTION("""COMPUTED_VALUE"""),41806.0)</f>
        <v>41806</v>
      </c>
      <c r="E156" s="254">
        <f>IFERROR(__xludf.DUMMYFUNCTION("""COMPUTED_VALUE"""),4760.0)</f>
        <v>4760</v>
      </c>
      <c r="F156" s="185">
        <f>IFERROR(__xludf.DUMMYFUNCTION("""COMPUTED_VALUE"""),1030285.0)</f>
        <v>1030285</v>
      </c>
      <c r="G156" s="185">
        <f>IFERROR(__xludf.DUMMYFUNCTION("""COMPUTED_VALUE"""),4993.0)</f>
        <v>4993</v>
      </c>
      <c r="H156" s="185">
        <f>IFERROR(__xludf.DUMMYFUNCTION("""COMPUTED_VALUE"""),1072091.0)</f>
        <v>1072091</v>
      </c>
      <c r="I156" s="254">
        <f>IFERROR(__xludf.DUMMYFUNCTION("""COMPUTED_VALUE"""),209.0)</f>
        <v>209</v>
      </c>
      <c r="J156" s="254">
        <f>IFERROR(__xludf.DUMMYFUNCTION("""COMPUTED_VALUE"""),335.0)</f>
        <v>335</v>
      </c>
      <c r="K156" s="254">
        <f>IFERROR(__xludf.DUMMYFUNCTION("""COMPUTED_VALUE"""),31207.0)</f>
        <v>31207</v>
      </c>
      <c r="L156" s="254">
        <f>IFERROR(__xludf.DUMMYFUNCTION("""COMPUTED_VALUE"""),1415.0)</f>
        <v>1415</v>
      </c>
      <c r="M156" s="254">
        <f>IFERROR(__xludf.DUMMYFUNCTION("""COMPUTED_VALUE"""),375603.0)</f>
        <v>375603</v>
      </c>
      <c r="N156" s="254">
        <f>IFERROR(__xludf.DUMMYFUNCTION("""COMPUTED_VALUE"""),406810.0)</f>
        <v>406810</v>
      </c>
      <c r="O156" s="254">
        <f>IFERROR(__xludf.DUMMYFUNCTION("""COMPUTED_VALUE"""),16.0)</f>
        <v>16</v>
      </c>
      <c r="P156" s="254">
        <f>IFERROR(__xludf.DUMMYFUNCTION("""COMPUTED_VALUE"""),3227.0)</f>
        <v>3227</v>
      </c>
      <c r="Q156" s="254">
        <f>IFERROR(__xludf.DUMMYFUNCTION("""COMPUTED_VALUE"""),15.0)</f>
        <v>15</v>
      </c>
      <c r="R156" s="254">
        <f>IFERROR(__xludf.DUMMYFUNCTION("""COMPUTED_VALUE"""),2672.0)</f>
        <v>2672</v>
      </c>
      <c r="S156" s="254">
        <f>IFERROR(__xludf.DUMMYFUNCTION("""COMPUTED_VALUE"""),1.0)</f>
        <v>1</v>
      </c>
      <c r="T156" s="254">
        <f>IFERROR(__xludf.DUMMYFUNCTION("""COMPUTED_VALUE"""),389.0)</f>
        <v>389</v>
      </c>
      <c r="U156" s="254">
        <f>IFERROR(__xludf.DUMMYFUNCTION("""COMPUTED_VALUE"""),166.0)</f>
        <v>166</v>
      </c>
      <c r="V156" s="254">
        <f>IFERROR(__xludf.DUMMYFUNCTION("""COMPUTED_VALUE"""),164.0)</f>
        <v>164</v>
      </c>
      <c r="W156" s="254">
        <f>IFERROR(__xludf.DUMMYFUNCTION("""COMPUTED_VALUE"""),15.0)</f>
        <v>15</v>
      </c>
      <c r="X156" s="254">
        <f>IFERROR(__xludf.DUMMYFUNCTION("""COMPUTED_VALUE"""),8.0)</f>
        <v>8</v>
      </c>
      <c r="Y156" s="254">
        <f>IFERROR(__xludf.DUMMYFUNCTION("""COMPUTED_VALUE"""),2.0)</f>
        <v>2</v>
      </c>
      <c r="Z156" s="254">
        <f>IFERROR(__xludf.DUMMYFUNCTION("""COMPUTED_VALUE"""),1189.0)</f>
        <v>1189</v>
      </c>
    </row>
    <row r="157">
      <c r="A157" s="253">
        <f>IFERROR(__xludf.DUMMYFUNCTION("""COMPUTED_VALUE"""),44130.0)</f>
        <v>44130</v>
      </c>
      <c r="B157" s="254">
        <f>IFERROR(__xludf.DUMMYFUNCTION("""COMPUTED_VALUE"""),454.0)</f>
        <v>454</v>
      </c>
      <c r="C157" s="254">
        <f>IFERROR(__xludf.DUMMYFUNCTION("""COMPUTED_VALUE"""),349.0)</f>
        <v>349</v>
      </c>
      <c r="D157" s="254">
        <f>IFERROR(__xludf.DUMMYFUNCTION("""COMPUTED_VALUE"""),42260.0)</f>
        <v>42260</v>
      </c>
      <c r="E157" s="254">
        <f>IFERROR(__xludf.DUMMYFUNCTION("""COMPUTED_VALUE"""),9174.0)</f>
        <v>9174</v>
      </c>
      <c r="F157" s="185">
        <f>IFERROR(__xludf.DUMMYFUNCTION("""COMPUTED_VALUE"""),1039459.0)</f>
        <v>1039459</v>
      </c>
      <c r="G157" s="185">
        <f>IFERROR(__xludf.DUMMYFUNCTION("""COMPUTED_VALUE"""),9628.0)</f>
        <v>9628</v>
      </c>
      <c r="H157" s="185">
        <f>IFERROR(__xludf.DUMMYFUNCTION("""COMPUTED_VALUE"""),1081719.0)</f>
        <v>1081719</v>
      </c>
      <c r="I157" s="254">
        <f>IFERROR(__xludf.DUMMYFUNCTION("""COMPUTED_VALUE"""),403.0)</f>
        <v>403</v>
      </c>
      <c r="J157" s="254">
        <f>IFERROR(__xludf.DUMMYFUNCTION("""COMPUTED_VALUE"""),317.0)</f>
        <v>317</v>
      </c>
      <c r="K157" s="254">
        <f>IFERROR(__xludf.DUMMYFUNCTION("""COMPUTED_VALUE"""),31610.0)</f>
        <v>31610</v>
      </c>
      <c r="L157" s="254">
        <f>IFERROR(__xludf.DUMMYFUNCTION("""COMPUTED_VALUE"""),2911.0)</f>
        <v>2911</v>
      </c>
      <c r="M157" s="254">
        <f>IFERROR(__xludf.DUMMYFUNCTION("""COMPUTED_VALUE"""),378514.0)</f>
        <v>378514</v>
      </c>
      <c r="N157" s="254">
        <f>IFERROR(__xludf.DUMMYFUNCTION("""COMPUTED_VALUE"""),410124.0)</f>
        <v>410124</v>
      </c>
      <c r="O157" s="254">
        <f>IFERROR(__xludf.DUMMYFUNCTION("""COMPUTED_VALUE"""),27.0)</f>
        <v>27</v>
      </c>
      <c r="P157" s="254">
        <f>IFERROR(__xludf.DUMMYFUNCTION("""COMPUTED_VALUE"""),3254.0)</f>
        <v>3254</v>
      </c>
      <c r="Q157" s="254">
        <f>IFERROR(__xludf.DUMMYFUNCTION("""COMPUTED_VALUE"""),15.0)</f>
        <v>15</v>
      </c>
      <c r="R157" s="254">
        <f>IFERROR(__xludf.DUMMYFUNCTION("""COMPUTED_VALUE"""),2687.0)</f>
        <v>2687</v>
      </c>
      <c r="S157" s="254">
        <f>IFERROR(__xludf.DUMMYFUNCTION("""COMPUTED_VALUE"""),2.0)</f>
        <v>2</v>
      </c>
      <c r="T157" s="254">
        <f>IFERROR(__xludf.DUMMYFUNCTION("""COMPUTED_VALUE"""),391.0)</f>
        <v>391</v>
      </c>
      <c r="U157" s="254">
        <f>IFERROR(__xludf.DUMMYFUNCTION("""COMPUTED_VALUE"""),176.0)</f>
        <v>176</v>
      </c>
      <c r="V157" s="254">
        <f>IFERROR(__xludf.DUMMYFUNCTION("""COMPUTED_VALUE"""),169.0)</f>
        <v>169</v>
      </c>
      <c r="W157" s="254">
        <f>IFERROR(__xludf.DUMMYFUNCTION("""COMPUTED_VALUE"""),18.0)</f>
        <v>18</v>
      </c>
      <c r="X157" s="254">
        <f>IFERROR(__xludf.DUMMYFUNCTION("""COMPUTED_VALUE"""),8.0)</f>
        <v>8</v>
      </c>
      <c r="Y157" s="254">
        <f>IFERROR(__xludf.DUMMYFUNCTION("""COMPUTED_VALUE"""),3.0)</f>
        <v>3</v>
      </c>
      <c r="Z157" s="254">
        <f>IFERROR(__xludf.DUMMYFUNCTION("""COMPUTED_VALUE"""),1192.0)</f>
        <v>1192</v>
      </c>
    </row>
    <row r="158">
      <c r="A158" s="253">
        <f>IFERROR(__xludf.DUMMYFUNCTION("""COMPUTED_VALUE"""),44131.0)</f>
        <v>44131</v>
      </c>
      <c r="B158" s="254">
        <f>IFERROR(__xludf.DUMMYFUNCTION("""COMPUTED_VALUE"""),517.0)</f>
        <v>517</v>
      </c>
      <c r="C158" s="254">
        <f>IFERROR(__xludf.DUMMYFUNCTION("""COMPUTED_VALUE"""),401.0)</f>
        <v>401</v>
      </c>
      <c r="D158" s="254">
        <f>IFERROR(__xludf.DUMMYFUNCTION("""COMPUTED_VALUE"""),42777.0)</f>
        <v>42777</v>
      </c>
      <c r="E158" s="254">
        <f>IFERROR(__xludf.DUMMYFUNCTION("""COMPUTED_VALUE"""),13995.0)</f>
        <v>13995</v>
      </c>
      <c r="F158" s="185">
        <f>IFERROR(__xludf.DUMMYFUNCTION("""COMPUTED_VALUE"""),1053454.0)</f>
        <v>1053454</v>
      </c>
      <c r="G158" s="185">
        <f>IFERROR(__xludf.DUMMYFUNCTION("""COMPUTED_VALUE"""),14512.0)</f>
        <v>14512</v>
      </c>
      <c r="H158" s="185">
        <f>IFERROR(__xludf.DUMMYFUNCTION("""COMPUTED_VALUE"""),1096231.0)</f>
        <v>1096231</v>
      </c>
      <c r="I158" s="254">
        <f>IFERROR(__xludf.DUMMYFUNCTION("""COMPUTED_VALUE"""),453.0)</f>
        <v>453</v>
      </c>
      <c r="J158" s="254">
        <f>IFERROR(__xludf.DUMMYFUNCTION("""COMPUTED_VALUE"""),355.0)</f>
        <v>355</v>
      </c>
      <c r="K158" s="254">
        <f>IFERROR(__xludf.DUMMYFUNCTION("""COMPUTED_VALUE"""),32063.0)</f>
        <v>32063</v>
      </c>
      <c r="L158" s="254">
        <f>IFERROR(__xludf.DUMMYFUNCTION("""COMPUTED_VALUE"""),2344.0)</f>
        <v>2344</v>
      </c>
      <c r="M158" s="254">
        <f>IFERROR(__xludf.DUMMYFUNCTION("""COMPUTED_VALUE"""),380858.0)</f>
        <v>380858</v>
      </c>
      <c r="N158" s="254">
        <f>IFERROR(__xludf.DUMMYFUNCTION("""COMPUTED_VALUE"""),412921.0)</f>
        <v>412921</v>
      </c>
      <c r="O158" s="254">
        <f>IFERROR(__xludf.DUMMYFUNCTION("""COMPUTED_VALUE"""),29.0)</f>
        <v>29</v>
      </c>
      <c r="P158" s="254">
        <f>IFERROR(__xludf.DUMMYFUNCTION("""COMPUTED_VALUE"""),3283.0)</f>
        <v>3283</v>
      </c>
      <c r="Q158" s="254">
        <f>IFERROR(__xludf.DUMMYFUNCTION("""COMPUTED_VALUE"""),15.0)</f>
        <v>15</v>
      </c>
      <c r="R158" s="254">
        <f>IFERROR(__xludf.DUMMYFUNCTION("""COMPUTED_VALUE"""),2702.0)</f>
        <v>2702</v>
      </c>
      <c r="S158" s="254">
        <f>IFERROR(__xludf.DUMMYFUNCTION("""COMPUTED_VALUE"""),2.0)</f>
        <v>2</v>
      </c>
      <c r="T158" s="254">
        <f>IFERROR(__xludf.DUMMYFUNCTION("""COMPUTED_VALUE"""),393.0)</f>
        <v>393</v>
      </c>
      <c r="U158" s="254">
        <f>IFERROR(__xludf.DUMMYFUNCTION("""COMPUTED_VALUE"""),188.0)</f>
        <v>188</v>
      </c>
      <c r="V158" s="254">
        <f>IFERROR(__xludf.DUMMYFUNCTION("""COMPUTED_VALUE"""),177.0)</f>
        <v>177</v>
      </c>
      <c r="W158" s="254">
        <f>IFERROR(__xludf.DUMMYFUNCTION("""COMPUTED_VALUE"""),18.0)</f>
        <v>18</v>
      </c>
      <c r="X158" s="254">
        <f>IFERROR(__xludf.DUMMYFUNCTION("""COMPUTED_VALUE"""),9.0)</f>
        <v>9</v>
      </c>
      <c r="Y158" s="254">
        <f>IFERROR(__xludf.DUMMYFUNCTION("""COMPUTED_VALUE"""),4.0)</f>
        <v>4</v>
      </c>
      <c r="Z158" s="254">
        <f>IFERROR(__xludf.DUMMYFUNCTION("""COMPUTED_VALUE"""),1196.0)</f>
        <v>1196</v>
      </c>
    </row>
    <row r="159">
      <c r="A159" s="253">
        <f>IFERROR(__xludf.DUMMYFUNCTION("""COMPUTED_VALUE"""),44132.0)</f>
        <v>44132</v>
      </c>
      <c r="B159" s="254">
        <f>IFERROR(__xludf.DUMMYFUNCTION("""COMPUTED_VALUE"""),469.0)</f>
        <v>469</v>
      </c>
      <c r="C159" s="254">
        <f>IFERROR(__xludf.DUMMYFUNCTION("""COMPUTED_VALUE"""),480.0)</f>
        <v>480</v>
      </c>
      <c r="D159" s="254">
        <f>IFERROR(__xludf.DUMMYFUNCTION("""COMPUTED_VALUE"""),43246.0)</f>
        <v>43246</v>
      </c>
      <c r="E159" s="254">
        <f>IFERROR(__xludf.DUMMYFUNCTION("""COMPUTED_VALUE"""),15229.0)</f>
        <v>15229</v>
      </c>
      <c r="F159" s="185">
        <f>IFERROR(__xludf.DUMMYFUNCTION("""COMPUTED_VALUE"""),1068683.0)</f>
        <v>1068683</v>
      </c>
      <c r="G159" s="185">
        <f>IFERROR(__xludf.DUMMYFUNCTION("""COMPUTED_VALUE"""),15698.0)</f>
        <v>15698</v>
      </c>
      <c r="H159" s="185">
        <f>IFERROR(__xludf.DUMMYFUNCTION("""COMPUTED_VALUE"""),1111929.0)</f>
        <v>1111929</v>
      </c>
      <c r="I159" s="254">
        <f>IFERROR(__xludf.DUMMYFUNCTION("""COMPUTED_VALUE"""),411.0)</f>
        <v>411</v>
      </c>
      <c r="J159" s="254">
        <f>IFERROR(__xludf.DUMMYFUNCTION("""COMPUTED_VALUE"""),422.0)</f>
        <v>422</v>
      </c>
      <c r="K159" s="254">
        <f>IFERROR(__xludf.DUMMYFUNCTION("""COMPUTED_VALUE"""),32474.0)</f>
        <v>32474</v>
      </c>
      <c r="L159" s="254">
        <f>IFERROR(__xludf.DUMMYFUNCTION("""COMPUTED_VALUE"""),2635.0)</f>
        <v>2635</v>
      </c>
      <c r="M159" s="254">
        <f>IFERROR(__xludf.DUMMYFUNCTION("""COMPUTED_VALUE"""),383493.0)</f>
        <v>383493</v>
      </c>
      <c r="N159" s="254">
        <f>IFERROR(__xludf.DUMMYFUNCTION("""COMPUTED_VALUE"""),415967.0)</f>
        <v>415967</v>
      </c>
      <c r="O159" s="254">
        <f>IFERROR(__xludf.DUMMYFUNCTION("""COMPUTED_VALUE"""),25.0)</f>
        <v>25</v>
      </c>
      <c r="P159" s="254">
        <f>IFERROR(__xludf.DUMMYFUNCTION("""COMPUTED_VALUE"""),3308.0)</f>
        <v>3308</v>
      </c>
      <c r="Q159" s="254">
        <f>IFERROR(__xludf.DUMMYFUNCTION("""COMPUTED_VALUE"""),26.0)</f>
        <v>26</v>
      </c>
      <c r="R159" s="254">
        <f>IFERROR(__xludf.DUMMYFUNCTION("""COMPUTED_VALUE"""),2728.0)</f>
        <v>2728</v>
      </c>
      <c r="S159" s="254">
        <f>IFERROR(__xludf.DUMMYFUNCTION("""COMPUTED_VALUE"""),1.0)</f>
        <v>1</v>
      </c>
      <c r="T159" s="254">
        <f>IFERROR(__xludf.DUMMYFUNCTION("""COMPUTED_VALUE"""),394.0)</f>
        <v>394</v>
      </c>
      <c r="U159" s="254">
        <f>IFERROR(__xludf.DUMMYFUNCTION("""COMPUTED_VALUE"""),186.0)</f>
        <v>186</v>
      </c>
      <c r="V159" s="254">
        <f>IFERROR(__xludf.DUMMYFUNCTION("""COMPUTED_VALUE"""),183.0)</f>
        <v>183</v>
      </c>
      <c r="W159" s="254">
        <f>IFERROR(__xludf.DUMMYFUNCTION("""COMPUTED_VALUE"""),17.0)</f>
        <v>17</v>
      </c>
      <c r="X159" s="254">
        <f>IFERROR(__xludf.DUMMYFUNCTION("""COMPUTED_VALUE"""),9.0)</f>
        <v>9</v>
      </c>
      <c r="Y159" s="254">
        <f>IFERROR(__xludf.DUMMYFUNCTION("""COMPUTED_VALUE"""),3.0)</f>
        <v>3</v>
      </c>
      <c r="Z159" s="254">
        <f>IFERROR(__xludf.DUMMYFUNCTION("""COMPUTED_VALUE"""),1199.0)</f>
        <v>1199</v>
      </c>
    </row>
    <row r="160">
      <c r="A160" s="253">
        <f>IFERROR(__xludf.DUMMYFUNCTION("""COMPUTED_VALUE"""),44133.0)</f>
        <v>44133</v>
      </c>
      <c r="B160" s="254">
        <f>IFERROR(__xludf.DUMMYFUNCTION("""COMPUTED_VALUE"""),609.0)</f>
        <v>609</v>
      </c>
      <c r="C160" s="254">
        <f>IFERROR(__xludf.DUMMYFUNCTION("""COMPUTED_VALUE"""),532.0)</f>
        <v>532</v>
      </c>
      <c r="D160" s="254">
        <f>IFERROR(__xludf.DUMMYFUNCTION("""COMPUTED_VALUE"""),43855.0)</f>
        <v>43855</v>
      </c>
      <c r="E160" s="254">
        <f>IFERROR(__xludf.DUMMYFUNCTION("""COMPUTED_VALUE"""),16259.0)</f>
        <v>16259</v>
      </c>
      <c r="F160" s="185">
        <f>IFERROR(__xludf.DUMMYFUNCTION("""COMPUTED_VALUE"""),1084942.0)</f>
        <v>1084942</v>
      </c>
      <c r="G160" s="185">
        <f>IFERROR(__xludf.DUMMYFUNCTION("""COMPUTED_VALUE"""),16868.0)</f>
        <v>16868</v>
      </c>
      <c r="H160" s="185">
        <f>IFERROR(__xludf.DUMMYFUNCTION("""COMPUTED_VALUE"""),1128797.0)</f>
        <v>1128797</v>
      </c>
      <c r="I160" s="254">
        <f>IFERROR(__xludf.DUMMYFUNCTION("""COMPUTED_VALUE"""),526.0)</f>
        <v>526</v>
      </c>
      <c r="J160" s="254">
        <f>IFERROR(__xludf.DUMMYFUNCTION("""COMPUTED_VALUE"""),463.0)</f>
        <v>463</v>
      </c>
      <c r="K160" s="254">
        <f>IFERROR(__xludf.DUMMYFUNCTION("""COMPUTED_VALUE"""),33000.0)</f>
        <v>33000</v>
      </c>
      <c r="L160" s="254">
        <f>IFERROR(__xludf.DUMMYFUNCTION("""COMPUTED_VALUE"""),3068.0)</f>
        <v>3068</v>
      </c>
      <c r="M160" s="254">
        <f>IFERROR(__xludf.DUMMYFUNCTION("""COMPUTED_VALUE"""),386561.0)</f>
        <v>386561</v>
      </c>
      <c r="N160" s="254">
        <f>IFERROR(__xludf.DUMMYFUNCTION("""COMPUTED_VALUE"""),419561.0)</f>
        <v>419561</v>
      </c>
      <c r="O160" s="254">
        <f>IFERROR(__xludf.DUMMYFUNCTION("""COMPUTED_VALUE"""),20.0)</f>
        <v>20</v>
      </c>
      <c r="P160" s="254">
        <f>IFERROR(__xludf.DUMMYFUNCTION("""COMPUTED_VALUE"""),3328.0)</f>
        <v>3328</v>
      </c>
      <c r="Q160" s="254">
        <f>IFERROR(__xludf.DUMMYFUNCTION("""COMPUTED_VALUE"""),22.0)</f>
        <v>22</v>
      </c>
      <c r="R160" s="254">
        <f>IFERROR(__xludf.DUMMYFUNCTION("""COMPUTED_VALUE"""),2750.0)</f>
        <v>2750</v>
      </c>
      <c r="S160" s="254">
        <f>IFERROR(__xludf.DUMMYFUNCTION("""COMPUTED_VALUE"""),3.0)</f>
        <v>3</v>
      </c>
      <c r="T160" s="254">
        <f>IFERROR(__xludf.DUMMYFUNCTION("""COMPUTED_VALUE"""),397.0)</f>
        <v>397</v>
      </c>
      <c r="U160" s="254">
        <f>IFERROR(__xludf.DUMMYFUNCTION("""COMPUTED_VALUE"""),181.0)</f>
        <v>181</v>
      </c>
      <c r="V160" s="254">
        <f>IFERROR(__xludf.DUMMYFUNCTION("""COMPUTED_VALUE"""),185.0)</f>
        <v>185</v>
      </c>
      <c r="W160" s="254">
        <f>IFERROR(__xludf.DUMMYFUNCTION("""COMPUTED_VALUE"""),19.0)</f>
        <v>19</v>
      </c>
      <c r="X160" s="254">
        <f>IFERROR(__xludf.DUMMYFUNCTION("""COMPUTED_VALUE"""),11.0)</f>
        <v>11</v>
      </c>
      <c r="Y160" s="254">
        <f>IFERROR(__xludf.DUMMYFUNCTION("""COMPUTED_VALUE"""),4.0)</f>
        <v>4</v>
      </c>
      <c r="Z160" s="254">
        <f>IFERROR(__xludf.DUMMYFUNCTION("""COMPUTED_VALUE"""),1203.0)</f>
        <v>1203</v>
      </c>
    </row>
    <row r="161">
      <c r="A161" s="253">
        <f>IFERROR(__xludf.DUMMYFUNCTION("""COMPUTED_VALUE"""),44134.0)</f>
        <v>44134</v>
      </c>
      <c r="B161" s="254">
        <f>IFERROR(__xludf.DUMMYFUNCTION("""COMPUTED_VALUE"""),565.0)</f>
        <v>565</v>
      </c>
      <c r="C161" s="254">
        <f>IFERROR(__xludf.DUMMYFUNCTION("""COMPUTED_VALUE"""),548.0)</f>
        <v>548</v>
      </c>
      <c r="D161" s="254">
        <f>IFERROR(__xludf.DUMMYFUNCTION("""COMPUTED_VALUE"""),44420.0)</f>
        <v>44420</v>
      </c>
      <c r="E161" s="254">
        <f>IFERROR(__xludf.DUMMYFUNCTION("""COMPUTED_VALUE"""),14863.0)</f>
        <v>14863</v>
      </c>
      <c r="F161" s="185">
        <f>IFERROR(__xludf.DUMMYFUNCTION("""COMPUTED_VALUE"""),1099805.0)</f>
        <v>1099805</v>
      </c>
      <c r="G161" s="185">
        <f>IFERROR(__xludf.DUMMYFUNCTION("""COMPUTED_VALUE"""),15428.0)</f>
        <v>15428</v>
      </c>
      <c r="H161" s="185">
        <f>IFERROR(__xludf.DUMMYFUNCTION("""COMPUTED_VALUE"""),1144225.0)</f>
        <v>1144225</v>
      </c>
      <c r="I161" s="254">
        <f>IFERROR(__xludf.DUMMYFUNCTION("""COMPUTED_VALUE"""),467.0)</f>
        <v>467</v>
      </c>
      <c r="J161" s="254">
        <f>IFERROR(__xludf.DUMMYFUNCTION("""COMPUTED_VALUE"""),468.0)</f>
        <v>468</v>
      </c>
      <c r="K161" s="254">
        <f>IFERROR(__xludf.DUMMYFUNCTION("""COMPUTED_VALUE"""),33467.0)</f>
        <v>33467</v>
      </c>
      <c r="L161" s="254">
        <f>IFERROR(__xludf.DUMMYFUNCTION("""COMPUTED_VALUE"""),2888.0)</f>
        <v>2888</v>
      </c>
      <c r="M161" s="254">
        <f>IFERROR(__xludf.DUMMYFUNCTION("""COMPUTED_VALUE"""),389449.0)</f>
        <v>389449</v>
      </c>
      <c r="N161" s="254">
        <f>IFERROR(__xludf.DUMMYFUNCTION("""COMPUTED_VALUE"""),422916.0)</f>
        <v>422916</v>
      </c>
      <c r="O161" s="254">
        <f>IFERROR(__xludf.DUMMYFUNCTION("""COMPUTED_VALUE"""),21.0)</f>
        <v>21</v>
      </c>
      <c r="P161" s="254">
        <f>IFERROR(__xludf.DUMMYFUNCTION("""COMPUTED_VALUE"""),3349.0)</f>
        <v>3349</v>
      </c>
      <c r="Q161" s="254">
        <f>IFERROR(__xludf.DUMMYFUNCTION("""COMPUTED_VALUE"""),21.0)</f>
        <v>21</v>
      </c>
      <c r="R161" s="254">
        <f>IFERROR(__xludf.DUMMYFUNCTION("""COMPUTED_VALUE"""),2771.0)</f>
        <v>2771</v>
      </c>
      <c r="S161" s="254">
        <f>IFERROR(__xludf.DUMMYFUNCTION("""COMPUTED_VALUE"""),5.0)</f>
        <v>5</v>
      </c>
      <c r="T161" s="254">
        <f>IFERROR(__xludf.DUMMYFUNCTION("""COMPUTED_VALUE"""),402.0)</f>
        <v>402</v>
      </c>
      <c r="U161" s="254">
        <f>IFERROR(__xludf.DUMMYFUNCTION("""COMPUTED_VALUE"""),176.0)</f>
        <v>176</v>
      </c>
      <c r="V161" s="254">
        <f>IFERROR(__xludf.DUMMYFUNCTION("""COMPUTED_VALUE"""),181.0)</f>
        <v>181</v>
      </c>
      <c r="W161" s="254">
        <f>IFERROR(__xludf.DUMMYFUNCTION("""COMPUTED_VALUE"""),19.0)</f>
        <v>19</v>
      </c>
      <c r="X161" s="254">
        <f>IFERROR(__xludf.DUMMYFUNCTION("""COMPUTED_VALUE"""),9.0)</f>
        <v>9</v>
      </c>
      <c r="Y161" s="254">
        <f>IFERROR(__xludf.DUMMYFUNCTION("""COMPUTED_VALUE"""),4.0)</f>
        <v>4</v>
      </c>
      <c r="Z161" s="254">
        <f>IFERROR(__xludf.DUMMYFUNCTION("""COMPUTED_VALUE"""),1207.0)</f>
        <v>1207</v>
      </c>
    </row>
    <row r="162">
      <c r="A162" s="253">
        <f>IFERROR(__xludf.DUMMYFUNCTION("""COMPUTED_VALUE"""),44135.0)</f>
        <v>44135</v>
      </c>
      <c r="B162" s="254">
        <f>IFERROR(__xludf.DUMMYFUNCTION("""COMPUTED_VALUE"""),599.0)</f>
        <v>599</v>
      </c>
      <c r="C162" s="254">
        <f>IFERROR(__xludf.DUMMYFUNCTION("""COMPUTED_VALUE"""),591.0)</f>
        <v>591</v>
      </c>
      <c r="D162" s="254">
        <f>IFERROR(__xludf.DUMMYFUNCTION("""COMPUTED_VALUE"""),45019.0)</f>
        <v>45019</v>
      </c>
      <c r="E162" s="254">
        <f>IFERROR(__xludf.DUMMYFUNCTION("""COMPUTED_VALUE"""),11820.0)</f>
        <v>11820</v>
      </c>
      <c r="F162" s="185">
        <f>IFERROR(__xludf.DUMMYFUNCTION("""COMPUTED_VALUE"""),1111625.0)</f>
        <v>1111625</v>
      </c>
      <c r="G162" s="185">
        <f>IFERROR(__xludf.DUMMYFUNCTION("""COMPUTED_VALUE"""),12419.0)</f>
        <v>12419</v>
      </c>
      <c r="H162" s="185">
        <f>IFERROR(__xludf.DUMMYFUNCTION("""COMPUTED_VALUE"""),1156644.0)</f>
        <v>1156644</v>
      </c>
      <c r="I162" s="254">
        <f>IFERROR(__xludf.DUMMYFUNCTION("""COMPUTED_VALUE"""),483.0)</f>
        <v>483</v>
      </c>
      <c r="J162" s="254">
        <f>IFERROR(__xludf.DUMMYFUNCTION("""COMPUTED_VALUE"""),492.0)</f>
        <v>492</v>
      </c>
      <c r="K162" s="254">
        <f>IFERROR(__xludf.DUMMYFUNCTION("""COMPUTED_VALUE"""),33950.0)</f>
        <v>33950</v>
      </c>
      <c r="L162" s="254">
        <f>IFERROR(__xludf.DUMMYFUNCTION("""COMPUTED_VALUE"""),2360.0)</f>
        <v>2360</v>
      </c>
      <c r="M162" s="254">
        <f>IFERROR(__xludf.DUMMYFUNCTION("""COMPUTED_VALUE"""),391809.0)</f>
        <v>391809</v>
      </c>
      <c r="N162" s="254">
        <f>IFERROR(__xludf.DUMMYFUNCTION("""COMPUTED_VALUE"""),425759.0)</f>
        <v>425759</v>
      </c>
      <c r="O162" s="254">
        <f>IFERROR(__xludf.DUMMYFUNCTION("""COMPUTED_VALUE"""),31.0)</f>
        <v>31</v>
      </c>
      <c r="P162" s="254">
        <f>IFERROR(__xludf.DUMMYFUNCTION("""COMPUTED_VALUE"""),3380.0)</f>
        <v>3380</v>
      </c>
      <c r="Q162" s="254">
        <f>IFERROR(__xludf.DUMMYFUNCTION("""COMPUTED_VALUE"""),13.0)</f>
        <v>13</v>
      </c>
      <c r="R162" s="254">
        <f>IFERROR(__xludf.DUMMYFUNCTION("""COMPUTED_VALUE"""),2784.0)</f>
        <v>2784</v>
      </c>
      <c r="S162" s="254">
        <f>IFERROR(__xludf.DUMMYFUNCTION("""COMPUTED_VALUE"""),1.0)</f>
        <v>1</v>
      </c>
      <c r="T162" s="254">
        <f>IFERROR(__xludf.DUMMYFUNCTION("""COMPUTED_VALUE"""),403.0)</f>
        <v>403</v>
      </c>
      <c r="U162" s="254">
        <f>IFERROR(__xludf.DUMMYFUNCTION("""COMPUTED_VALUE"""),193.0)</f>
        <v>193</v>
      </c>
      <c r="V162" s="254">
        <f>IFERROR(__xludf.DUMMYFUNCTION("""COMPUTED_VALUE"""),183.0)</f>
        <v>183</v>
      </c>
      <c r="W162" s="254">
        <f>IFERROR(__xludf.DUMMYFUNCTION("""COMPUTED_VALUE"""),22.0)</f>
        <v>22</v>
      </c>
      <c r="X162" s="254">
        <f>IFERROR(__xludf.DUMMYFUNCTION("""COMPUTED_VALUE"""),9.0)</f>
        <v>9</v>
      </c>
      <c r="Y162" s="254">
        <f>IFERROR(__xludf.DUMMYFUNCTION("""COMPUTED_VALUE"""),3.0)</f>
        <v>3</v>
      </c>
      <c r="Z162" s="254">
        <f>IFERROR(__xludf.DUMMYFUNCTION("""COMPUTED_VALUE"""),1210.0)</f>
        <v>1210</v>
      </c>
    </row>
    <row r="163">
      <c r="A163" s="253">
        <f>IFERROR(__xludf.DUMMYFUNCTION("""COMPUTED_VALUE"""),44136.0)</f>
        <v>44136</v>
      </c>
      <c r="B163" s="254">
        <f>IFERROR(__xludf.DUMMYFUNCTION("""COMPUTED_VALUE"""),330.0)</f>
        <v>330</v>
      </c>
      <c r="C163" s="254">
        <f>IFERROR(__xludf.DUMMYFUNCTION("""COMPUTED_VALUE"""),498.0)</f>
        <v>498</v>
      </c>
      <c r="D163" s="254">
        <f>IFERROR(__xludf.DUMMYFUNCTION("""COMPUTED_VALUE"""),45349.0)</f>
        <v>45349</v>
      </c>
      <c r="E163" s="254">
        <f>IFERROR(__xludf.DUMMYFUNCTION("""COMPUTED_VALUE"""),5091.0)</f>
        <v>5091</v>
      </c>
      <c r="F163" s="185">
        <f>IFERROR(__xludf.DUMMYFUNCTION("""COMPUTED_VALUE"""),1116716.0)</f>
        <v>1116716</v>
      </c>
      <c r="G163" s="185">
        <f>IFERROR(__xludf.DUMMYFUNCTION("""COMPUTED_VALUE"""),5421.0)</f>
        <v>5421</v>
      </c>
      <c r="H163" s="185">
        <f>IFERROR(__xludf.DUMMYFUNCTION("""COMPUTED_VALUE"""),1162065.0)</f>
        <v>1162065</v>
      </c>
      <c r="I163" s="254">
        <f>IFERROR(__xludf.DUMMYFUNCTION("""COMPUTED_VALUE"""),273.0)</f>
        <v>273</v>
      </c>
      <c r="J163" s="254">
        <f>IFERROR(__xludf.DUMMYFUNCTION("""COMPUTED_VALUE"""),408.0)</f>
        <v>408</v>
      </c>
      <c r="K163" s="254">
        <f>IFERROR(__xludf.DUMMYFUNCTION("""COMPUTED_VALUE"""),34223.0)</f>
        <v>34223</v>
      </c>
      <c r="L163" s="254">
        <f>IFERROR(__xludf.DUMMYFUNCTION("""COMPUTED_VALUE"""),1244.0)</f>
        <v>1244</v>
      </c>
      <c r="M163" s="254">
        <f>IFERROR(__xludf.DUMMYFUNCTION("""COMPUTED_VALUE"""),393053.0)</f>
        <v>393053</v>
      </c>
      <c r="N163" s="254">
        <f>IFERROR(__xludf.DUMMYFUNCTION("""COMPUTED_VALUE"""),427276.0)</f>
        <v>427276</v>
      </c>
      <c r="O163" s="254">
        <f>IFERROR(__xludf.DUMMYFUNCTION("""COMPUTED_VALUE"""),22.0)</f>
        <v>22</v>
      </c>
      <c r="P163" s="254">
        <f>IFERROR(__xludf.DUMMYFUNCTION("""COMPUTED_VALUE"""),3402.0)</f>
        <v>3402</v>
      </c>
      <c r="Q163" s="254">
        <f>IFERROR(__xludf.DUMMYFUNCTION("""COMPUTED_VALUE"""),15.0)</f>
        <v>15</v>
      </c>
      <c r="R163" s="254">
        <f>IFERROR(__xludf.DUMMYFUNCTION("""COMPUTED_VALUE"""),2799.0)</f>
        <v>2799</v>
      </c>
      <c r="S163" s="254">
        <f>IFERROR(__xludf.DUMMYFUNCTION("""COMPUTED_VALUE"""),1.0)</f>
        <v>1</v>
      </c>
      <c r="T163" s="254">
        <f>IFERROR(__xludf.DUMMYFUNCTION("""COMPUTED_VALUE"""),404.0)</f>
        <v>404</v>
      </c>
      <c r="U163" s="254">
        <f>IFERROR(__xludf.DUMMYFUNCTION("""COMPUTED_VALUE"""),199.0)</f>
        <v>199</v>
      </c>
      <c r="V163" s="254">
        <f>IFERROR(__xludf.DUMMYFUNCTION("""COMPUTED_VALUE"""),189.0)</f>
        <v>189</v>
      </c>
      <c r="W163" s="254">
        <f>IFERROR(__xludf.DUMMYFUNCTION("""COMPUTED_VALUE"""),26.0)</f>
        <v>26</v>
      </c>
      <c r="X163" s="254">
        <f>IFERROR(__xludf.DUMMYFUNCTION("""COMPUTED_VALUE"""),12.0)</f>
        <v>12</v>
      </c>
      <c r="Y163" s="254">
        <f>IFERROR(__xludf.DUMMYFUNCTION("""COMPUTED_VALUE"""),4.0)</f>
        <v>4</v>
      </c>
      <c r="Z163" s="254">
        <f>IFERROR(__xludf.DUMMYFUNCTION("""COMPUTED_VALUE"""),1214.0)</f>
        <v>1214</v>
      </c>
    </row>
    <row r="164">
      <c r="A164" s="253">
        <f>IFERROR(__xludf.DUMMYFUNCTION("""COMPUTED_VALUE"""),44137.0)</f>
        <v>44137</v>
      </c>
      <c r="B164" s="254">
        <f>IFERROR(__xludf.DUMMYFUNCTION("""COMPUTED_VALUE"""),521.0)</f>
        <v>521</v>
      </c>
      <c r="C164" s="254">
        <f>IFERROR(__xludf.DUMMYFUNCTION("""COMPUTED_VALUE"""),483.0)</f>
        <v>483</v>
      </c>
      <c r="D164" s="254">
        <f>IFERROR(__xludf.DUMMYFUNCTION("""COMPUTED_VALUE"""),45870.0)</f>
        <v>45870</v>
      </c>
      <c r="E164" s="254">
        <f>IFERROR(__xludf.DUMMYFUNCTION("""COMPUTED_VALUE"""),9930.0)</f>
        <v>9930</v>
      </c>
      <c r="F164" s="185">
        <f>IFERROR(__xludf.DUMMYFUNCTION("""COMPUTED_VALUE"""),1126646.0)</f>
        <v>1126646</v>
      </c>
      <c r="G164" s="185">
        <f>IFERROR(__xludf.DUMMYFUNCTION("""COMPUTED_VALUE"""),10451.0)</f>
        <v>10451</v>
      </c>
      <c r="H164" s="185">
        <f>IFERROR(__xludf.DUMMYFUNCTION("""COMPUTED_VALUE"""),1172516.0)</f>
        <v>1172516</v>
      </c>
      <c r="I164" s="254">
        <f>IFERROR(__xludf.DUMMYFUNCTION("""COMPUTED_VALUE"""),455.0)</f>
        <v>455</v>
      </c>
      <c r="J164" s="254">
        <f>IFERROR(__xludf.DUMMYFUNCTION("""COMPUTED_VALUE"""),404.0)</f>
        <v>404</v>
      </c>
      <c r="K164" s="254">
        <f>IFERROR(__xludf.DUMMYFUNCTION("""COMPUTED_VALUE"""),34678.0)</f>
        <v>34678</v>
      </c>
      <c r="L164" s="254">
        <f>IFERROR(__xludf.DUMMYFUNCTION("""COMPUTED_VALUE"""),2873.0)</f>
        <v>2873</v>
      </c>
      <c r="M164" s="254">
        <f>IFERROR(__xludf.DUMMYFUNCTION("""COMPUTED_VALUE"""),395926.0)</f>
        <v>395926</v>
      </c>
      <c r="N164" s="254">
        <f>IFERROR(__xludf.DUMMYFUNCTION("""COMPUTED_VALUE"""),430604.0)</f>
        <v>430604</v>
      </c>
      <c r="O164" s="254">
        <f>IFERROR(__xludf.DUMMYFUNCTION("""COMPUTED_VALUE"""),38.0)</f>
        <v>38</v>
      </c>
      <c r="P164" s="254">
        <f>IFERROR(__xludf.DUMMYFUNCTION("""COMPUTED_VALUE"""),3440.0)</f>
        <v>3440</v>
      </c>
      <c r="Q164" s="254">
        <f>IFERROR(__xludf.DUMMYFUNCTION("""COMPUTED_VALUE"""),27.0)</f>
        <v>27</v>
      </c>
      <c r="R164" s="254">
        <f>IFERROR(__xludf.DUMMYFUNCTION("""COMPUTED_VALUE"""),2826.0)</f>
        <v>2826</v>
      </c>
      <c r="S164" s="254">
        <f>IFERROR(__xludf.DUMMYFUNCTION("""COMPUTED_VALUE"""),3.0)</f>
        <v>3</v>
      </c>
      <c r="T164" s="254">
        <f>IFERROR(__xludf.DUMMYFUNCTION("""COMPUTED_VALUE"""),407.0)</f>
        <v>407</v>
      </c>
      <c r="U164" s="254">
        <f>IFERROR(__xludf.DUMMYFUNCTION("""COMPUTED_VALUE"""),207.0)</f>
        <v>207</v>
      </c>
      <c r="V164" s="254">
        <f>IFERROR(__xludf.DUMMYFUNCTION("""COMPUTED_VALUE"""),200.0)</f>
        <v>200</v>
      </c>
      <c r="W164" s="254">
        <f>IFERROR(__xludf.DUMMYFUNCTION("""COMPUTED_VALUE"""),24.0)</f>
        <v>24</v>
      </c>
      <c r="X164" s="254">
        <f>IFERROR(__xludf.DUMMYFUNCTION("""COMPUTED_VALUE"""),12.0)</f>
        <v>12</v>
      </c>
      <c r="Y164" s="254">
        <f>IFERROR(__xludf.DUMMYFUNCTION("""COMPUTED_VALUE"""),5.0)</f>
        <v>5</v>
      </c>
      <c r="Z164" s="254">
        <f>IFERROR(__xludf.DUMMYFUNCTION("""COMPUTED_VALUE"""),1219.0)</f>
        <v>1219</v>
      </c>
    </row>
    <row r="165">
      <c r="A165" s="253">
        <f>IFERROR(__xludf.DUMMYFUNCTION("""COMPUTED_VALUE"""),44138.0)</f>
        <v>44138</v>
      </c>
      <c r="B165" s="254">
        <f>IFERROR(__xludf.DUMMYFUNCTION("""COMPUTED_VALUE"""),602.0)</f>
        <v>602</v>
      </c>
      <c r="C165" s="254">
        <f>IFERROR(__xludf.DUMMYFUNCTION("""COMPUTED_VALUE"""),484.0)</f>
        <v>484</v>
      </c>
      <c r="D165" s="254">
        <f>IFERROR(__xludf.DUMMYFUNCTION("""COMPUTED_VALUE"""),46472.0)</f>
        <v>46472</v>
      </c>
      <c r="E165" s="254">
        <f>IFERROR(__xludf.DUMMYFUNCTION("""COMPUTED_VALUE"""),13040.0)</f>
        <v>13040</v>
      </c>
      <c r="F165" s="185">
        <f>IFERROR(__xludf.DUMMYFUNCTION("""COMPUTED_VALUE"""),1139686.0)</f>
        <v>1139686</v>
      </c>
      <c r="G165" s="185">
        <f>IFERROR(__xludf.DUMMYFUNCTION("""COMPUTED_VALUE"""),13642.0)</f>
        <v>13642</v>
      </c>
      <c r="H165" s="185">
        <f>IFERROR(__xludf.DUMMYFUNCTION("""COMPUTED_VALUE"""),1186158.0)</f>
        <v>1186158</v>
      </c>
      <c r="I165" s="254">
        <f>IFERROR(__xludf.DUMMYFUNCTION("""COMPUTED_VALUE"""),529.0)</f>
        <v>529</v>
      </c>
      <c r="J165" s="254">
        <f>IFERROR(__xludf.DUMMYFUNCTION("""COMPUTED_VALUE"""),419.0)</f>
        <v>419</v>
      </c>
      <c r="K165" s="254">
        <f>IFERROR(__xludf.DUMMYFUNCTION("""COMPUTED_VALUE"""),35207.0)</f>
        <v>35207</v>
      </c>
      <c r="L165" s="254">
        <f>IFERROR(__xludf.DUMMYFUNCTION("""COMPUTED_VALUE"""),2459.0)</f>
        <v>2459</v>
      </c>
      <c r="M165" s="254">
        <f>IFERROR(__xludf.DUMMYFUNCTION("""COMPUTED_VALUE"""),398385.0)</f>
        <v>398385</v>
      </c>
      <c r="N165" s="254">
        <f>IFERROR(__xludf.DUMMYFUNCTION("""COMPUTED_VALUE"""),433592.0)</f>
        <v>433592</v>
      </c>
      <c r="O165" s="254">
        <f>IFERROR(__xludf.DUMMYFUNCTION("""COMPUTED_VALUE"""),33.0)</f>
        <v>33</v>
      </c>
      <c r="P165" s="254">
        <f>IFERROR(__xludf.DUMMYFUNCTION("""COMPUTED_VALUE"""),3473.0)</f>
        <v>3473</v>
      </c>
      <c r="Q165" s="254">
        <f>IFERROR(__xludf.DUMMYFUNCTION("""COMPUTED_VALUE"""),25.0)</f>
        <v>25</v>
      </c>
      <c r="R165" s="254">
        <f>IFERROR(__xludf.DUMMYFUNCTION("""COMPUTED_VALUE"""),2851.0)</f>
        <v>2851</v>
      </c>
      <c r="S165" s="254">
        <f>IFERROR(__xludf.DUMMYFUNCTION("""COMPUTED_VALUE"""),1.0)</f>
        <v>1</v>
      </c>
      <c r="T165" s="254">
        <f>IFERROR(__xludf.DUMMYFUNCTION("""COMPUTED_VALUE"""),408.0)</f>
        <v>408</v>
      </c>
      <c r="U165" s="254">
        <f>IFERROR(__xludf.DUMMYFUNCTION("""COMPUTED_VALUE"""),214.0)</f>
        <v>214</v>
      </c>
      <c r="V165" s="254">
        <f>IFERROR(__xludf.DUMMYFUNCTION("""COMPUTED_VALUE"""),207.0)</f>
        <v>207</v>
      </c>
      <c r="W165" s="254">
        <f>IFERROR(__xludf.DUMMYFUNCTION("""COMPUTED_VALUE"""),24.0)</f>
        <v>24</v>
      </c>
      <c r="X165" s="254">
        <f>IFERROR(__xludf.DUMMYFUNCTION("""COMPUTED_VALUE"""),12.0)</f>
        <v>12</v>
      </c>
      <c r="Y165" s="254">
        <f>IFERROR(__xludf.DUMMYFUNCTION("""COMPUTED_VALUE"""),1.0)</f>
        <v>1</v>
      </c>
      <c r="Z165" s="254">
        <f>IFERROR(__xludf.DUMMYFUNCTION("""COMPUTED_VALUE"""),1220.0)</f>
        <v>1220</v>
      </c>
    </row>
    <row r="166">
      <c r="A166" s="253">
        <f>IFERROR(__xludf.DUMMYFUNCTION("""COMPUTED_VALUE"""),44139.0)</f>
        <v>44139</v>
      </c>
      <c r="B166" s="254">
        <f>IFERROR(__xludf.DUMMYFUNCTION("""COMPUTED_VALUE"""),688.0)</f>
        <v>688</v>
      </c>
      <c r="C166" s="254">
        <f>IFERROR(__xludf.DUMMYFUNCTION("""COMPUTED_VALUE"""),604.0)</f>
        <v>604</v>
      </c>
      <c r="D166" s="254">
        <f>IFERROR(__xludf.DUMMYFUNCTION("""COMPUTED_VALUE"""),47160.0)</f>
        <v>47160</v>
      </c>
      <c r="E166" s="254">
        <f>IFERROR(__xludf.DUMMYFUNCTION("""COMPUTED_VALUE"""),16100.0)</f>
        <v>16100</v>
      </c>
      <c r="F166" s="185">
        <f>IFERROR(__xludf.DUMMYFUNCTION("""COMPUTED_VALUE"""),1155786.0)</f>
        <v>1155786</v>
      </c>
      <c r="G166" s="185">
        <f>IFERROR(__xludf.DUMMYFUNCTION("""COMPUTED_VALUE"""),16788.0)</f>
        <v>16788</v>
      </c>
      <c r="H166" s="185">
        <f>IFERROR(__xludf.DUMMYFUNCTION("""COMPUTED_VALUE"""),1202946.0)</f>
        <v>1202946</v>
      </c>
      <c r="I166" s="254">
        <f>IFERROR(__xludf.DUMMYFUNCTION("""COMPUTED_VALUE"""),632.0)</f>
        <v>632</v>
      </c>
      <c r="J166" s="254">
        <f>IFERROR(__xludf.DUMMYFUNCTION("""COMPUTED_VALUE"""),539.0)</f>
        <v>539</v>
      </c>
      <c r="K166" s="254">
        <f>IFERROR(__xludf.DUMMYFUNCTION("""COMPUTED_VALUE"""),35839.0)</f>
        <v>35839</v>
      </c>
      <c r="L166" s="254">
        <f>IFERROR(__xludf.DUMMYFUNCTION("""COMPUTED_VALUE"""),2875.0)</f>
        <v>2875</v>
      </c>
      <c r="M166" s="254">
        <f>IFERROR(__xludf.DUMMYFUNCTION("""COMPUTED_VALUE"""),401260.0)</f>
        <v>401260</v>
      </c>
      <c r="N166" s="254">
        <f>IFERROR(__xludf.DUMMYFUNCTION("""COMPUTED_VALUE"""),437099.0)</f>
        <v>437099</v>
      </c>
      <c r="O166" s="254">
        <f>IFERROR(__xludf.DUMMYFUNCTION("""COMPUTED_VALUE"""),34.0)</f>
        <v>34</v>
      </c>
      <c r="P166" s="254">
        <f>IFERROR(__xludf.DUMMYFUNCTION("""COMPUTED_VALUE"""),3507.0)</f>
        <v>3507</v>
      </c>
      <c r="Q166" s="254">
        <f>IFERROR(__xludf.DUMMYFUNCTION("""COMPUTED_VALUE"""),27.0)</f>
        <v>27</v>
      </c>
      <c r="R166" s="254">
        <f>IFERROR(__xludf.DUMMYFUNCTION("""COMPUTED_VALUE"""),2878.0)</f>
        <v>2878</v>
      </c>
      <c r="S166" s="254">
        <f>IFERROR(__xludf.DUMMYFUNCTION("""COMPUTED_VALUE"""),2.0)</f>
        <v>2</v>
      </c>
      <c r="T166" s="254">
        <f>IFERROR(__xludf.DUMMYFUNCTION("""COMPUTED_VALUE"""),410.0)</f>
        <v>410</v>
      </c>
      <c r="U166" s="254">
        <f>IFERROR(__xludf.DUMMYFUNCTION("""COMPUTED_VALUE"""),219.0)</f>
        <v>219</v>
      </c>
      <c r="V166" s="254">
        <f>IFERROR(__xludf.DUMMYFUNCTION("""COMPUTED_VALUE"""),213.0)</f>
        <v>213</v>
      </c>
      <c r="W166" s="254">
        <f>IFERROR(__xludf.DUMMYFUNCTION("""COMPUTED_VALUE"""),25.0)</f>
        <v>25</v>
      </c>
      <c r="X166" s="254">
        <f>IFERROR(__xludf.DUMMYFUNCTION("""COMPUTED_VALUE"""),12.0)</f>
        <v>12</v>
      </c>
      <c r="Y166" s="254">
        <f>IFERROR(__xludf.DUMMYFUNCTION("""COMPUTED_VALUE"""),4.0)</f>
        <v>4</v>
      </c>
      <c r="Z166" s="254">
        <f>IFERROR(__xludf.DUMMYFUNCTION("""COMPUTED_VALUE"""),1224.0)</f>
        <v>1224</v>
      </c>
    </row>
    <row r="167">
      <c r="A167" s="253">
        <f>IFERROR(__xludf.DUMMYFUNCTION("""COMPUTED_VALUE"""),44140.0)</f>
        <v>44140</v>
      </c>
      <c r="B167" s="254">
        <f>IFERROR(__xludf.DUMMYFUNCTION("""COMPUTED_VALUE"""),768.0)</f>
        <v>768</v>
      </c>
      <c r="C167" s="254">
        <f>IFERROR(__xludf.DUMMYFUNCTION("""COMPUTED_VALUE"""),686.0)</f>
        <v>686</v>
      </c>
      <c r="D167" s="254">
        <f>IFERROR(__xludf.DUMMYFUNCTION("""COMPUTED_VALUE"""),47928.0)</f>
        <v>47928</v>
      </c>
      <c r="E167" s="254">
        <f>IFERROR(__xludf.DUMMYFUNCTION("""COMPUTED_VALUE"""),16593.0)</f>
        <v>16593</v>
      </c>
      <c r="F167" s="185">
        <f>IFERROR(__xludf.DUMMYFUNCTION("""COMPUTED_VALUE"""),1172379.0)</f>
        <v>1172379</v>
      </c>
      <c r="G167" s="185">
        <f>IFERROR(__xludf.DUMMYFUNCTION("""COMPUTED_VALUE"""),17361.0)</f>
        <v>17361</v>
      </c>
      <c r="H167" s="185">
        <f>IFERROR(__xludf.DUMMYFUNCTION("""COMPUTED_VALUE"""),1220307.0)</f>
        <v>1220307</v>
      </c>
      <c r="I167" s="254">
        <f>IFERROR(__xludf.DUMMYFUNCTION("""COMPUTED_VALUE"""),682.0)</f>
        <v>682</v>
      </c>
      <c r="J167" s="254">
        <f>IFERROR(__xludf.DUMMYFUNCTION("""COMPUTED_VALUE"""),614.0)</f>
        <v>614</v>
      </c>
      <c r="K167" s="254">
        <f>IFERROR(__xludf.DUMMYFUNCTION("""COMPUTED_VALUE"""),36521.0)</f>
        <v>36521</v>
      </c>
      <c r="L167" s="254">
        <f>IFERROR(__xludf.DUMMYFUNCTION("""COMPUTED_VALUE"""),2799.0)</f>
        <v>2799</v>
      </c>
      <c r="M167" s="254">
        <f>IFERROR(__xludf.DUMMYFUNCTION("""COMPUTED_VALUE"""),404059.0)</f>
        <v>404059</v>
      </c>
      <c r="N167" s="254">
        <f>IFERROR(__xludf.DUMMYFUNCTION("""COMPUTED_VALUE"""),440580.0)</f>
        <v>440580</v>
      </c>
      <c r="O167" s="254">
        <f>IFERROR(__xludf.DUMMYFUNCTION("""COMPUTED_VALUE"""),46.0)</f>
        <v>46</v>
      </c>
      <c r="P167" s="254">
        <f>IFERROR(__xludf.DUMMYFUNCTION("""COMPUTED_VALUE"""),3553.0)</f>
        <v>3553</v>
      </c>
      <c r="Q167" s="254">
        <f>IFERROR(__xludf.DUMMYFUNCTION("""COMPUTED_VALUE"""),35.0)</f>
        <v>35</v>
      </c>
      <c r="R167" s="254">
        <f>IFERROR(__xludf.DUMMYFUNCTION("""COMPUTED_VALUE"""),2913.0)</f>
        <v>2913</v>
      </c>
      <c r="S167" s="254">
        <f>IFERROR(__xludf.DUMMYFUNCTION("""COMPUTED_VALUE"""),1.0)</f>
        <v>1</v>
      </c>
      <c r="T167" s="254">
        <f>IFERROR(__xludf.DUMMYFUNCTION("""COMPUTED_VALUE"""),411.0)</f>
        <v>411</v>
      </c>
      <c r="U167" s="254">
        <f>IFERROR(__xludf.DUMMYFUNCTION("""COMPUTED_VALUE"""),229.0)</f>
        <v>229</v>
      </c>
      <c r="V167" s="254">
        <f>IFERROR(__xludf.DUMMYFUNCTION("""COMPUTED_VALUE"""),221.0)</f>
        <v>221</v>
      </c>
      <c r="W167" s="254">
        <f>IFERROR(__xludf.DUMMYFUNCTION("""COMPUTED_VALUE"""),24.0)</f>
        <v>24</v>
      </c>
      <c r="X167" s="254">
        <f>IFERROR(__xludf.DUMMYFUNCTION("""COMPUTED_VALUE"""),14.0)</f>
        <v>14</v>
      </c>
      <c r="Y167" s="254">
        <f>IFERROR(__xludf.DUMMYFUNCTION("""COMPUTED_VALUE"""),3.0)</f>
        <v>3</v>
      </c>
      <c r="Z167" s="254">
        <f>IFERROR(__xludf.DUMMYFUNCTION("""COMPUTED_VALUE"""),1227.0)</f>
        <v>1227</v>
      </c>
    </row>
    <row r="168">
      <c r="A168" s="253">
        <f>IFERROR(__xludf.DUMMYFUNCTION("""COMPUTED_VALUE"""),44141.0)</f>
        <v>44141</v>
      </c>
      <c r="B168" s="254">
        <f>IFERROR(__xludf.DUMMYFUNCTION("""COMPUTED_VALUE"""),769.0)</f>
        <v>769</v>
      </c>
      <c r="C168" s="254">
        <f>IFERROR(__xludf.DUMMYFUNCTION("""COMPUTED_VALUE"""),742.0)</f>
        <v>742</v>
      </c>
      <c r="D168" s="254">
        <f>IFERROR(__xludf.DUMMYFUNCTION("""COMPUTED_VALUE"""),48697.0)</f>
        <v>48697</v>
      </c>
      <c r="E168" s="254">
        <f>IFERROR(__xludf.DUMMYFUNCTION("""COMPUTED_VALUE"""),16022.0)</f>
        <v>16022</v>
      </c>
      <c r="F168" s="185">
        <f>IFERROR(__xludf.DUMMYFUNCTION("""COMPUTED_VALUE"""),1188401.0)</f>
        <v>1188401</v>
      </c>
      <c r="G168" s="185">
        <f>IFERROR(__xludf.DUMMYFUNCTION("""COMPUTED_VALUE"""),16791.0)</f>
        <v>16791</v>
      </c>
      <c r="H168" s="185">
        <f>IFERROR(__xludf.DUMMYFUNCTION("""COMPUTED_VALUE"""),1237098.0)</f>
        <v>1237098</v>
      </c>
      <c r="I168" s="254">
        <f>IFERROR(__xludf.DUMMYFUNCTION("""COMPUTED_VALUE"""),691.0)</f>
        <v>691</v>
      </c>
      <c r="J168" s="254">
        <f>IFERROR(__xludf.DUMMYFUNCTION("""COMPUTED_VALUE"""),668.0)</f>
        <v>668</v>
      </c>
      <c r="K168" s="254">
        <f>IFERROR(__xludf.DUMMYFUNCTION("""COMPUTED_VALUE"""),37212.0)</f>
        <v>37212</v>
      </c>
      <c r="L168" s="254">
        <f>IFERROR(__xludf.DUMMYFUNCTION("""COMPUTED_VALUE"""),2990.0)</f>
        <v>2990</v>
      </c>
      <c r="M168" s="254">
        <f>IFERROR(__xludf.DUMMYFUNCTION("""COMPUTED_VALUE"""),407049.0)</f>
        <v>407049</v>
      </c>
      <c r="N168" s="254">
        <f>IFERROR(__xludf.DUMMYFUNCTION("""COMPUTED_VALUE"""),444261.0)</f>
        <v>444261</v>
      </c>
      <c r="O168" s="254">
        <f>IFERROR(__xludf.DUMMYFUNCTION("""COMPUTED_VALUE"""),43.0)</f>
        <v>43</v>
      </c>
      <c r="P168" s="254">
        <f>IFERROR(__xludf.DUMMYFUNCTION("""COMPUTED_VALUE"""),3596.0)</f>
        <v>3596</v>
      </c>
      <c r="Q168" s="254">
        <f>IFERROR(__xludf.DUMMYFUNCTION("""COMPUTED_VALUE"""),31.0)</f>
        <v>31</v>
      </c>
      <c r="R168" s="254">
        <f>IFERROR(__xludf.DUMMYFUNCTION("""COMPUTED_VALUE"""),2944.0)</f>
        <v>2944</v>
      </c>
      <c r="S168" s="254">
        <f>IFERROR(__xludf.DUMMYFUNCTION("""COMPUTED_VALUE"""),1.0)</f>
        <v>1</v>
      </c>
      <c r="T168" s="254">
        <f>IFERROR(__xludf.DUMMYFUNCTION("""COMPUTED_VALUE"""),412.0)</f>
        <v>412</v>
      </c>
      <c r="U168" s="254">
        <f>IFERROR(__xludf.DUMMYFUNCTION("""COMPUTED_VALUE"""),240.0)</f>
        <v>240</v>
      </c>
      <c r="V168" s="254">
        <f>IFERROR(__xludf.DUMMYFUNCTION("""COMPUTED_VALUE"""),229.0)</f>
        <v>229</v>
      </c>
      <c r="W168" s="254">
        <f>IFERROR(__xludf.DUMMYFUNCTION("""COMPUTED_VALUE"""),28.0)</f>
        <v>28</v>
      </c>
      <c r="X168" s="254">
        <f>IFERROR(__xludf.DUMMYFUNCTION("""COMPUTED_VALUE"""),17.0)</f>
        <v>17</v>
      </c>
      <c r="Y168" s="254">
        <f>IFERROR(__xludf.DUMMYFUNCTION("""COMPUTED_VALUE"""),5.0)</f>
        <v>5</v>
      </c>
      <c r="Z168" s="254">
        <f>IFERROR(__xludf.DUMMYFUNCTION("""COMPUTED_VALUE"""),1232.0)</f>
        <v>1232</v>
      </c>
    </row>
    <row r="169">
      <c r="A169" s="253">
        <f>IFERROR(__xludf.DUMMYFUNCTION("""COMPUTED_VALUE"""),44142.0)</f>
        <v>44142</v>
      </c>
      <c r="B169" s="254">
        <f>IFERROR(__xludf.DUMMYFUNCTION("""COMPUTED_VALUE"""),604.0)</f>
        <v>604</v>
      </c>
      <c r="C169" s="254">
        <f>IFERROR(__xludf.DUMMYFUNCTION("""COMPUTED_VALUE"""),714.0)</f>
        <v>714</v>
      </c>
      <c r="D169" s="254">
        <f>IFERROR(__xludf.DUMMYFUNCTION("""COMPUTED_VALUE"""),49301.0)</f>
        <v>49301</v>
      </c>
      <c r="E169" s="254">
        <f>IFERROR(__xludf.DUMMYFUNCTION("""COMPUTED_VALUE"""),13650.0)</f>
        <v>13650</v>
      </c>
      <c r="F169" s="185">
        <f>IFERROR(__xludf.DUMMYFUNCTION("""COMPUTED_VALUE"""),1202051.0)</f>
        <v>1202051</v>
      </c>
      <c r="G169" s="185">
        <f>IFERROR(__xludf.DUMMYFUNCTION("""COMPUTED_VALUE"""),14254.0)</f>
        <v>14254</v>
      </c>
      <c r="H169" s="185">
        <f>IFERROR(__xludf.DUMMYFUNCTION("""COMPUTED_VALUE"""),1251352.0)</f>
        <v>1251352</v>
      </c>
      <c r="I169" s="254">
        <f>IFERROR(__xludf.DUMMYFUNCTION("""COMPUTED_VALUE"""),576.0)</f>
        <v>576</v>
      </c>
      <c r="J169" s="254">
        <f>IFERROR(__xludf.DUMMYFUNCTION("""COMPUTED_VALUE"""),650.0)</f>
        <v>650</v>
      </c>
      <c r="K169" s="254">
        <f>IFERROR(__xludf.DUMMYFUNCTION("""COMPUTED_VALUE"""),37788.0)</f>
        <v>37788</v>
      </c>
      <c r="L169" s="254">
        <f>IFERROR(__xludf.DUMMYFUNCTION("""COMPUTED_VALUE"""),2420.0)</f>
        <v>2420</v>
      </c>
      <c r="M169" s="254">
        <f>IFERROR(__xludf.DUMMYFUNCTION("""COMPUTED_VALUE"""),409469.0)</f>
        <v>409469</v>
      </c>
      <c r="N169" s="254">
        <f>IFERROR(__xludf.DUMMYFUNCTION("""COMPUTED_VALUE"""),447257.0)</f>
        <v>447257</v>
      </c>
      <c r="O169" s="254">
        <f>IFERROR(__xludf.DUMMYFUNCTION("""COMPUTED_VALUE"""),34.0)</f>
        <v>34</v>
      </c>
      <c r="P169" s="254">
        <f>IFERROR(__xludf.DUMMYFUNCTION("""COMPUTED_VALUE"""),3630.0)</f>
        <v>3630</v>
      </c>
      <c r="Q169" s="254">
        <f>IFERROR(__xludf.DUMMYFUNCTION("""COMPUTED_VALUE"""),25.0)</f>
        <v>25</v>
      </c>
      <c r="R169" s="254">
        <f>IFERROR(__xludf.DUMMYFUNCTION("""COMPUTED_VALUE"""),2969.0)</f>
        <v>2969</v>
      </c>
      <c r="S169" s="254">
        <f>IFERROR(__xludf.DUMMYFUNCTION("""COMPUTED_VALUE"""),1.0)</f>
        <v>1</v>
      </c>
      <c r="T169" s="254">
        <f>IFERROR(__xludf.DUMMYFUNCTION("""COMPUTED_VALUE"""),413.0)</f>
        <v>413</v>
      </c>
      <c r="U169" s="254">
        <f>IFERROR(__xludf.DUMMYFUNCTION("""COMPUTED_VALUE"""),248.0)</f>
        <v>248</v>
      </c>
      <c r="V169" s="254">
        <f>IFERROR(__xludf.DUMMYFUNCTION("""COMPUTED_VALUE"""),239.0)</f>
        <v>239</v>
      </c>
      <c r="W169" s="254">
        <f>IFERROR(__xludf.DUMMYFUNCTION("""COMPUTED_VALUE"""),31.0)</f>
        <v>31</v>
      </c>
      <c r="X169" s="254">
        <f>IFERROR(__xludf.DUMMYFUNCTION("""COMPUTED_VALUE"""),18.0)</f>
        <v>18</v>
      </c>
      <c r="Y169" s="254">
        <f>IFERROR(__xludf.DUMMYFUNCTION("""COMPUTED_VALUE"""),1.0)</f>
        <v>1</v>
      </c>
      <c r="Z169" s="254">
        <f>IFERROR(__xludf.DUMMYFUNCTION("""COMPUTED_VALUE"""),1233.0)</f>
        <v>1233</v>
      </c>
    </row>
    <row r="170">
      <c r="A170" s="253">
        <f>IFERROR(__xludf.DUMMYFUNCTION("""COMPUTED_VALUE"""),44143.0)</f>
        <v>44143</v>
      </c>
      <c r="B170" s="254">
        <f>IFERROR(__xludf.DUMMYFUNCTION("""COMPUTED_VALUE"""),337.0)</f>
        <v>337</v>
      </c>
      <c r="C170" s="254">
        <f>IFERROR(__xludf.DUMMYFUNCTION("""COMPUTED_VALUE"""),570.0)</f>
        <v>570</v>
      </c>
      <c r="D170" s="254">
        <f>IFERROR(__xludf.DUMMYFUNCTION("""COMPUTED_VALUE"""),49638.0)</f>
        <v>49638</v>
      </c>
      <c r="E170" s="254">
        <f>IFERROR(__xludf.DUMMYFUNCTION("""COMPUTED_VALUE"""),4160.0)</f>
        <v>4160</v>
      </c>
      <c r="F170" s="185">
        <f>IFERROR(__xludf.DUMMYFUNCTION("""COMPUTED_VALUE"""),1206211.0)</f>
        <v>1206211</v>
      </c>
      <c r="G170" s="185">
        <f>IFERROR(__xludf.DUMMYFUNCTION("""COMPUTED_VALUE"""),4497.0)</f>
        <v>4497</v>
      </c>
      <c r="H170" s="185">
        <f>IFERROR(__xludf.DUMMYFUNCTION("""COMPUTED_VALUE"""),1255849.0)</f>
        <v>1255849</v>
      </c>
      <c r="I170" s="254">
        <f>IFERROR(__xludf.DUMMYFUNCTION("""COMPUTED_VALUE"""),321.0)</f>
        <v>321</v>
      </c>
      <c r="J170" s="254">
        <f>IFERROR(__xludf.DUMMYFUNCTION("""COMPUTED_VALUE"""),529.0)</f>
        <v>529</v>
      </c>
      <c r="K170" s="254">
        <f>IFERROR(__xludf.DUMMYFUNCTION("""COMPUTED_VALUE"""),38109.0)</f>
        <v>38109</v>
      </c>
      <c r="L170" s="254">
        <f>IFERROR(__xludf.DUMMYFUNCTION("""COMPUTED_VALUE"""),1255.0)</f>
        <v>1255</v>
      </c>
      <c r="M170" s="254">
        <f>IFERROR(__xludf.DUMMYFUNCTION("""COMPUTED_VALUE"""),410724.0)</f>
        <v>410724</v>
      </c>
      <c r="N170" s="254">
        <f>IFERROR(__xludf.DUMMYFUNCTION("""COMPUTED_VALUE"""),448833.0)</f>
        <v>448833</v>
      </c>
      <c r="O170" s="254">
        <f>IFERROR(__xludf.DUMMYFUNCTION("""COMPUTED_VALUE"""),33.0)</f>
        <v>33</v>
      </c>
      <c r="P170" s="254">
        <f>IFERROR(__xludf.DUMMYFUNCTION("""COMPUTED_VALUE"""),3663.0)</f>
        <v>3663</v>
      </c>
      <c r="Q170" s="254">
        <f>IFERROR(__xludf.DUMMYFUNCTION("""COMPUTED_VALUE"""),26.0)</f>
        <v>26</v>
      </c>
      <c r="R170" s="254">
        <f>IFERROR(__xludf.DUMMYFUNCTION("""COMPUTED_VALUE"""),2995.0)</f>
        <v>2995</v>
      </c>
      <c r="S170" s="254">
        <f>IFERROR(__xludf.DUMMYFUNCTION("""COMPUTED_VALUE"""),1.0)</f>
        <v>1</v>
      </c>
      <c r="T170" s="254">
        <f>IFERROR(__xludf.DUMMYFUNCTION("""COMPUTED_VALUE"""),414.0)</f>
        <v>414</v>
      </c>
      <c r="U170" s="254">
        <f>IFERROR(__xludf.DUMMYFUNCTION("""COMPUTED_VALUE"""),254.0)</f>
        <v>254</v>
      </c>
      <c r="V170" s="254">
        <f>IFERROR(__xludf.DUMMYFUNCTION("""COMPUTED_VALUE"""),247.0)</f>
        <v>247</v>
      </c>
      <c r="W170" s="254">
        <f>IFERROR(__xludf.DUMMYFUNCTION("""COMPUTED_VALUE"""),30.0)</f>
        <v>30</v>
      </c>
      <c r="X170" s="254">
        <f>IFERROR(__xludf.DUMMYFUNCTION("""COMPUTED_VALUE"""),19.0)</f>
        <v>19</v>
      </c>
      <c r="Y170" s="254">
        <f>IFERROR(__xludf.DUMMYFUNCTION("""COMPUTED_VALUE"""),4.0)</f>
        <v>4</v>
      </c>
      <c r="Z170" s="254">
        <f>IFERROR(__xludf.DUMMYFUNCTION("""COMPUTED_VALUE"""),1237.0)</f>
        <v>1237</v>
      </c>
    </row>
    <row r="171">
      <c r="A171" s="253">
        <f>IFERROR(__xludf.DUMMYFUNCTION("""COMPUTED_VALUE"""),44144.0)</f>
        <v>44144</v>
      </c>
      <c r="B171" s="254">
        <f>IFERROR(__xludf.DUMMYFUNCTION("""COMPUTED_VALUE"""),807.0)</f>
        <v>807</v>
      </c>
      <c r="C171" s="254">
        <f>IFERROR(__xludf.DUMMYFUNCTION("""COMPUTED_VALUE"""),583.0)</f>
        <v>583</v>
      </c>
      <c r="D171" s="254">
        <f>IFERROR(__xludf.DUMMYFUNCTION("""COMPUTED_VALUE"""),50445.0)</f>
        <v>50445</v>
      </c>
      <c r="E171" s="254">
        <f>IFERROR(__xludf.DUMMYFUNCTION("""COMPUTED_VALUE"""),9040.0)</f>
        <v>9040</v>
      </c>
      <c r="F171" s="185">
        <f>IFERROR(__xludf.DUMMYFUNCTION("""COMPUTED_VALUE"""),1215251.0)</f>
        <v>1215251</v>
      </c>
      <c r="G171" s="185">
        <f>IFERROR(__xludf.DUMMYFUNCTION("""COMPUTED_VALUE"""),9847.0)</f>
        <v>9847</v>
      </c>
      <c r="H171" s="185">
        <f>IFERROR(__xludf.DUMMYFUNCTION("""COMPUTED_VALUE"""),1265696.0)</f>
        <v>1265696</v>
      </c>
      <c r="I171" s="254">
        <f>IFERROR(__xludf.DUMMYFUNCTION("""COMPUTED_VALUE"""),763.0)</f>
        <v>763</v>
      </c>
      <c r="J171" s="254">
        <f>IFERROR(__xludf.DUMMYFUNCTION("""COMPUTED_VALUE"""),553.0)</f>
        <v>553</v>
      </c>
      <c r="K171" s="254">
        <f>IFERROR(__xludf.DUMMYFUNCTION("""COMPUTED_VALUE"""),38872.0)</f>
        <v>38872</v>
      </c>
      <c r="L171" s="254">
        <f>IFERROR(__xludf.DUMMYFUNCTION("""COMPUTED_VALUE"""),2280.0)</f>
        <v>2280</v>
      </c>
      <c r="M171" s="254">
        <f>IFERROR(__xludf.DUMMYFUNCTION("""COMPUTED_VALUE"""),413004.0)</f>
        <v>413004</v>
      </c>
      <c r="N171" s="254">
        <f>IFERROR(__xludf.DUMMYFUNCTION("""COMPUTED_VALUE"""),451876.0)</f>
        <v>451876</v>
      </c>
      <c r="O171" s="254">
        <f>IFERROR(__xludf.DUMMYFUNCTION("""COMPUTED_VALUE"""),40.0)</f>
        <v>40</v>
      </c>
      <c r="P171" s="254">
        <f>IFERROR(__xludf.DUMMYFUNCTION("""COMPUTED_VALUE"""),3703.0)</f>
        <v>3703</v>
      </c>
      <c r="Q171" s="254">
        <f>IFERROR(__xludf.DUMMYFUNCTION("""COMPUTED_VALUE"""),33.0)</f>
        <v>33</v>
      </c>
      <c r="R171" s="254">
        <f>IFERROR(__xludf.DUMMYFUNCTION("""COMPUTED_VALUE"""),3028.0)</f>
        <v>3028</v>
      </c>
      <c r="S171" s="254">
        <f>IFERROR(__xludf.DUMMYFUNCTION("""COMPUTED_VALUE"""),2.0)</f>
        <v>2</v>
      </c>
      <c r="T171" s="254">
        <f>IFERROR(__xludf.DUMMYFUNCTION("""COMPUTED_VALUE"""),416.0)</f>
        <v>416</v>
      </c>
      <c r="U171" s="254">
        <f>IFERROR(__xludf.DUMMYFUNCTION("""COMPUTED_VALUE"""),259.0)</f>
        <v>259</v>
      </c>
      <c r="V171" s="254">
        <f>IFERROR(__xludf.DUMMYFUNCTION("""COMPUTED_VALUE"""),254.0)</f>
        <v>254</v>
      </c>
      <c r="W171" s="254">
        <f>IFERROR(__xludf.DUMMYFUNCTION("""COMPUTED_VALUE"""),28.0)</f>
        <v>28</v>
      </c>
      <c r="X171" s="254">
        <f>IFERROR(__xludf.DUMMYFUNCTION("""COMPUTED_VALUE"""),18.0)</f>
        <v>18</v>
      </c>
      <c r="Y171" s="254">
        <f>IFERROR(__xludf.DUMMYFUNCTION("""COMPUTED_VALUE"""),3.0)</f>
        <v>3</v>
      </c>
      <c r="Z171" s="254">
        <f>IFERROR(__xludf.DUMMYFUNCTION("""COMPUTED_VALUE"""),1240.0)</f>
        <v>1240</v>
      </c>
    </row>
    <row r="172">
      <c r="A172" s="253">
        <f>IFERROR(__xludf.DUMMYFUNCTION("""COMPUTED_VALUE"""),44145.0)</f>
        <v>44145</v>
      </c>
      <c r="B172" s="254">
        <f>IFERROR(__xludf.DUMMYFUNCTION("""COMPUTED_VALUE"""),1053.0)</f>
        <v>1053</v>
      </c>
      <c r="C172" s="254">
        <f>IFERROR(__xludf.DUMMYFUNCTION("""COMPUTED_VALUE"""),732.0)</f>
        <v>732</v>
      </c>
      <c r="D172" s="254">
        <f>IFERROR(__xludf.DUMMYFUNCTION("""COMPUTED_VALUE"""),51498.0)</f>
        <v>51498</v>
      </c>
      <c r="E172" s="254">
        <f>IFERROR(__xludf.DUMMYFUNCTION("""COMPUTED_VALUE"""),12982.0)</f>
        <v>12982</v>
      </c>
      <c r="F172" s="185">
        <f>IFERROR(__xludf.DUMMYFUNCTION("""COMPUTED_VALUE"""),1228233.0)</f>
        <v>1228233</v>
      </c>
      <c r="G172" s="185">
        <f>IFERROR(__xludf.DUMMYFUNCTION("""COMPUTED_VALUE"""),14035.0)</f>
        <v>14035</v>
      </c>
      <c r="H172" s="185">
        <f>IFERROR(__xludf.DUMMYFUNCTION("""COMPUTED_VALUE"""),1279731.0)</f>
        <v>1279731</v>
      </c>
      <c r="I172" s="254">
        <f>IFERROR(__xludf.DUMMYFUNCTION("""COMPUTED_VALUE"""),979.0)</f>
        <v>979</v>
      </c>
      <c r="J172" s="254">
        <f>IFERROR(__xludf.DUMMYFUNCTION("""COMPUTED_VALUE"""),688.0)</f>
        <v>688</v>
      </c>
      <c r="K172" s="254">
        <f>IFERROR(__xludf.DUMMYFUNCTION("""COMPUTED_VALUE"""),39851.0)</f>
        <v>39851</v>
      </c>
      <c r="L172" s="254">
        <f>IFERROR(__xludf.DUMMYFUNCTION("""COMPUTED_VALUE"""),2846.0)</f>
        <v>2846</v>
      </c>
      <c r="M172" s="254">
        <f>IFERROR(__xludf.DUMMYFUNCTION("""COMPUTED_VALUE"""),415850.0)</f>
        <v>415850</v>
      </c>
      <c r="N172" s="254">
        <f>IFERROR(__xludf.DUMMYFUNCTION("""COMPUTED_VALUE"""),455701.0)</f>
        <v>455701</v>
      </c>
      <c r="O172" s="254">
        <f>IFERROR(__xludf.DUMMYFUNCTION("""COMPUTED_VALUE"""),45.0)</f>
        <v>45</v>
      </c>
      <c r="P172" s="254">
        <f>IFERROR(__xludf.DUMMYFUNCTION("""COMPUTED_VALUE"""),3748.0)</f>
        <v>3748</v>
      </c>
      <c r="Q172" s="254">
        <f>IFERROR(__xludf.DUMMYFUNCTION("""COMPUTED_VALUE"""),37.0)</f>
        <v>37</v>
      </c>
      <c r="R172" s="254">
        <f>IFERROR(__xludf.DUMMYFUNCTION("""COMPUTED_VALUE"""),3065.0)</f>
        <v>3065</v>
      </c>
      <c r="S172" s="254">
        <f>IFERROR(__xludf.DUMMYFUNCTION("""COMPUTED_VALUE"""),0.0)</f>
        <v>0</v>
      </c>
      <c r="T172" s="254">
        <f>IFERROR(__xludf.DUMMYFUNCTION("""COMPUTED_VALUE"""),416.0)</f>
        <v>416</v>
      </c>
      <c r="U172" s="254">
        <f>IFERROR(__xludf.DUMMYFUNCTION("""COMPUTED_VALUE"""),267.0)</f>
        <v>267</v>
      </c>
      <c r="V172" s="254">
        <f>IFERROR(__xludf.DUMMYFUNCTION("""COMPUTED_VALUE"""),260.0)</f>
        <v>260</v>
      </c>
      <c r="W172" s="254">
        <f>IFERROR(__xludf.DUMMYFUNCTION("""COMPUTED_VALUE"""),31.0)</f>
        <v>31</v>
      </c>
      <c r="X172" s="254">
        <f>IFERROR(__xludf.DUMMYFUNCTION("""COMPUTED_VALUE"""),18.0)</f>
        <v>18</v>
      </c>
      <c r="Y172" s="254">
        <f>IFERROR(__xludf.DUMMYFUNCTION("""COMPUTED_VALUE"""),6.0)</f>
        <v>6</v>
      </c>
      <c r="Z172" s="254">
        <f>IFERROR(__xludf.DUMMYFUNCTION("""COMPUTED_VALUE"""),1246.0)</f>
        <v>1246</v>
      </c>
    </row>
    <row r="173">
      <c r="A173" s="253">
        <f>IFERROR(__xludf.DUMMYFUNCTION("""COMPUTED_VALUE"""),44146.0)</f>
        <v>44146</v>
      </c>
      <c r="B173" s="254">
        <f>IFERROR(__xludf.DUMMYFUNCTION("""COMPUTED_VALUE"""),1087.0)</f>
        <v>1087</v>
      </c>
      <c r="C173" s="254">
        <f>IFERROR(__xludf.DUMMYFUNCTION("""COMPUTED_VALUE"""),982.0)</f>
        <v>982</v>
      </c>
      <c r="D173" s="254">
        <f>IFERROR(__xludf.DUMMYFUNCTION("""COMPUTED_VALUE"""),52585.0)</f>
        <v>52585</v>
      </c>
      <c r="E173" s="254">
        <f>IFERROR(__xludf.DUMMYFUNCTION("""COMPUTED_VALUE"""),19741.0)</f>
        <v>19741</v>
      </c>
      <c r="F173" s="185">
        <f>IFERROR(__xludf.DUMMYFUNCTION("""COMPUTED_VALUE"""),1247974.0)</f>
        <v>1247974</v>
      </c>
      <c r="G173" s="185">
        <f>IFERROR(__xludf.DUMMYFUNCTION("""COMPUTED_VALUE"""),20828.0)</f>
        <v>20828</v>
      </c>
      <c r="H173" s="185">
        <f>IFERROR(__xludf.DUMMYFUNCTION("""COMPUTED_VALUE"""),1300559.0)</f>
        <v>1300559</v>
      </c>
      <c r="I173" s="254">
        <f>IFERROR(__xludf.DUMMYFUNCTION("""COMPUTED_VALUE"""),1001.0)</f>
        <v>1001</v>
      </c>
      <c r="J173" s="254">
        <f>IFERROR(__xludf.DUMMYFUNCTION("""COMPUTED_VALUE"""),914.0)</f>
        <v>914</v>
      </c>
      <c r="K173" s="254">
        <f>IFERROR(__xludf.DUMMYFUNCTION("""COMPUTED_VALUE"""),40852.0)</f>
        <v>40852</v>
      </c>
      <c r="L173" s="254">
        <f>IFERROR(__xludf.DUMMYFUNCTION("""COMPUTED_VALUE"""),2639.0)</f>
        <v>2639</v>
      </c>
      <c r="M173" s="254">
        <f>IFERROR(__xludf.DUMMYFUNCTION("""COMPUTED_VALUE"""),418489.0)</f>
        <v>418489</v>
      </c>
      <c r="N173" s="254">
        <f>IFERROR(__xludf.DUMMYFUNCTION("""COMPUTED_VALUE"""),459341.0)</f>
        <v>459341</v>
      </c>
      <c r="O173" s="254">
        <f>IFERROR(__xludf.DUMMYFUNCTION("""COMPUTED_VALUE"""),42.0)</f>
        <v>42</v>
      </c>
      <c r="P173" s="254">
        <f>IFERROR(__xludf.DUMMYFUNCTION("""COMPUTED_VALUE"""),3790.0)</f>
        <v>3790</v>
      </c>
      <c r="Q173" s="254">
        <f>IFERROR(__xludf.DUMMYFUNCTION("""COMPUTED_VALUE"""),24.0)</f>
        <v>24</v>
      </c>
      <c r="R173" s="254">
        <f>IFERROR(__xludf.DUMMYFUNCTION("""COMPUTED_VALUE"""),3089.0)</f>
        <v>3089</v>
      </c>
      <c r="S173" s="254">
        <f>IFERROR(__xludf.DUMMYFUNCTION("""COMPUTED_VALUE"""),5.0)</f>
        <v>5</v>
      </c>
      <c r="T173" s="254">
        <f>IFERROR(__xludf.DUMMYFUNCTION("""COMPUTED_VALUE"""),421.0)</f>
        <v>421</v>
      </c>
      <c r="U173" s="254">
        <f>IFERROR(__xludf.DUMMYFUNCTION("""COMPUTED_VALUE"""),280.0)</f>
        <v>280</v>
      </c>
      <c r="V173" s="254">
        <f>IFERROR(__xludf.DUMMYFUNCTION("""COMPUTED_VALUE"""),269.0)</f>
        <v>269</v>
      </c>
      <c r="W173" s="254">
        <f>IFERROR(__xludf.DUMMYFUNCTION("""COMPUTED_VALUE"""),30.0)</f>
        <v>30</v>
      </c>
      <c r="X173" s="254">
        <f>IFERROR(__xludf.DUMMYFUNCTION("""COMPUTED_VALUE"""),15.0)</f>
        <v>15</v>
      </c>
      <c r="Y173" s="254">
        <f>IFERROR(__xludf.DUMMYFUNCTION("""COMPUTED_VALUE"""),7.0)</f>
        <v>7</v>
      </c>
      <c r="Z173" s="254">
        <f>IFERROR(__xludf.DUMMYFUNCTION("""COMPUTED_VALUE"""),1253.0)</f>
        <v>1253</v>
      </c>
    </row>
    <row r="174">
      <c r="A174" s="253">
        <f>IFERROR(__xludf.DUMMYFUNCTION("""COMPUTED_VALUE"""),44147.0)</f>
        <v>44147</v>
      </c>
      <c r="B174" s="254">
        <f>IFERROR(__xludf.DUMMYFUNCTION("""COMPUTED_VALUE"""),893.0)</f>
        <v>893</v>
      </c>
      <c r="C174" s="254">
        <f>IFERROR(__xludf.DUMMYFUNCTION("""COMPUTED_VALUE"""),1011.0)</f>
        <v>1011</v>
      </c>
      <c r="D174" s="254">
        <f>IFERROR(__xludf.DUMMYFUNCTION("""COMPUTED_VALUE"""),53478.0)</f>
        <v>53478</v>
      </c>
      <c r="E174" s="254">
        <f>IFERROR(__xludf.DUMMYFUNCTION("""COMPUTED_VALUE"""),13902.0)</f>
        <v>13902</v>
      </c>
      <c r="F174" s="185">
        <f>IFERROR(__xludf.DUMMYFUNCTION("""COMPUTED_VALUE"""),1261876.0)</f>
        <v>1261876</v>
      </c>
      <c r="G174" s="185">
        <f>IFERROR(__xludf.DUMMYFUNCTION("""COMPUTED_VALUE"""),14795.0)</f>
        <v>14795</v>
      </c>
      <c r="H174" s="185">
        <f>IFERROR(__xludf.DUMMYFUNCTION("""COMPUTED_VALUE"""),1315354.0)</f>
        <v>1315354</v>
      </c>
      <c r="I174" s="254">
        <f>IFERROR(__xludf.DUMMYFUNCTION("""COMPUTED_VALUE"""),811.0)</f>
        <v>811</v>
      </c>
      <c r="J174" s="254">
        <f>IFERROR(__xludf.DUMMYFUNCTION("""COMPUTED_VALUE"""),930.0)</f>
        <v>930</v>
      </c>
      <c r="K174" s="254">
        <f>IFERROR(__xludf.DUMMYFUNCTION("""COMPUTED_VALUE"""),41663.0)</f>
        <v>41663</v>
      </c>
      <c r="L174" s="254">
        <f>IFERROR(__xludf.DUMMYFUNCTION("""COMPUTED_VALUE"""),2170.0)</f>
        <v>2170</v>
      </c>
      <c r="M174" s="254">
        <f>IFERROR(__xludf.DUMMYFUNCTION("""COMPUTED_VALUE"""),420659.0)</f>
        <v>420659</v>
      </c>
      <c r="N174" s="254">
        <f>IFERROR(__xludf.DUMMYFUNCTION("""COMPUTED_VALUE"""),462322.0)</f>
        <v>462322</v>
      </c>
      <c r="O174" s="254">
        <f>IFERROR(__xludf.DUMMYFUNCTION("""COMPUTED_VALUE"""),39.0)</f>
        <v>39</v>
      </c>
      <c r="P174" s="254">
        <f>IFERROR(__xludf.DUMMYFUNCTION("""COMPUTED_VALUE"""),3829.0)</f>
        <v>3829</v>
      </c>
      <c r="Q174" s="254">
        <f>IFERROR(__xludf.DUMMYFUNCTION("""COMPUTED_VALUE"""),31.0)</f>
        <v>31</v>
      </c>
      <c r="R174" s="254">
        <f>IFERROR(__xludf.DUMMYFUNCTION("""COMPUTED_VALUE"""),3120.0)</f>
        <v>3120</v>
      </c>
      <c r="S174" s="254">
        <f>IFERROR(__xludf.DUMMYFUNCTION("""COMPUTED_VALUE"""),3.0)</f>
        <v>3</v>
      </c>
      <c r="T174" s="254">
        <f>IFERROR(__xludf.DUMMYFUNCTION("""COMPUTED_VALUE"""),424.0)</f>
        <v>424</v>
      </c>
      <c r="U174" s="254">
        <f>IFERROR(__xludf.DUMMYFUNCTION("""COMPUTED_VALUE"""),285.0)</f>
        <v>285</v>
      </c>
      <c r="V174" s="254">
        <f>IFERROR(__xludf.DUMMYFUNCTION("""COMPUTED_VALUE"""),277.0)</f>
        <v>277</v>
      </c>
      <c r="W174" s="254">
        <f>IFERROR(__xludf.DUMMYFUNCTION("""COMPUTED_VALUE"""),28.0)</f>
        <v>28</v>
      </c>
      <c r="X174" s="254">
        <f>IFERROR(__xludf.DUMMYFUNCTION("""COMPUTED_VALUE"""),15.0)</f>
        <v>15</v>
      </c>
      <c r="Y174" s="254">
        <f>IFERROR(__xludf.DUMMYFUNCTION("""COMPUTED_VALUE"""),5.0)</f>
        <v>5</v>
      </c>
      <c r="Z174" s="254">
        <f>IFERROR(__xludf.DUMMYFUNCTION("""COMPUTED_VALUE"""),1258.0)</f>
        <v>1258</v>
      </c>
    </row>
    <row r="175">
      <c r="A175" s="253">
        <f>IFERROR(__xludf.DUMMYFUNCTION("""COMPUTED_VALUE"""),44148.0)</f>
        <v>44148</v>
      </c>
      <c r="B175" s="254">
        <f>IFERROR(__xludf.DUMMYFUNCTION("""COMPUTED_VALUE"""),1165.0)</f>
        <v>1165</v>
      </c>
      <c r="C175" s="254">
        <f>IFERROR(__xludf.DUMMYFUNCTION("""COMPUTED_VALUE"""),1048.0)</f>
        <v>1048</v>
      </c>
      <c r="D175" s="254">
        <f>IFERROR(__xludf.DUMMYFUNCTION("""COMPUTED_VALUE"""),54643.0)</f>
        <v>54643</v>
      </c>
      <c r="E175" s="254">
        <f>IFERROR(__xludf.DUMMYFUNCTION("""COMPUTED_VALUE"""),16390.0)</f>
        <v>16390</v>
      </c>
      <c r="F175" s="185">
        <f>IFERROR(__xludf.DUMMYFUNCTION("""COMPUTED_VALUE"""),1278266.0)</f>
        <v>1278266</v>
      </c>
      <c r="G175" s="185">
        <f>IFERROR(__xludf.DUMMYFUNCTION("""COMPUTED_VALUE"""),17555.0)</f>
        <v>17555</v>
      </c>
      <c r="H175" s="185">
        <f>IFERROR(__xludf.DUMMYFUNCTION("""COMPUTED_VALUE"""),1332909.0)</f>
        <v>1332909</v>
      </c>
      <c r="I175" s="254">
        <f>IFERROR(__xludf.DUMMYFUNCTION("""COMPUTED_VALUE"""),1115.0)</f>
        <v>1115</v>
      </c>
      <c r="J175" s="254">
        <f>IFERROR(__xludf.DUMMYFUNCTION("""COMPUTED_VALUE"""),976.0)</f>
        <v>976</v>
      </c>
      <c r="K175" s="254">
        <f>IFERROR(__xludf.DUMMYFUNCTION("""COMPUTED_VALUE"""),42778.0)</f>
        <v>42778</v>
      </c>
      <c r="L175" s="254">
        <f>IFERROR(__xludf.DUMMYFUNCTION("""COMPUTED_VALUE"""),3067.0)</f>
        <v>3067</v>
      </c>
      <c r="M175" s="254">
        <f>IFERROR(__xludf.DUMMYFUNCTION("""COMPUTED_VALUE"""),423726.0)</f>
        <v>423726</v>
      </c>
      <c r="N175" s="254">
        <f>IFERROR(__xludf.DUMMYFUNCTION("""COMPUTED_VALUE"""),466504.0)</f>
        <v>466504</v>
      </c>
      <c r="O175" s="254">
        <f>IFERROR(__xludf.DUMMYFUNCTION("""COMPUTED_VALUE"""),39.0)</f>
        <v>39</v>
      </c>
      <c r="P175" s="254">
        <f>IFERROR(__xludf.DUMMYFUNCTION("""COMPUTED_VALUE"""),3868.0)</f>
        <v>3868</v>
      </c>
      <c r="Q175" s="254">
        <f>IFERROR(__xludf.DUMMYFUNCTION("""COMPUTED_VALUE"""),31.0)</f>
        <v>31</v>
      </c>
      <c r="R175" s="254">
        <f>IFERROR(__xludf.DUMMYFUNCTION("""COMPUTED_VALUE"""),3151.0)</f>
        <v>3151</v>
      </c>
      <c r="S175" s="254">
        <f>IFERROR(__xludf.DUMMYFUNCTION("""COMPUTED_VALUE"""),0.0)</f>
        <v>0</v>
      </c>
      <c r="T175" s="254">
        <f>IFERROR(__xludf.DUMMYFUNCTION("""COMPUTED_VALUE"""),424.0)</f>
        <v>424</v>
      </c>
      <c r="U175" s="254">
        <f>IFERROR(__xludf.DUMMYFUNCTION("""COMPUTED_VALUE"""),293.0)</f>
        <v>293</v>
      </c>
      <c r="V175" s="254">
        <f>IFERROR(__xludf.DUMMYFUNCTION("""COMPUTED_VALUE"""),286.0)</f>
        <v>286</v>
      </c>
      <c r="W175" s="254">
        <f>IFERROR(__xludf.DUMMYFUNCTION("""COMPUTED_VALUE"""),27.0)</f>
        <v>27</v>
      </c>
      <c r="X175" s="254">
        <f>IFERROR(__xludf.DUMMYFUNCTION("""COMPUTED_VALUE"""),15.0)</f>
        <v>15</v>
      </c>
      <c r="Y175" s="254">
        <f>IFERROR(__xludf.DUMMYFUNCTION("""COMPUTED_VALUE"""),2.0)</f>
        <v>2</v>
      </c>
      <c r="Z175" s="254">
        <f>IFERROR(__xludf.DUMMYFUNCTION("""COMPUTED_VALUE"""),1260.0)</f>
        <v>1260</v>
      </c>
    </row>
    <row r="176">
      <c r="A176" s="253">
        <f>IFERROR(__xludf.DUMMYFUNCTION("""COMPUTED_VALUE"""),44149.0)</f>
        <v>44149</v>
      </c>
      <c r="B176" s="254">
        <f>IFERROR(__xludf.DUMMYFUNCTION("""COMPUTED_VALUE"""),782.0)</f>
        <v>782</v>
      </c>
      <c r="C176" s="254">
        <f>IFERROR(__xludf.DUMMYFUNCTION("""COMPUTED_VALUE"""),947.0)</f>
        <v>947</v>
      </c>
      <c r="D176" s="254">
        <f>IFERROR(__xludf.DUMMYFUNCTION("""COMPUTED_VALUE"""),55425.0)</f>
        <v>55425</v>
      </c>
      <c r="E176" s="254">
        <f>IFERROR(__xludf.DUMMYFUNCTION("""COMPUTED_VALUE"""),13517.0)</f>
        <v>13517</v>
      </c>
      <c r="F176" s="185">
        <f>IFERROR(__xludf.DUMMYFUNCTION("""COMPUTED_VALUE"""),1291783.0)</f>
        <v>1291783</v>
      </c>
      <c r="G176" s="185">
        <f>IFERROR(__xludf.DUMMYFUNCTION("""COMPUTED_VALUE"""),14299.0)</f>
        <v>14299</v>
      </c>
      <c r="H176" s="185">
        <f>IFERROR(__xludf.DUMMYFUNCTION("""COMPUTED_VALUE"""),1347208.0)</f>
        <v>1347208</v>
      </c>
      <c r="I176" s="254">
        <f>IFERROR(__xludf.DUMMYFUNCTION("""COMPUTED_VALUE"""),738.0)</f>
        <v>738</v>
      </c>
      <c r="J176" s="254">
        <f>IFERROR(__xludf.DUMMYFUNCTION("""COMPUTED_VALUE"""),888.0)</f>
        <v>888</v>
      </c>
      <c r="K176" s="254">
        <f>IFERROR(__xludf.DUMMYFUNCTION("""COMPUTED_VALUE"""),43516.0)</f>
        <v>43516</v>
      </c>
      <c r="L176" s="254">
        <f>IFERROR(__xludf.DUMMYFUNCTION("""COMPUTED_VALUE"""),2436.0)</f>
        <v>2436</v>
      </c>
      <c r="M176" s="254">
        <f>IFERROR(__xludf.DUMMYFUNCTION("""COMPUTED_VALUE"""),426162.0)</f>
        <v>426162</v>
      </c>
      <c r="N176" s="254">
        <f>IFERROR(__xludf.DUMMYFUNCTION("""COMPUTED_VALUE"""),469678.0)</f>
        <v>469678</v>
      </c>
      <c r="O176" s="254">
        <f>IFERROR(__xludf.DUMMYFUNCTION("""COMPUTED_VALUE"""),42.0)</f>
        <v>42</v>
      </c>
      <c r="P176" s="254">
        <f>IFERROR(__xludf.DUMMYFUNCTION("""COMPUTED_VALUE"""),3910.0)</f>
        <v>3910</v>
      </c>
      <c r="Q176" s="254">
        <f>IFERROR(__xludf.DUMMYFUNCTION("""COMPUTED_VALUE"""),26.0)</f>
        <v>26</v>
      </c>
      <c r="R176" s="254">
        <f>IFERROR(__xludf.DUMMYFUNCTION("""COMPUTED_VALUE"""),3177.0)</f>
        <v>3177</v>
      </c>
      <c r="S176" s="254">
        <f>IFERROR(__xludf.DUMMYFUNCTION("""COMPUTED_VALUE"""),5.0)</f>
        <v>5</v>
      </c>
      <c r="T176" s="254">
        <f>IFERROR(__xludf.DUMMYFUNCTION("""COMPUTED_VALUE"""),429.0)</f>
        <v>429</v>
      </c>
      <c r="U176" s="254">
        <f>IFERROR(__xludf.DUMMYFUNCTION("""COMPUTED_VALUE"""),304.0)</f>
        <v>304</v>
      </c>
      <c r="V176" s="254">
        <f>IFERROR(__xludf.DUMMYFUNCTION("""COMPUTED_VALUE"""),294.0)</f>
        <v>294</v>
      </c>
      <c r="W176" s="254">
        <f>IFERROR(__xludf.DUMMYFUNCTION("""COMPUTED_VALUE"""),25.0)</f>
        <v>25</v>
      </c>
      <c r="X176" s="254">
        <f>IFERROR(__xludf.DUMMYFUNCTION("""COMPUTED_VALUE"""),13.0)</f>
        <v>13</v>
      </c>
      <c r="Y176" s="254">
        <f>IFERROR(__xludf.DUMMYFUNCTION("""COMPUTED_VALUE"""),10.0)</f>
        <v>10</v>
      </c>
      <c r="Z176" s="254">
        <f>IFERROR(__xludf.DUMMYFUNCTION("""COMPUTED_VALUE"""),1270.0)</f>
        <v>1270</v>
      </c>
    </row>
    <row r="177">
      <c r="A177" s="253">
        <f>IFERROR(__xludf.DUMMYFUNCTION("""COMPUTED_VALUE"""),44150.0)</f>
        <v>44150</v>
      </c>
      <c r="B177" s="254">
        <f>IFERROR(__xludf.DUMMYFUNCTION("""COMPUTED_VALUE"""),578.0)</f>
        <v>578</v>
      </c>
      <c r="C177" s="254">
        <f>IFERROR(__xludf.DUMMYFUNCTION("""COMPUTED_VALUE"""),842.0)</f>
        <v>842</v>
      </c>
      <c r="D177" s="254">
        <f>IFERROR(__xludf.DUMMYFUNCTION("""COMPUTED_VALUE"""),56003.0)</f>
        <v>56003</v>
      </c>
      <c r="E177" s="254">
        <f>IFERROR(__xludf.DUMMYFUNCTION("""COMPUTED_VALUE"""),6173.0)</f>
        <v>6173</v>
      </c>
      <c r="F177" s="185">
        <f>IFERROR(__xludf.DUMMYFUNCTION("""COMPUTED_VALUE"""),1297956.0)</f>
        <v>1297956</v>
      </c>
      <c r="G177" s="185">
        <f>IFERROR(__xludf.DUMMYFUNCTION("""COMPUTED_VALUE"""),6751.0)</f>
        <v>6751</v>
      </c>
      <c r="H177" s="185">
        <f>IFERROR(__xludf.DUMMYFUNCTION("""COMPUTED_VALUE"""),1353959.0)</f>
        <v>1353959</v>
      </c>
      <c r="I177" s="254">
        <f>IFERROR(__xludf.DUMMYFUNCTION("""COMPUTED_VALUE"""),495.0)</f>
        <v>495</v>
      </c>
      <c r="J177" s="254">
        <f>IFERROR(__xludf.DUMMYFUNCTION("""COMPUTED_VALUE"""),783.0)</f>
        <v>783</v>
      </c>
      <c r="K177" s="254">
        <f>IFERROR(__xludf.DUMMYFUNCTION("""COMPUTED_VALUE"""),44011.0)</f>
        <v>44011</v>
      </c>
      <c r="L177" s="254">
        <f>IFERROR(__xludf.DUMMYFUNCTION("""COMPUTED_VALUE"""),1404.0)</f>
        <v>1404</v>
      </c>
      <c r="M177" s="254">
        <f>IFERROR(__xludf.DUMMYFUNCTION("""COMPUTED_VALUE"""),427566.0)</f>
        <v>427566</v>
      </c>
      <c r="N177" s="254">
        <f>IFERROR(__xludf.DUMMYFUNCTION("""COMPUTED_VALUE"""),471577.0)</f>
        <v>471577</v>
      </c>
      <c r="O177" s="254">
        <f>IFERROR(__xludf.DUMMYFUNCTION("""COMPUTED_VALUE"""),44.0)</f>
        <v>44</v>
      </c>
      <c r="P177" s="254">
        <f>IFERROR(__xludf.DUMMYFUNCTION("""COMPUTED_VALUE"""),3954.0)</f>
        <v>3954</v>
      </c>
      <c r="Q177" s="254">
        <f>IFERROR(__xludf.DUMMYFUNCTION("""COMPUTED_VALUE"""),21.0)</f>
        <v>21</v>
      </c>
      <c r="R177" s="254">
        <f>IFERROR(__xludf.DUMMYFUNCTION("""COMPUTED_VALUE"""),3198.0)</f>
        <v>3198</v>
      </c>
      <c r="S177" s="254">
        <f>IFERROR(__xludf.DUMMYFUNCTION("""COMPUTED_VALUE"""),5.0)</f>
        <v>5</v>
      </c>
      <c r="T177" s="254">
        <f>IFERROR(__xludf.DUMMYFUNCTION("""COMPUTED_VALUE"""),434.0)</f>
        <v>434</v>
      </c>
      <c r="U177" s="254">
        <f>IFERROR(__xludf.DUMMYFUNCTION("""COMPUTED_VALUE"""),322.0)</f>
        <v>322</v>
      </c>
      <c r="V177" s="254">
        <f>IFERROR(__xludf.DUMMYFUNCTION("""COMPUTED_VALUE"""),306.0)</f>
        <v>306</v>
      </c>
      <c r="W177" s="254">
        <f>IFERROR(__xludf.DUMMYFUNCTION("""COMPUTED_VALUE"""),28.0)</f>
        <v>28</v>
      </c>
      <c r="X177" s="254">
        <f>IFERROR(__xludf.DUMMYFUNCTION("""COMPUTED_VALUE"""),11.0)</f>
        <v>11</v>
      </c>
      <c r="Y177" s="254">
        <f>IFERROR(__xludf.DUMMYFUNCTION("""COMPUTED_VALUE"""),7.0)</f>
        <v>7</v>
      </c>
      <c r="Z177" s="254">
        <f>IFERROR(__xludf.DUMMYFUNCTION("""COMPUTED_VALUE"""),1277.0)</f>
        <v>1277</v>
      </c>
    </row>
    <row r="178">
      <c r="A178" s="253">
        <f>IFERROR(__xludf.DUMMYFUNCTION("""COMPUTED_VALUE"""),44151.0)</f>
        <v>44151</v>
      </c>
      <c r="B178" s="254">
        <f>IFERROR(__xludf.DUMMYFUNCTION("""COMPUTED_VALUE"""),738.0)</f>
        <v>738</v>
      </c>
      <c r="C178" s="254">
        <f>IFERROR(__xludf.DUMMYFUNCTION("""COMPUTED_VALUE"""),699.0)</f>
        <v>699</v>
      </c>
      <c r="D178" s="254">
        <f>IFERROR(__xludf.DUMMYFUNCTION("""COMPUTED_VALUE"""),56741.0)</f>
        <v>56741</v>
      </c>
      <c r="E178" s="254">
        <f>IFERROR(__xludf.DUMMYFUNCTION("""COMPUTED_VALUE"""),9614.0)</f>
        <v>9614</v>
      </c>
      <c r="F178" s="185">
        <f>IFERROR(__xludf.DUMMYFUNCTION("""COMPUTED_VALUE"""),1307570.0)</f>
        <v>1307570</v>
      </c>
      <c r="G178" s="185">
        <f>IFERROR(__xludf.DUMMYFUNCTION("""COMPUTED_VALUE"""),10352.0)</f>
        <v>10352</v>
      </c>
      <c r="H178" s="185">
        <f>IFERROR(__xludf.DUMMYFUNCTION("""COMPUTED_VALUE"""),1364311.0)</f>
        <v>1364311</v>
      </c>
      <c r="I178" s="254">
        <f>IFERROR(__xludf.DUMMYFUNCTION("""COMPUTED_VALUE"""),673.0)</f>
        <v>673</v>
      </c>
      <c r="J178" s="254">
        <f>IFERROR(__xludf.DUMMYFUNCTION("""COMPUTED_VALUE"""),635.0)</f>
        <v>635</v>
      </c>
      <c r="K178" s="254">
        <f>IFERROR(__xludf.DUMMYFUNCTION("""COMPUTED_VALUE"""),44684.0)</f>
        <v>44684</v>
      </c>
      <c r="L178" s="254">
        <f>IFERROR(__xludf.DUMMYFUNCTION("""COMPUTED_VALUE"""),2598.0)</f>
        <v>2598</v>
      </c>
      <c r="M178" s="254">
        <f>IFERROR(__xludf.DUMMYFUNCTION("""COMPUTED_VALUE"""),430164.0)</f>
        <v>430164</v>
      </c>
      <c r="N178" s="254">
        <f>IFERROR(__xludf.DUMMYFUNCTION("""COMPUTED_VALUE"""),474848.0)</f>
        <v>474848</v>
      </c>
      <c r="O178" s="254">
        <f>IFERROR(__xludf.DUMMYFUNCTION("""COMPUTED_VALUE"""),56.0)</f>
        <v>56</v>
      </c>
      <c r="P178" s="254">
        <f>IFERROR(__xludf.DUMMYFUNCTION("""COMPUTED_VALUE"""),4010.0)</f>
        <v>4010</v>
      </c>
      <c r="Q178" s="254">
        <f>IFERROR(__xludf.DUMMYFUNCTION("""COMPUTED_VALUE"""),38.0)</f>
        <v>38</v>
      </c>
      <c r="R178" s="254">
        <f>IFERROR(__xludf.DUMMYFUNCTION("""COMPUTED_VALUE"""),3236.0)</f>
        <v>3236</v>
      </c>
      <c r="S178" s="254">
        <f>IFERROR(__xludf.DUMMYFUNCTION("""COMPUTED_VALUE"""),3.0)</f>
        <v>3</v>
      </c>
      <c r="T178" s="254">
        <f>IFERROR(__xludf.DUMMYFUNCTION("""COMPUTED_VALUE"""),437.0)</f>
        <v>437</v>
      </c>
      <c r="U178" s="254">
        <f>IFERROR(__xludf.DUMMYFUNCTION("""COMPUTED_VALUE"""),337.0)</f>
        <v>337</v>
      </c>
      <c r="V178" s="254">
        <f>IFERROR(__xludf.DUMMYFUNCTION("""COMPUTED_VALUE"""),321.0)</f>
        <v>321</v>
      </c>
      <c r="W178" s="254">
        <f>IFERROR(__xludf.DUMMYFUNCTION("""COMPUTED_VALUE"""),26.0)</f>
        <v>26</v>
      </c>
      <c r="X178" s="254">
        <f>IFERROR(__xludf.DUMMYFUNCTION("""COMPUTED_VALUE"""),13.0)</f>
        <v>13</v>
      </c>
      <c r="Y178" s="254">
        <f>IFERROR(__xludf.DUMMYFUNCTION("""COMPUTED_VALUE"""),5.0)</f>
        <v>5</v>
      </c>
      <c r="Z178" s="254">
        <f>IFERROR(__xludf.DUMMYFUNCTION("""COMPUTED_VALUE"""),1282.0)</f>
        <v>1282</v>
      </c>
    </row>
    <row r="179">
      <c r="A179" s="253">
        <f>IFERROR(__xludf.DUMMYFUNCTION("""COMPUTED_VALUE"""),44152.0)</f>
        <v>44152</v>
      </c>
      <c r="B179" s="254">
        <f>IFERROR(__xludf.DUMMYFUNCTION("""COMPUTED_VALUE"""),1538.0)</f>
        <v>1538</v>
      </c>
      <c r="C179" s="254">
        <f>IFERROR(__xludf.DUMMYFUNCTION("""COMPUTED_VALUE"""),951.0)</f>
        <v>951</v>
      </c>
      <c r="D179" s="254">
        <f>IFERROR(__xludf.DUMMYFUNCTION("""COMPUTED_VALUE"""),58279.0)</f>
        <v>58279</v>
      </c>
      <c r="E179" s="254">
        <f>IFERROR(__xludf.DUMMYFUNCTION("""COMPUTED_VALUE"""),18173.0)</f>
        <v>18173</v>
      </c>
      <c r="F179" s="185">
        <f>IFERROR(__xludf.DUMMYFUNCTION("""COMPUTED_VALUE"""),1325743.0)</f>
        <v>1325743</v>
      </c>
      <c r="G179" s="185">
        <f>IFERROR(__xludf.DUMMYFUNCTION("""COMPUTED_VALUE"""),19711.0)</f>
        <v>19711</v>
      </c>
      <c r="H179" s="185">
        <f>IFERROR(__xludf.DUMMYFUNCTION("""COMPUTED_VALUE"""),1384022.0)</f>
        <v>1384022</v>
      </c>
      <c r="I179" s="254">
        <f>IFERROR(__xludf.DUMMYFUNCTION("""COMPUTED_VALUE"""),1401.0)</f>
        <v>1401</v>
      </c>
      <c r="J179" s="254">
        <f>IFERROR(__xludf.DUMMYFUNCTION("""COMPUTED_VALUE"""),856.0)</f>
        <v>856</v>
      </c>
      <c r="K179" s="254">
        <f>IFERROR(__xludf.DUMMYFUNCTION("""COMPUTED_VALUE"""),46085.0)</f>
        <v>46085</v>
      </c>
      <c r="L179" s="254">
        <f>IFERROR(__xludf.DUMMYFUNCTION("""COMPUTED_VALUE"""),4093.0)</f>
        <v>4093</v>
      </c>
      <c r="M179" s="254">
        <f>IFERROR(__xludf.DUMMYFUNCTION("""COMPUTED_VALUE"""),434257.0)</f>
        <v>434257</v>
      </c>
      <c r="N179" s="254">
        <f>IFERROR(__xludf.DUMMYFUNCTION("""COMPUTED_VALUE"""),480342.0)</f>
        <v>480342</v>
      </c>
      <c r="O179" s="254">
        <f>IFERROR(__xludf.DUMMYFUNCTION("""COMPUTED_VALUE"""),59.0)</f>
        <v>59</v>
      </c>
      <c r="P179" s="254">
        <f>IFERROR(__xludf.DUMMYFUNCTION("""COMPUTED_VALUE"""),4069.0)</f>
        <v>4069</v>
      </c>
      <c r="Q179" s="254">
        <f>IFERROR(__xludf.DUMMYFUNCTION("""COMPUTED_VALUE"""),44.0)</f>
        <v>44</v>
      </c>
      <c r="R179" s="254">
        <f>IFERROR(__xludf.DUMMYFUNCTION("""COMPUTED_VALUE"""),3280.0)</f>
        <v>3280</v>
      </c>
      <c r="S179" s="254">
        <f>IFERROR(__xludf.DUMMYFUNCTION("""COMPUTED_VALUE"""),2.0)</f>
        <v>2</v>
      </c>
      <c r="T179" s="254">
        <f>IFERROR(__xludf.DUMMYFUNCTION("""COMPUTED_VALUE"""),439.0)</f>
        <v>439</v>
      </c>
      <c r="U179" s="254">
        <f>IFERROR(__xludf.DUMMYFUNCTION("""COMPUTED_VALUE"""),350.0)</f>
        <v>350</v>
      </c>
      <c r="V179" s="254">
        <f>IFERROR(__xludf.DUMMYFUNCTION("""COMPUTED_VALUE"""),336.0)</f>
        <v>336</v>
      </c>
      <c r="W179" s="254">
        <f>IFERROR(__xludf.DUMMYFUNCTION("""COMPUTED_VALUE"""),30.0)</f>
        <v>30</v>
      </c>
      <c r="X179" s="254">
        <f>IFERROR(__xludf.DUMMYFUNCTION("""COMPUTED_VALUE"""),13.0)</f>
        <v>13</v>
      </c>
      <c r="Y179" s="254">
        <f>IFERROR(__xludf.DUMMYFUNCTION("""COMPUTED_VALUE"""),5.0)</f>
        <v>5</v>
      </c>
      <c r="Z179" s="254">
        <f>IFERROR(__xludf.DUMMYFUNCTION("""COMPUTED_VALUE"""),1287.0)</f>
        <v>1287</v>
      </c>
    </row>
    <row r="180">
      <c r="A180" s="253">
        <f>IFERROR(__xludf.DUMMYFUNCTION("""COMPUTED_VALUE"""),44153.0)</f>
        <v>44153</v>
      </c>
      <c r="B180" s="254">
        <f>IFERROR(__xludf.DUMMYFUNCTION("""COMPUTED_VALUE"""),1124.0)</f>
        <v>1124</v>
      </c>
      <c r="C180" s="254">
        <f>IFERROR(__xludf.DUMMYFUNCTION("""COMPUTED_VALUE"""),1133.0)</f>
        <v>1133</v>
      </c>
      <c r="D180" s="254">
        <f>IFERROR(__xludf.DUMMYFUNCTION("""COMPUTED_VALUE"""),59403.0)</f>
        <v>59403</v>
      </c>
      <c r="E180" s="254">
        <f>IFERROR(__xludf.DUMMYFUNCTION("""COMPUTED_VALUE"""),16029.0)</f>
        <v>16029</v>
      </c>
      <c r="F180" s="185">
        <f>IFERROR(__xludf.DUMMYFUNCTION("""COMPUTED_VALUE"""),1341772.0)</f>
        <v>1341772</v>
      </c>
      <c r="G180" s="185">
        <f>IFERROR(__xludf.DUMMYFUNCTION("""COMPUTED_VALUE"""),17153.0)</f>
        <v>17153</v>
      </c>
      <c r="H180" s="185">
        <f>IFERROR(__xludf.DUMMYFUNCTION("""COMPUTED_VALUE"""),1401175.0)</f>
        <v>1401175</v>
      </c>
      <c r="I180" s="254">
        <f>IFERROR(__xludf.DUMMYFUNCTION("""COMPUTED_VALUE"""),1012.0)</f>
        <v>1012</v>
      </c>
      <c r="J180" s="254">
        <f>IFERROR(__xludf.DUMMYFUNCTION("""COMPUTED_VALUE"""),1029.0)</f>
        <v>1029</v>
      </c>
      <c r="K180" s="254">
        <f>IFERROR(__xludf.DUMMYFUNCTION("""COMPUTED_VALUE"""),47097.0)</f>
        <v>47097</v>
      </c>
      <c r="L180" s="254">
        <f>IFERROR(__xludf.DUMMYFUNCTION("""COMPUTED_VALUE"""),3156.0)</f>
        <v>3156</v>
      </c>
      <c r="M180" s="254">
        <f>IFERROR(__xludf.DUMMYFUNCTION("""COMPUTED_VALUE"""),437413.0)</f>
        <v>437413</v>
      </c>
      <c r="N180" s="254">
        <f>IFERROR(__xludf.DUMMYFUNCTION("""COMPUTED_VALUE"""),484510.0)</f>
        <v>484510</v>
      </c>
      <c r="O180" s="254">
        <f>IFERROR(__xludf.DUMMYFUNCTION("""COMPUTED_VALUE"""),38.0)</f>
        <v>38</v>
      </c>
      <c r="P180" s="254">
        <f>IFERROR(__xludf.DUMMYFUNCTION("""COMPUTED_VALUE"""),4107.0)</f>
        <v>4107</v>
      </c>
      <c r="Q180" s="254">
        <f>IFERROR(__xludf.DUMMYFUNCTION("""COMPUTED_VALUE"""),38.0)</f>
        <v>38</v>
      </c>
      <c r="R180" s="254">
        <f>IFERROR(__xludf.DUMMYFUNCTION("""COMPUTED_VALUE"""),3318.0)</f>
        <v>3318</v>
      </c>
      <c r="S180" s="254">
        <f>IFERROR(__xludf.DUMMYFUNCTION("""COMPUTED_VALUE"""),5.0)</f>
        <v>5</v>
      </c>
      <c r="T180" s="254">
        <f>IFERROR(__xludf.DUMMYFUNCTION("""COMPUTED_VALUE"""),444.0)</f>
        <v>444</v>
      </c>
      <c r="U180" s="254">
        <f>IFERROR(__xludf.DUMMYFUNCTION("""COMPUTED_VALUE"""),345.0)</f>
        <v>345</v>
      </c>
      <c r="V180" s="254">
        <f>IFERROR(__xludf.DUMMYFUNCTION("""COMPUTED_VALUE"""),344.0)</f>
        <v>344</v>
      </c>
      <c r="W180" s="254">
        <f>IFERROR(__xludf.DUMMYFUNCTION("""COMPUTED_VALUE"""),29.0)</f>
        <v>29</v>
      </c>
      <c r="X180" s="254">
        <f>IFERROR(__xludf.DUMMYFUNCTION("""COMPUTED_VALUE"""),15.0)</f>
        <v>15</v>
      </c>
      <c r="Y180" s="254">
        <f>IFERROR(__xludf.DUMMYFUNCTION("""COMPUTED_VALUE"""),7.0)</f>
        <v>7</v>
      </c>
      <c r="Z180" s="254">
        <f>IFERROR(__xludf.DUMMYFUNCTION("""COMPUTED_VALUE"""),1294.0)</f>
        <v>1294</v>
      </c>
    </row>
    <row r="181">
      <c r="A181" s="253">
        <f>IFERROR(__xludf.DUMMYFUNCTION("""COMPUTED_VALUE"""),44154.0)</f>
        <v>44154</v>
      </c>
      <c r="B181" s="254">
        <f>IFERROR(__xludf.DUMMYFUNCTION("""COMPUTED_VALUE"""),1128.0)</f>
        <v>1128</v>
      </c>
      <c r="C181" s="254">
        <f>IFERROR(__xludf.DUMMYFUNCTION("""COMPUTED_VALUE"""),1263.0)</f>
        <v>1263</v>
      </c>
      <c r="D181" s="254">
        <f>IFERROR(__xludf.DUMMYFUNCTION("""COMPUTED_VALUE"""),60531.0)</f>
        <v>60531</v>
      </c>
      <c r="E181" s="254">
        <f>IFERROR(__xludf.DUMMYFUNCTION("""COMPUTED_VALUE"""),13170.0)</f>
        <v>13170</v>
      </c>
      <c r="F181" s="185">
        <f>IFERROR(__xludf.DUMMYFUNCTION("""COMPUTED_VALUE"""),1354942.0)</f>
        <v>1354942</v>
      </c>
      <c r="G181" s="185">
        <f>IFERROR(__xludf.DUMMYFUNCTION("""COMPUTED_VALUE"""),14298.0)</f>
        <v>14298</v>
      </c>
      <c r="H181" s="185">
        <f>IFERROR(__xludf.DUMMYFUNCTION("""COMPUTED_VALUE"""),1415473.0)</f>
        <v>1415473</v>
      </c>
      <c r="I181" s="254">
        <f>IFERROR(__xludf.DUMMYFUNCTION("""COMPUTED_VALUE"""),1034.0)</f>
        <v>1034</v>
      </c>
      <c r="J181" s="254">
        <f>IFERROR(__xludf.DUMMYFUNCTION("""COMPUTED_VALUE"""),1149.0)</f>
        <v>1149</v>
      </c>
      <c r="K181" s="254">
        <f>IFERROR(__xludf.DUMMYFUNCTION("""COMPUTED_VALUE"""),48131.0)</f>
        <v>48131</v>
      </c>
      <c r="L181" s="254">
        <f>IFERROR(__xludf.DUMMYFUNCTION("""COMPUTED_VALUE"""),3375.0)</f>
        <v>3375</v>
      </c>
      <c r="M181" s="254">
        <f>IFERROR(__xludf.DUMMYFUNCTION("""COMPUTED_VALUE"""),440788.0)</f>
        <v>440788</v>
      </c>
      <c r="N181" s="254">
        <f>IFERROR(__xludf.DUMMYFUNCTION("""COMPUTED_VALUE"""),488919.0)</f>
        <v>488919</v>
      </c>
      <c r="O181" s="254">
        <f>IFERROR(__xludf.DUMMYFUNCTION("""COMPUTED_VALUE"""),46.0)</f>
        <v>46</v>
      </c>
      <c r="P181" s="254">
        <f>IFERROR(__xludf.DUMMYFUNCTION("""COMPUTED_VALUE"""),4153.0)</f>
        <v>4153</v>
      </c>
      <c r="Q181" s="254">
        <f>IFERROR(__xludf.DUMMYFUNCTION("""COMPUTED_VALUE"""),42.0)</f>
        <v>42</v>
      </c>
      <c r="R181" s="254">
        <f>IFERROR(__xludf.DUMMYFUNCTION("""COMPUTED_VALUE"""),3360.0)</f>
        <v>3360</v>
      </c>
      <c r="S181" s="254">
        <f>IFERROR(__xludf.DUMMYFUNCTION("""COMPUTED_VALUE"""),4.0)</f>
        <v>4</v>
      </c>
      <c r="T181" s="254">
        <f>IFERROR(__xludf.DUMMYFUNCTION("""COMPUTED_VALUE"""),448.0)</f>
        <v>448</v>
      </c>
      <c r="U181" s="254">
        <f>IFERROR(__xludf.DUMMYFUNCTION("""COMPUTED_VALUE"""),345.0)</f>
        <v>345</v>
      </c>
      <c r="V181" s="254">
        <f>IFERROR(__xludf.DUMMYFUNCTION("""COMPUTED_VALUE"""),347.0)</f>
        <v>347</v>
      </c>
      <c r="W181" s="254">
        <f>IFERROR(__xludf.DUMMYFUNCTION("""COMPUTED_VALUE"""),30.0)</f>
        <v>30</v>
      </c>
      <c r="X181" s="254">
        <f>IFERROR(__xludf.DUMMYFUNCTION("""COMPUTED_VALUE"""),18.0)</f>
        <v>18</v>
      </c>
      <c r="Y181" s="254">
        <f>IFERROR(__xludf.DUMMYFUNCTION("""COMPUTED_VALUE"""),5.0)</f>
        <v>5</v>
      </c>
      <c r="Z181" s="254">
        <f>IFERROR(__xludf.DUMMYFUNCTION("""COMPUTED_VALUE"""),1299.0)</f>
        <v>1299</v>
      </c>
    </row>
    <row r="182">
      <c r="A182" s="253">
        <f>IFERROR(__xludf.DUMMYFUNCTION("""COMPUTED_VALUE"""),44155.0)</f>
        <v>44155</v>
      </c>
      <c r="B182" s="254">
        <f>IFERROR(__xludf.DUMMYFUNCTION("""COMPUTED_VALUE"""),1456.0)</f>
        <v>1456</v>
      </c>
      <c r="C182" s="254">
        <f>IFERROR(__xludf.DUMMYFUNCTION("""COMPUTED_VALUE"""),1236.0)</f>
        <v>1236</v>
      </c>
      <c r="D182" s="254">
        <f>IFERROR(__xludf.DUMMYFUNCTION("""COMPUTED_VALUE"""),61987.0)</f>
        <v>61987</v>
      </c>
      <c r="E182" s="254">
        <f>IFERROR(__xludf.DUMMYFUNCTION("""COMPUTED_VALUE"""),22223.0)</f>
        <v>22223</v>
      </c>
      <c r="F182" s="185">
        <f>IFERROR(__xludf.DUMMYFUNCTION("""COMPUTED_VALUE"""),1377165.0)</f>
        <v>1377165</v>
      </c>
      <c r="G182" s="185">
        <f>IFERROR(__xludf.DUMMYFUNCTION("""COMPUTED_VALUE"""),23679.0)</f>
        <v>23679</v>
      </c>
      <c r="H182" s="185">
        <f>IFERROR(__xludf.DUMMYFUNCTION("""COMPUTED_VALUE"""),1439152.0)</f>
        <v>1439152</v>
      </c>
      <c r="I182" s="254">
        <f>IFERROR(__xludf.DUMMYFUNCTION("""COMPUTED_VALUE"""),1293.0)</f>
        <v>1293</v>
      </c>
      <c r="J182" s="254">
        <f>IFERROR(__xludf.DUMMYFUNCTION("""COMPUTED_VALUE"""),1113.0)</f>
        <v>1113</v>
      </c>
      <c r="K182" s="254">
        <f>IFERROR(__xludf.DUMMYFUNCTION("""COMPUTED_VALUE"""),49424.0)</f>
        <v>49424</v>
      </c>
      <c r="L182" s="254">
        <f>IFERROR(__xludf.DUMMYFUNCTION("""COMPUTED_VALUE"""),4282.0)</f>
        <v>4282</v>
      </c>
      <c r="M182" s="254">
        <f>IFERROR(__xludf.DUMMYFUNCTION("""COMPUTED_VALUE"""),445070.0)</f>
        <v>445070</v>
      </c>
      <c r="N182" s="254">
        <f>IFERROR(__xludf.DUMMYFUNCTION("""COMPUTED_VALUE"""),494494.0)</f>
        <v>494494</v>
      </c>
      <c r="O182" s="254">
        <f>IFERROR(__xludf.DUMMYFUNCTION("""COMPUTED_VALUE"""),49.0)</f>
        <v>49</v>
      </c>
      <c r="P182" s="254">
        <f>IFERROR(__xludf.DUMMYFUNCTION("""COMPUTED_VALUE"""),4202.0)</f>
        <v>4202</v>
      </c>
      <c r="Q182" s="254">
        <f>IFERROR(__xludf.DUMMYFUNCTION("""COMPUTED_VALUE"""),48.0)</f>
        <v>48</v>
      </c>
      <c r="R182" s="254">
        <f>IFERROR(__xludf.DUMMYFUNCTION("""COMPUTED_VALUE"""),3408.0)</f>
        <v>3408</v>
      </c>
      <c r="S182" s="254">
        <f>IFERROR(__xludf.DUMMYFUNCTION("""COMPUTED_VALUE"""),3.0)</f>
        <v>3</v>
      </c>
      <c r="T182" s="254">
        <f>IFERROR(__xludf.DUMMYFUNCTION("""COMPUTED_VALUE"""),451.0)</f>
        <v>451</v>
      </c>
      <c r="U182" s="254">
        <f>IFERROR(__xludf.DUMMYFUNCTION("""COMPUTED_VALUE"""),343.0)</f>
        <v>343</v>
      </c>
      <c r="V182" s="254">
        <f>IFERROR(__xludf.DUMMYFUNCTION("""COMPUTED_VALUE"""),344.0)</f>
        <v>344</v>
      </c>
      <c r="W182" s="254">
        <f>IFERROR(__xludf.DUMMYFUNCTION("""COMPUTED_VALUE"""),33.0)</f>
        <v>33</v>
      </c>
      <c r="X182" s="254">
        <f>IFERROR(__xludf.DUMMYFUNCTION("""COMPUTED_VALUE"""),14.0)</f>
        <v>14</v>
      </c>
      <c r="Y182" s="254">
        <f>IFERROR(__xludf.DUMMYFUNCTION("""COMPUTED_VALUE"""),6.0)</f>
        <v>6</v>
      </c>
      <c r="Z182" s="254">
        <f>IFERROR(__xludf.DUMMYFUNCTION("""COMPUTED_VALUE"""),1305.0)</f>
        <v>1305</v>
      </c>
    </row>
    <row r="183">
      <c r="A183" s="253">
        <f>IFERROR(__xludf.DUMMYFUNCTION("""COMPUTED_VALUE"""),44156.0)</f>
        <v>44156</v>
      </c>
      <c r="B183" s="254">
        <f>IFERROR(__xludf.DUMMYFUNCTION("""COMPUTED_VALUE"""),853.0)</f>
        <v>853</v>
      </c>
      <c r="C183" s="254">
        <f>IFERROR(__xludf.DUMMYFUNCTION("""COMPUTED_VALUE"""),1146.0)</f>
        <v>1146</v>
      </c>
      <c r="D183" s="254">
        <f>IFERROR(__xludf.DUMMYFUNCTION("""COMPUTED_VALUE"""),62840.0)</f>
        <v>62840</v>
      </c>
      <c r="E183" s="254">
        <f>IFERROR(__xludf.DUMMYFUNCTION("""COMPUTED_VALUE"""),17370.0)</f>
        <v>17370</v>
      </c>
      <c r="F183" s="185">
        <f>IFERROR(__xludf.DUMMYFUNCTION("""COMPUTED_VALUE"""),1394535.0)</f>
        <v>1394535</v>
      </c>
      <c r="G183" s="185">
        <f>IFERROR(__xludf.DUMMYFUNCTION("""COMPUTED_VALUE"""),18223.0)</f>
        <v>18223</v>
      </c>
      <c r="H183" s="185">
        <f>IFERROR(__xludf.DUMMYFUNCTION("""COMPUTED_VALUE"""),1457375.0)</f>
        <v>1457375</v>
      </c>
      <c r="I183" s="254">
        <f>IFERROR(__xludf.DUMMYFUNCTION("""COMPUTED_VALUE"""),755.0)</f>
        <v>755</v>
      </c>
      <c r="J183" s="254">
        <f>IFERROR(__xludf.DUMMYFUNCTION("""COMPUTED_VALUE"""),1027.0)</f>
        <v>1027</v>
      </c>
      <c r="K183" s="254">
        <f>IFERROR(__xludf.DUMMYFUNCTION("""COMPUTED_VALUE"""),50179.0)</f>
        <v>50179</v>
      </c>
      <c r="L183" s="254">
        <f>IFERROR(__xludf.DUMMYFUNCTION("""COMPUTED_VALUE"""),3122.0)</f>
        <v>3122</v>
      </c>
      <c r="M183" s="254">
        <f>IFERROR(__xludf.DUMMYFUNCTION("""COMPUTED_VALUE"""),448192.0)</f>
        <v>448192</v>
      </c>
      <c r="N183" s="254">
        <f>IFERROR(__xludf.DUMMYFUNCTION("""COMPUTED_VALUE"""),498371.0)</f>
        <v>498371</v>
      </c>
      <c r="O183" s="254">
        <f>IFERROR(__xludf.DUMMYFUNCTION("""COMPUTED_VALUE"""),43.0)</f>
        <v>43</v>
      </c>
      <c r="P183" s="254">
        <f>IFERROR(__xludf.DUMMYFUNCTION("""COMPUTED_VALUE"""),4245.0)</f>
        <v>4245</v>
      </c>
      <c r="Q183" s="254">
        <f>IFERROR(__xludf.DUMMYFUNCTION("""COMPUTED_VALUE"""),34.0)</f>
        <v>34</v>
      </c>
      <c r="R183" s="254">
        <f>IFERROR(__xludf.DUMMYFUNCTION("""COMPUTED_VALUE"""),3442.0)</f>
        <v>3442</v>
      </c>
      <c r="S183" s="254">
        <f>IFERROR(__xludf.DUMMYFUNCTION("""COMPUTED_VALUE"""),5.0)</f>
        <v>5</v>
      </c>
      <c r="T183" s="254">
        <f>IFERROR(__xludf.DUMMYFUNCTION("""COMPUTED_VALUE"""),456.0)</f>
        <v>456</v>
      </c>
      <c r="U183" s="254">
        <f>IFERROR(__xludf.DUMMYFUNCTION("""COMPUTED_VALUE"""),347.0)</f>
        <v>347</v>
      </c>
      <c r="V183" s="254">
        <f>IFERROR(__xludf.DUMMYFUNCTION("""COMPUTED_VALUE"""),345.0)</f>
        <v>345</v>
      </c>
      <c r="W183" s="254">
        <f>IFERROR(__xludf.DUMMYFUNCTION("""COMPUTED_VALUE"""),35.0)</f>
        <v>35</v>
      </c>
      <c r="X183" s="254">
        <f>IFERROR(__xludf.DUMMYFUNCTION("""COMPUTED_VALUE"""),14.0)</f>
        <v>14</v>
      </c>
      <c r="Y183" s="254">
        <f>IFERROR(__xludf.DUMMYFUNCTION("""COMPUTED_VALUE"""),7.0)</f>
        <v>7</v>
      </c>
      <c r="Z183" s="254">
        <f>IFERROR(__xludf.DUMMYFUNCTION("""COMPUTED_VALUE"""),1312.0)</f>
        <v>1312</v>
      </c>
    </row>
    <row r="184">
      <c r="A184" s="253">
        <f>IFERROR(__xludf.DUMMYFUNCTION("""COMPUTED_VALUE"""),44157.0)</f>
        <v>44157</v>
      </c>
      <c r="B184" s="254">
        <f>IFERROR(__xludf.DUMMYFUNCTION("""COMPUTED_VALUE"""),571.0)</f>
        <v>571</v>
      </c>
      <c r="C184" s="254">
        <f>IFERROR(__xludf.DUMMYFUNCTION("""COMPUTED_VALUE"""),960.0)</f>
        <v>960</v>
      </c>
      <c r="D184" s="254">
        <f>IFERROR(__xludf.DUMMYFUNCTION("""COMPUTED_VALUE"""),63411.0)</f>
        <v>63411</v>
      </c>
      <c r="E184" s="254">
        <f>IFERROR(__xludf.DUMMYFUNCTION("""COMPUTED_VALUE"""),7519.0)</f>
        <v>7519</v>
      </c>
      <c r="F184" s="185">
        <f>IFERROR(__xludf.DUMMYFUNCTION("""COMPUTED_VALUE"""),1402054.0)</f>
        <v>1402054</v>
      </c>
      <c r="G184" s="185">
        <f>IFERROR(__xludf.DUMMYFUNCTION("""COMPUTED_VALUE"""),8090.0)</f>
        <v>8090</v>
      </c>
      <c r="H184" s="185">
        <f>IFERROR(__xludf.DUMMYFUNCTION("""COMPUTED_VALUE"""),1465465.0)</f>
        <v>1465465</v>
      </c>
      <c r="I184" s="254">
        <f>IFERROR(__xludf.DUMMYFUNCTION("""COMPUTED_VALUE"""),486.0)</f>
        <v>486</v>
      </c>
      <c r="J184" s="254">
        <f>IFERROR(__xludf.DUMMYFUNCTION("""COMPUTED_VALUE"""),845.0)</f>
        <v>845</v>
      </c>
      <c r="K184" s="254">
        <f>IFERROR(__xludf.DUMMYFUNCTION("""COMPUTED_VALUE"""),50665.0)</f>
        <v>50665</v>
      </c>
      <c r="L184" s="254">
        <f>IFERROR(__xludf.DUMMYFUNCTION("""COMPUTED_VALUE"""),1781.0)</f>
        <v>1781</v>
      </c>
      <c r="M184" s="254">
        <f>IFERROR(__xludf.DUMMYFUNCTION("""COMPUTED_VALUE"""),449973.0)</f>
        <v>449973</v>
      </c>
      <c r="N184" s="254">
        <f>IFERROR(__xludf.DUMMYFUNCTION("""COMPUTED_VALUE"""),500638.0)</f>
        <v>500638</v>
      </c>
      <c r="O184" s="254">
        <f>IFERROR(__xludf.DUMMYFUNCTION("""COMPUTED_VALUE"""),64.0)</f>
        <v>64</v>
      </c>
      <c r="P184" s="254">
        <f>IFERROR(__xludf.DUMMYFUNCTION("""COMPUTED_VALUE"""),4309.0)</f>
        <v>4309</v>
      </c>
      <c r="Q184" s="254">
        <f>IFERROR(__xludf.DUMMYFUNCTION("""COMPUTED_VALUE"""),28.0)</f>
        <v>28</v>
      </c>
      <c r="R184" s="254">
        <f>IFERROR(__xludf.DUMMYFUNCTION("""COMPUTED_VALUE"""),3470.0)</f>
        <v>3470</v>
      </c>
      <c r="S184" s="254">
        <f>IFERROR(__xludf.DUMMYFUNCTION("""COMPUTED_VALUE"""),4.0)</f>
        <v>4</v>
      </c>
      <c r="T184" s="254">
        <f>IFERROR(__xludf.DUMMYFUNCTION("""COMPUTED_VALUE"""),460.0)</f>
        <v>460</v>
      </c>
      <c r="U184" s="254">
        <f>IFERROR(__xludf.DUMMYFUNCTION("""COMPUTED_VALUE"""),379.0)</f>
        <v>379</v>
      </c>
      <c r="V184" s="254">
        <f>IFERROR(__xludf.DUMMYFUNCTION("""COMPUTED_VALUE"""),356.0)</f>
        <v>356</v>
      </c>
      <c r="W184" s="254">
        <f>IFERROR(__xludf.DUMMYFUNCTION("""COMPUTED_VALUE"""),33.0)</f>
        <v>33</v>
      </c>
      <c r="X184" s="254">
        <f>IFERROR(__xludf.DUMMYFUNCTION("""COMPUTED_VALUE"""),15.0)</f>
        <v>15</v>
      </c>
      <c r="Y184" s="254">
        <f>IFERROR(__xludf.DUMMYFUNCTION("""COMPUTED_VALUE"""),11.0)</f>
        <v>11</v>
      </c>
      <c r="Z184" s="254">
        <f>IFERROR(__xludf.DUMMYFUNCTION("""COMPUTED_VALUE"""),1323.0)</f>
        <v>1323</v>
      </c>
    </row>
    <row r="185">
      <c r="A185" s="253">
        <f>IFERROR(__xludf.DUMMYFUNCTION("""COMPUTED_VALUE"""),44158.0)</f>
        <v>44158</v>
      </c>
      <c r="B185" s="254">
        <f>IFERROR(__xludf.DUMMYFUNCTION("""COMPUTED_VALUE"""),980.0)</f>
        <v>980</v>
      </c>
      <c r="C185" s="254">
        <f>IFERROR(__xludf.DUMMYFUNCTION("""COMPUTED_VALUE"""),801.0)</f>
        <v>801</v>
      </c>
      <c r="D185" s="254">
        <f>IFERROR(__xludf.DUMMYFUNCTION("""COMPUTED_VALUE"""),64391.0)</f>
        <v>64391</v>
      </c>
      <c r="E185" s="254">
        <f>IFERROR(__xludf.DUMMYFUNCTION("""COMPUTED_VALUE"""),11025.0)</f>
        <v>11025</v>
      </c>
      <c r="F185" s="185">
        <f>IFERROR(__xludf.DUMMYFUNCTION("""COMPUTED_VALUE"""),1413079.0)</f>
        <v>1413079</v>
      </c>
      <c r="G185" s="185">
        <f>IFERROR(__xludf.DUMMYFUNCTION("""COMPUTED_VALUE"""),12005.0)</f>
        <v>12005</v>
      </c>
      <c r="H185" s="185">
        <f>IFERROR(__xludf.DUMMYFUNCTION("""COMPUTED_VALUE"""),1477470.0)</f>
        <v>1477470</v>
      </c>
      <c r="I185" s="254">
        <f>IFERROR(__xludf.DUMMYFUNCTION("""COMPUTED_VALUE"""),885.0)</f>
        <v>885</v>
      </c>
      <c r="J185" s="254">
        <f>IFERROR(__xludf.DUMMYFUNCTION("""COMPUTED_VALUE"""),709.0)</f>
        <v>709</v>
      </c>
      <c r="K185" s="254">
        <f>IFERROR(__xludf.DUMMYFUNCTION("""COMPUTED_VALUE"""),51550.0)</f>
        <v>51550</v>
      </c>
      <c r="L185" s="254">
        <f>IFERROR(__xludf.DUMMYFUNCTION("""COMPUTED_VALUE"""),3392.0)</f>
        <v>3392</v>
      </c>
      <c r="M185" s="254">
        <f>IFERROR(__xludf.DUMMYFUNCTION("""COMPUTED_VALUE"""),453365.0)</f>
        <v>453365</v>
      </c>
      <c r="N185" s="254">
        <f>IFERROR(__xludf.DUMMYFUNCTION("""COMPUTED_VALUE"""),504915.0)</f>
        <v>504915</v>
      </c>
      <c r="O185" s="254">
        <f>IFERROR(__xludf.DUMMYFUNCTION("""COMPUTED_VALUE"""),72.0)</f>
        <v>72</v>
      </c>
      <c r="P185" s="254">
        <f>IFERROR(__xludf.DUMMYFUNCTION("""COMPUTED_VALUE"""),4381.0)</f>
        <v>4381</v>
      </c>
      <c r="Q185" s="254">
        <f>IFERROR(__xludf.DUMMYFUNCTION("""COMPUTED_VALUE"""),39.0)</f>
        <v>39</v>
      </c>
      <c r="R185" s="254">
        <f>IFERROR(__xludf.DUMMYFUNCTION("""COMPUTED_VALUE"""),3509.0)</f>
        <v>3509</v>
      </c>
      <c r="S185" s="254">
        <f>IFERROR(__xludf.DUMMYFUNCTION("""COMPUTED_VALUE"""),0.0)</f>
        <v>0</v>
      </c>
      <c r="T185" s="254">
        <f>IFERROR(__xludf.DUMMYFUNCTION("""COMPUTED_VALUE"""),460.0)</f>
        <v>460</v>
      </c>
      <c r="U185" s="254">
        <f>IFERROR(__xludf.DUMMYFUNCTION("""COMPUTED_VALUE"""),412.0)</f>
        <v>412</v>
      </c>
      <c r="V185" s="254">
        <f>IFERROR(__xludf.DUMMYFUNCTION("""COMPUTED_VALUE"""),379.0)</f>
        <v>379</v>
      </c>
      <c r="W185" s="254">
        <f>IFERROR(__xludf.DUMMYFUNCTION("""COMPUTED_VALUE"""),40.0)</f>
        <v>40</v>
      </c>
      <c r="X185" s="254">
        <f>IFERROR(__xludf.DUMMYFUNCTION("""COMPUTED_VALUE"""),18.0)</f>
        <v>18</v>
      </c>
      <c r="Y185" s="254">
        <f>IFERROR(__xludf.DUMMYFUNCTION("""COMPUTED_VALUE"""),10.0)</f>
        <v>10</v>
      </c>
      <c r="Z185" s="254">
        <f>IFERROR(__xludf.DUMMYFUNCTION("""COMPUTED_VALUE"""),1333.0)</f>
        <v>1333</v>
      </c>
    </row>
    <row r="186">
      <c r="A186" s="253">
        <f>IFERROR(__xludf.DUMMYFUNCTION("""COMPUTED_VALUE"""),44159.0)</f>
        <v>44159</v>
      </c>
      <c r="B186" s="254">
        <f>IFERROR(__xludf.DUMMYFUNCTION("""COMPUTED_VALUE"""),1045.0)</f>
        <v>1045</v>
      </c>
      <c r="C186" s="254">
        <f>IFERROR(__xludf.DUMMYFUNCTION("""COMPUTED_VALUE"""),865.0)</f>
        <v>865</v>
      </c>
      <c r="D186" s="254">
        <f>IFERROR(__xludf.DUMMYFUNCTION("""COMPUTED_VALUE"""),65436.0)</f>
        <v>65436</v>
      </c>
      <c r="E186" s="254">
        <f>IFERROR(__xludf.DUMMYFUNCTION("""COMPUTED_VALUE"""),14578.0)</f>
        <v>14578</v>
      </c>
      <c r="F186" s="185">
        <f>IFERROR(__xludf.DUMMYFUNCTION("""COMPUTED_VALUE"""),1427657.0)</f>
        <v>1427657</v>
      </c>
      <c r="G186" s="185">
        <f>IFERROR(__xludf.DUMMYFUNCTION("""COMPUTED_VALUE"""),15623.0)</f>
        <v>15623</v>
      </c>
      <c r="H186" s="185">
        <f>IFERROR(__xludf.DUMMYFUNCTION("""COMPUTED_VALUE"""),1493093.0)</f>
        <v>1493093</v>
      </c>
      <c r="I186" s="254">
        <f>IFERROR(__xludf.DUMMYFUNCTION("""COMPUTED_VALUE"""),937.0)</f>
        <v>937</v>
      </c>
      <c r="J186" s="254">
        <f>IFERROR(__xludf.DUMMYFUNCTION("""COMPUTED_VALUE"""),769.0)</f>
        <v>769</v>
      </c>
      <c r="K186" s="254">
        <f>IFERROR(__xludf.DUMMYFUNCTION("""COMPUTED_VALUE"""),52487.0)</f>
        <v>52487</v>
      </c>
      <c r="L186" s="254">
        <f>IFERROR(__xludf.DUMMYFUNCTION("""COMPUTED_VALUE"""),2764.0)</f>
        <v>2764</v>
      </c>
      <c r="M186" s="254">
        <f>IFERROR(__xludf.DUMMYFUNCTION("""COMPUTED_VALUE"""),456129.0)</f>
        <v>456129</v>
      </c>
      <c r="N186" s="254">
        <f>IFERROR(__xludf.DUMMYFUNCTION("""COMPUTED_VALUE"""),508616.0)</f>
        <v>508616</v>
      </c>
      <c r="O186" s="254">
        <f>IFERROR(__xludf.DUMMYFUNCTION("""COMPUTED_VALUE"""),46.0)</f>
        <v>46</v>
      </c>
      <c r="P186" s="254">
        <f>IFERROR(__xludf.DUMMYFUNCTION("""COMPUTED_VALUE"""),4427.0)</f>
        <v>4427</v>
      </c>
      <c r="Q186" s="254">
        <f>IFERROR(__xludf.DUMMYFUNCTION("""COMPUTED_VALUE"""),60.0)</f>
        <v>60</v>
      </c>
      <c r="R186" s="254">
        <f>IFERROR(__xludf.DUMMYFUNCTION("""COMPUTED_VALUE"""),3569.0)</f>
        <v>3569</v>
      </c>
      <c r="S186" s="254">
        <f>IFERROR(__xludf.DUMMYFUNCTION("""COMPUTED_VALUE"""),6.0)</f>
        <v>6</v>
      </c>
      <c r="T186" s="254">
        <f>IFERROR(__xludf.DUMMYFUNCTION("""COMPUTED_VALUE"""),466.0)</f>
        <v>466</v>
      </c>
      <c r="U186" s="254">
        <f>IFERROR(__xludf.DUMMYFUNCTION("""COMPUTED_VALUE"""),392.0)</f>
        <v>392</v>
      </c>
      <c r="V186" s="254">
        <f>IFERROR(__xludf.DUMMYFUNCTION("""COMPUTED_VALUE"""),394.0)</f>
        <v>394</v>
      </c>
      <c r="W186" s="254">
        <f>IFERROR(__xludf.DUMMYFUNCTION("""COMPUTED_VALUE"""),42.0)</f>
        <v>42</v>
      </c>
      <c r="X186" s="254">
        <f>IFERROR(__xludf.DUMMYFUNCTION("""COMPUTED_VALUE"""),22.0)</f>
        <v>22</v>
      </c>
      <c r="Y186" s="254">
        <f>IFERROR(__xludf.DUMMYFUNCTION("""COMPUTED_VALUE"""),10.0)</f>
        <v>10</v>
      </c>
      <c r="Z186" s="254">
        <f>IFERROR(__xludf.DUMMYFUNCTION("""COMPUTED_VALUE"""),1343.0)</f>
        <v>1343</v>
      </c>
    </row>
    <row r="187">
      <c r="A187" s="253">
        <f>IFERROR(__xludf.DUMMYFUNCTION("""COMPUTED_VALUE"""),44160.0)</f>
        <v>44160</v>
      </c>
      <c r="B187" s="254">
        <f>IFERROR(__xludf.DUMMYFUNCTION("""COMPUTED_VALUE"""),1264.0)</f>
        <v>1264</v>
      </c>
      <c r="C187" s="254">
        <f>IFERROR(__xludf.DUMMYFUNCTION("""COMPUTED_VALUE"""),1096.0)</f>
        <v>1096</v>
      </c>
      <c r="D187" s="254">
        <f>IFERROR(__xludf.DUMMYFUNCTION("""COMPUTED_VALUE"""),66700.0)</f>
        <v>66700</v>
      </c>
      <c r="E187" s="254">
        <f>IFERROR(__xludf.DUMMYFUNCTION("""COMPUTED_VALUE"""),18787.0)</f>
        <v>18787</v>
      </c>
      <c r="F187" s="185">
        <f>IFERROR(__xludf.DUMMYFUNCTION("""COMPUTED_VALUE"""),1446444.0)</f>
        <v>1446444</v>
      </c>
      <c r="G187" s="185">
        <f>IFERROR(__xludf.DUMMYFUNCTION("""COMPUTED_VALUE"""),20051.0)</f>
        <v>20051</v>
      </c>
      <c r="H187" s="185">
        <f>IFERROR(__xludf.DUMMYFUNCTION("""COMPUTED_VALUE"""),1513144.0)</f>
        <v>1513144</v>
      </c>
      <c r="I187" s="254">
        <f>IFERROR(__xludf.DUMMYFUNCTION("""COMPUTED_VALUE"""),1176.0)</f>
        <v>1176</v>
      </c>
      <c r="J187" s="254">
        <f>IFERROR(__xludf.DUMMYFUNCTION("""COMPUTED_VALUE"""),999.0)</f>
        <v>999</v>
      </c>
      <c r="K187" s="254">
        <f>IFERROR(__xludf.DUMMYFUNCTION("""COMPUTED_VALUE"""),53663.0)</f>
        <v>53663</v>
      </c>
      <c r="L187" s="254">
        <f>IFERROR(__xludf.DUMMYFUNCTION("""COMPUTED_VALUE"""),3524.0)</f>
        <v>3524</v>
      </c>
      <c r="M187" s="254">
        <f>IFERROR(__xludf.DUMMYFUNCTION("""COMPUTED_VALUE"""),459653.0)</f>
        <v>459653</v>
      </c>
      <c r="N187" s="254">
        <f>IFERROR(__xludf.DUMMYFUNCTION("""COMPUTED_VALUE"""),513316.0)</f>
        <v>513316</v>
      </c>
      <c r="O187" s="254">
        <f>IFERROR(__xludf.DUMMYFUNCTION("""COMPUTED_VALUE"""),54.0)</f>
        <v>54</v>
      </c>
      <c r="P187" s="254">
        <f>IFERROR(__xludf.DUMMYFUNCTION("""COMPUTED_VALUE"""),4481.0)</f>
        <v>4481</v>
      </c>
      <c r="Q187" s="254">
        <f>IFERROR(__xludf.DUMMYFUNCTION("""COMPUTED_VALUE"""),58.0)</f>
        <v>58</v>
      </c>
      <c r="R187" s="254">
        <f>IFERROR(__xludf.DUMMYFUNCTION("""COMPUTED_VALUE"""),3627.0)</f>
        <v>3627</v>
      </c>
      <c r="S187" s="254">
        <f>IFERROR(__xludf.DUMMYFUNCTION("""COMPUTED_VALUE"""),4.0)</f>
        <v>4</v>
      </c>
      <c r="T187" s="254">
        <f>IFERROR(__xludf.DUMMYFUNCTION("""COMPUTED_VALUE"""),470.0)</f>
        <v>470</v>
      </c>
      <c r="U187" s="254">
        <f>IFERROR(__xludf.DUMMYFUNCTION("""COMPUTED_VALUE"""),384.0)</f>
        <v>384</v>
      </c>
      <c r="V187" s="254">
        <f>IFERROR(__xludf.DUMMYFUNCTION("""COMPUTED_VALUE"""),396.0)</f>
        <v>396</v>
      </c>
      <c r="W187" s="254">
        <f>IFERROR(__xludf.DUMMYFUNCTION("""COMPUTED_VALUE"""),43.0)</f>
        <v>43</v>
      </c>
      <c r="X187" s="254">
        <f>IFERROR(__xludf.DUMMYFUNCTION("""COMPUTED_VALUE"""),26.0)</f>
        <v>26</v>
      </c>
      <c r="Y187" s="254">
        <f>IFERROR(__xludf.DUMMYFUNCTION("""COMPUTED_VALUE"""),7.0)</f>
        <v>7</v>
      </c>
      <c r="Z187" s="254">
        <f>IFERROR(__xludf.DUMMYFUNCTION("""COMPUTED_VALUE"""),1350.0)</f>
        <v>1350</v>
      </c>
    </row>
    <row r="188">
      <c r="A188" s="253">
        <f>IFERROR(__xludf.DUMMYFUNCTION("""COMPUTED_VALUE"""),44161.0)</f>
        <v>44161</v>
      </c>
      <c r="B188" s="254">
        <f>IFERROR(__xludf.DUMMYFUNCTION("""COMPUTED_VALUE"""),547.0)</f>
        <v>547</v>
      </c>
      <c r="C188" s="254">
        <f>IFERROR(__xludf.DUMMYFUNCTION("""COMPUTED_VALUE"""),952.0)</f>
        <v>952</v>
      </c>
      <c r="D188" s="254">
        <f>IFERROR(__xludf.DUMMYFUNCTION("""COMPUTED_VALUE"""),67247.0)</f>
        <v>67247</v>
      </c>
      <c r="E188" s="254">
        <f>IFERROR(__xludf.DUMMYFUNCTION("""COMPUTED_VALUE"""),6482.0)</f>
        <v>6482</v>
      </c>
      <c r="F188" s="185">
        <f>IFERROR(__xludf.DUMMYFUNCTION("""COMPUTED_VALUE"""),1452926.0)</f>
        <v>1452926</v>
      </c>
      <c r="G188" s="185">
        <f>IFERROR(__xludf.DUMMYFUNCTION("""COMPUTED_VALUE"""),7029.0)</f>
        <v>7029</v>
      </c>
      <c r="H188" s="185">
        <f>IFERROR(__xludf.DUMMYFUNCTION("""COMPUTED_VALUE"""),1520173.0)</f>
        <v>1520173</v>
      </c>
      <c r="I188" s="254">
        <f>IFERROR(__xludf.DUMMYFUNCTION("""COMPUTED_VALUE"""),468.0)</f>
        <v>468</v>
      </c>
      <c r="J188" s="254">
        <f>IFERROR(__xludf.DUMMYFUNCTION("""COMPUTED_VALUE"""),860.0)</f>
        <v>860</v>
      </c>
      <c r="K188" s="254">
        <f>IFERROR(__xludf.DUMMYFUNCTION("""COMPUTED_VALUE"""),54131.0)</f>
        <v>54131</v>
      </c>
      <c r="L188" s="254">
        <f>IFERROR(__xludf.DUMMYFUNCTION("""COMPUTED_VALUE"""),1569.0)</f>
        <v>1569</v>
      </c>
      <c r="M188" s="254">
        <f>IFERROR(__xludf.DUMMYFUNCTION("""COMPUTED_VALUE"""),461222.0)</f>
        <v>461222</v>
      </c>
      <c r="N188" s="254">
        <f>IFERROR(__xludf.DUMMYFUNCTION("""COMPUTED_VALUE"""),515353.0)</f>
        <v>515353</v>
      </c>
      <c r="O188" s="254">
        <f>IFERROR(__xludf.DUMMYFUNCTION("""COMPUTED_VALUE"""),50.0)</f>
        <v>50</v>
      </c>
      <c r="P188" s="254">
        <f>IFERROR(__xludf.DUMMYFUNCTION("""COMPUTED_VALUE"""),4531.0)</f>
        <v>4531</v>
      </c>
      <c r="Q188" s="254">
        <f>IFERROR(__xludf.DUMMYFUNCTION("""COMPUTED_VALUE"""),36.0)</f>
        <v>36</v>
      </c>
      <c r="R188" s="254">
        <f>IFERROR(__xludf.DUMMYFUNCTION("""COMPUTED_VALUE"""),3663.0)</f>
        <v>3663</v>
      </c>
      <c r="S188" s="254">
        <f>IFERROR(__xludf.DUMMYFUNCTION("""COMPUTED_VALUE"""),4.0)</f>
        <v>4</v>
      </c>
      <c r="T188" s="254">
        <f>IFERROR(__xludf.DUMMYFUNCTION("""COMPUTED_VALUE"""),474.0)</f>
        <v>474</v>
      </c>
      <c r="U188" s="254">
        <f>IFERROR(__xludf.DUMMYFUNCTION("""COMPUTED_VALUE"""),394.0)</f>
        <v>394</v>
      </c>
      <c r="V188" s="254">
        <f>IFERROR(__xludf.DUMMYFUNCTION("""COMPUTED_VALUE"""),390.0)</f>
        <v>390</v>
      </c>
      <c r="W188" s="254">
        <f>IFERROR(__xludf.DUMMYFUNCTION("""COMPUTED_VALUE"""),46.0)</f>
        <v>46</v>
      </c>
      <c r="X188" s="254">
        <f>IFERROR(__xludf.DUMMYFUNCTION("""COMPUTED_VALUE"""),25.0)</f>
        <v>25</v>
      </c>
      <c r="Y188" s="254">
        <f>IFERROR(__xludf.DUMMYFUNCTION("""COMPUTED_VALUE"""),12.0)</f>
        <v>12</v>
      </c>
      <c r="Z188" s="254">
        <f>IFERROR(__xludf.DUMMYFUNCTION("""COMPUTED_VALUE"""),1362.0)</f>
        <v>1362</v>
      </c>
    </row>
    <row r="189">
      <c r="A189" s="253">
        <f>IFERROR(__xludf.DUMMYFUNCTION("""COMPUTED_VALUE"""),44162.0)</f>
        <v>44162</v>
      </c>
      <c r="B189" s="254">
        <f>IFERROR(__xludf.DUMMYFUNCTION("""COMPUTED_VALUE"""),1032.0)</f>
        <v>1032</v>
      </c>
      <c r="C189" s="254">
        <f>IFERROR(__xludf.DUMMYFUNCTION("""COMPUTED_VALUE"""),948.0)</f>
        <v>948</v>
      </c>
      <c r="D189" s="254">
        <f>IFERROR(__xludf.DUMMYFUNCTION("""COMPUTED_VALUE"""),68279.0)</f>
        <v>68279</v>
      </c>
      <c r="E189" s="254">
        <f>IFERROR(__xludf.DUMMYFUNCTION("""COMPUTED_VALUE"""),9716.0)</f>
        <v>9716</v>
      </c>
      <c r="F189" s="185">
        <f>IFERROR(__xludf.DUMMYFUNCTION("""COMPUTED_VALUE"""),1462642.0)</f>
        <v>1462642</v>
      </c>
      <c r="G189" s="185">
        <f>IFERROR(__xludf.DUMMYFUNCTION("""COMPUTED_VALUE"""),10748.0)</f>
        <v>10748</v>
      </c>
      <c r="H189" s="185">
        <f>IFERROR(__xludf.DUMMYFUNCTION("""COMPUTED_VALUE"""),1530921.0)</f>
        <v>1530921</v>
      </c>
      <c r="I189" s="254">
        <f>IFERROR(__xludf.DUMMYFUNCTION("""COMPUTED_VALUE"""),960.0)</f>
        <v>960</v>
      </c>
      <c r="J189" s="254">
        <f>IFERROR(__xludf.DUMMYFUNCTION("""COMPUTED_VALUE"""),868.0)</f>
        <v>868</v>
      </c>
      <c r="K189" s="254">
        <f>IFERROR(__xludf.DUMMYFUNCTION("""COMPUTED_VALUE"""),55091.0)</f>
        <v>55091</v>
      </c>
      <c r="L189" s="254">
        <f>IFERROR(__xludf.DUMMYFUNCTION("""COMPUTED_VALUE"""),2519.0)</f>
        <v>2519</v>
      </c>
      <c r="M189" s="254">
        <f>IFERROR(__xludf.DUMMYFUNCTION("""COMPUTED_VALUE"""),463741.0)</f>
        <v>463741</v>
      </c>
      <c r="N189" s="254">
        <f>IFERROR(__xludf.DUMMYFUNCTION("""COMPUTED_VALUE"""),518832.0)</f>
        <v>518832</v>
      </c>
      <c r="O189" s="254">
        <f>IFERROR(__xludf.DUMMYFUNCTION("""COMPUTED_VALUE"""),52.0)</f>
        <v>52</v>
      </c>
      <c r="P189" s="254">
        <f>IFERROR(__xludf.DUMMYFUNCTION("""COMPUTED_VALUE"""),4583.0)</f>
        <v>4583</v>
      </c>
      <c r="Q189" s="254">
        <f>IFERROR(__xludf.DUMMYFUNCTION("""COMPUTED_VALUE"""),49.0)</f>
        <v>49</v>
      </c>
      <c r="R189" s="254">
        <f>IFERROR(__xludf.DUMMYFUNCTION("""COMPUTED_VALUE"""),3712.0)</f>
        <v>3712</v>
      </c>
      <c r="S189" s="254">
        <f>IFERROR(__xludf.DUMMYFUNCTION("""COMPUTED_VALUE"""),7.0)</f>
        <v>7</v>
      </c>
      <c r="T189" s="254">
        <f>IFERROR(__xludf.DUMMYFUNCTION("""COMPUTED_VALUE"""),481.0)</f>
        <v>481</v>
      </c>
      <c r="U189" s="254">
        <f>IFERROR(__xludf.DUMMYFUNCTION("""COMPUTED_VALUE"""),390.0)</f>
        <v>390</v>
      </c>
      <c r="V189" s="254">
        <f>IFERROR(__xludf.DUMMYFUNCTION("""COMPUTED_VALUE"""),389.0)</f>
        <v>389</v>
      </c>
      <c r="W189" s="254">
        <f>IFERROR(__xludf.DUMMYFUNCTION("""COMPUTED_VALUE"""),46.0)</f>
        <v>46</v>
      </c>
      <c r="X189" s="254">
        <f>IFERROR(__xludf.DUMMYFUNCTION("""COMPUTED_VALUE"""),22.0)</f>
        <v>22</v>
      </c>
      <c r="Y189" s="254">
        <f>IFERROR(__xludf.DUMMYFUNCTION("""COMPUTED_VALUE"""),6.0)</f>
        <v>6</v>
      </c>
      <c r="Z189" s="254">
        <f>IFERROR(__xludf.DUMMYFUNCTION("""COMPUTED_VALUE"""),1368.0)</f>
        <v>1368</v>
      </c>
    </row>
    <row r="190">
      <c r="A190" s="253">
        <f>IFERROR(__xludf.DUMMYFUNCTION("""COMPUTED_VALUE"""),44163.0)</f>
        <v>44163</v>
      </c>
      <c r="B190" s="254">
        <f>IFERROR(__xludf.DUMMYFUNCTION("""COMPUTED_VALUE"""),1173.0)</f>
        <v>1173</v>
      </c>
      <c r="C190" s="254">
        <f>IFERROR(__xludf.DUMMYFUNCTION("""COMPUTED_VALUE"""),917.0)</f>
        <v>917</v>
      </c>
      <c r="D190" s="254">
        <f>IFERROR(__xludf.DUMMYFUNCTION("""COMPUTED_VALUE"""),69452.0)</f>
        <v>69452</v>
      </c>
      <c r="E190" s="254">
        <f>IFERROR(__xludf.DUMMYFUNCTION("""COMPUTED_VALUE"""),11950.0)</f>
        <v>11950</v>
      </c>
      <c r="F190" s="185">
        <f>IFERROR(__xludf.DUMMYFUNCTION("""COMPUTED_VALUE"""),1474592.0)</f>
        <v>1474592</v>
      </c>
      <c r="G190" s="185">
        <f>IFERROR(__xludf.DUMMYFUNCTION("""COMPUTED_VALUE"""),13123.0)</f>
        <v>13123</v>
      </c>
      <c r="H190" s="185">
        <f>IFERROR(__xludf.DUMMYFUNCTION("""COMPUTED_VALUE"""),1544044.0)</f>
        <v>1544044</v>
      </c>
      <c r="I190" s="254">
        <f>IFERROR(__xludf.DUMMYFUNCTION("""COMPUTED_VALUE"""),1086.0)</f>
        <v>1086</v>
      </c>
      <c r="J190" s="254">
        <f>IFERROR(__xludf.DUMMYFUNCTION("""COMPUTED_VALUE"""),838.0)</f>
        <v>838</v>
      </c>
      <c r="K190" s="254">
        <f>IFERROR(__xludf.DUMMYFUNCTION("""COMPUTED_VALUE"""),56177.0)</f>
        <v>56177</v>
      </c>
      <c r="L190" s="254">
        <f>IFERROR(__xludf.DUMMYFUNCTION("""COMPUTED_VALUE"""),2812.0)</f>
        <v>2812</v>
      </c>
      <c r="M190" s="254">
        <f>IFERROR(__xludf.DUMMYFUNCTION("""COMPUTED_VALUE"""),466553.0)</f>
        <v>466553</v>
      </c>
      <c r="N190" s="254">
        <f>IFERROR(__xludf.DUMMYFUNCTION("""COMPUTED_VALUE"""),522730.0)</f>
        <v>522730</v>
      </c>
      <c r="O190" s="254">
        <f>IFERROR(__xludf.DUMMYFUNCTION("""COMPUTED_VALUE"""),63.0)</f>
        <v>63</v>
      </c>
      <c r="P190" s="254">
        <f>IFERROR(__xludf.DUMMYFUNCTION("""COMPUTED_VALUE"""),4646.0)</f>
        <v>4646</v>
      </c>
      <c r="Q190" s="254">
        <f>IFERROR(__xludf.DUMMYFUNCTION("""COMPUTED_VALUE"""),40.0)</f>
        <v>40</v>
      </c>
      <c r="R190" s="254">
        <f>IFERROR(__xludf.DUMMYFUNCTION("""COMPUTED_VALUE"""),3752.0)</f>
        <v>3752</v>
      </c>
      <c r="S190" s="254">
        <f>IFERROR(__xludf.DUMMYFUNCTION("""COMPUTED_VALUE"""),0.0)</f>
        <v>0</v>
      </c>
      <c r="T190" s="254">
        <f>IFERROR(__xludf.DUMMYFUNCTION("""COMPUTED_VALUE"""),481.0)</f>
        <v>481</v>
      </c>
      <c r="U190" s="254">
        <f>IFERROR(__xludf.DUMMYFUNCTION("""COMPUTED_VALUE"""),413.0)</f>
        <v>413</v>
      </c>
      <c r="V190" s="254">
        <f>IFERROR(__xludf.DUMMYFUNCTION("""COMPUTED_VALUE"""),399.0)</f>
        <v>399</v>
      </c>
      <c r="W190" s="254">
        <f>IFERROR(__xludf.DUMMYFUNCTION("""COMPUTED_VALUE"""),47.0)</f>
        <v>47</v>
      </c>
      <c r="X190" s="254">
        <f>IFERROR(__xludf.DUMMYFUNCTION("""COMPUTED_VALUE"""),22.0)</f>
        <v>22</v>
      </c>
      <c r="Y190" s="254">
        <f>IFERROR(__xludf.DUMMYFUNCTION("""COMPUTED_VALUE"""),3.0)</f>
        <v>3</v>
      </c>
      <c r="Z190" s="254">
        <f>IFERROR(__xludf.DUMMYFUNCTION("""COMPUTED_VALUE"""),1371.0)</f>
        <v>1371</v>
      </c>
    </row>
    <row r="191">
      <c r="A191" s="253">
        <f>IFERROR(__xludf.DUMMYFUNCTION("""COMPUTED_VALUE"""),44164.0)</f>
        <v>44164</v>
      </c>
      <c r="B191" s="254">
        <f>IFERROR(__xludf.DUMMYFUNCTION("""COMPUTED_VALUE"""),818.0)</f>
        <v>818</v>
      </c>
      <c r="C191" s="254">
        <f>IFERROR(__xludf.DUMMYFUNCTION("""COMPUTED_VALUE"""),1008.0)</f>
        <v>1008</v>
      </c>
      <c r="D191" s="254">
        <f>IFERROR(__xludf.DUMMYFUNCTION("""COMPUTED_VALUE"""),70270.0)</f>
        <v>70270</v>
      </c>
      <c r="E191" s="254">
        <f>IFERROR(__xludf.DUMMYFUNCTION("""COMPUTED_VALUE"""),6932.0)</f>
        <v>6932</v>
      </c>
      <c r="F191" s="185">
        <f>IFERROR(__xludf.DUMMYFUNCTION("""COMPUTED_VALUE"""),1481524.0)</f>
        <v>1481524</v>
      </c>
      <c r="G191" s="185">
        <f>IFERROR(__xludf.DUMMYFUNCTION("""COMPUTED_VALUE"""),7750.0)</f>
        <v>7750</v>
      </c>
      <c r="H191" s="185">
        <f>IFERROR(__xludf.DUMMYFUNCTION("""COMPUTED_VALUE"""),1551794.0)</f>
        <v>1551794</v>
      </c>
      <c r="I191" s="254">
        <f>IFERROR(__xludf.DUMMYFUNCTION("""COMPUTED_VALUE"""),752.0)</f>
        <v>752</v>
      </c>
      <c r="J191" s="254">
        <f>IFERROR(__xludf.DUMMYFUNCTION("""COMPUTED_VALUE"""),933.0)</f>
        <v>933</v>
      </c>
      <c r="K191" s="254">
        <f>IFERROR(__xludf.DUMMYFUNCTION("""COMPUTED_VALUE"""),56929.0)</f>
        <v>56929</v>
      </c>
      <c r="L191" s="254">
        <f>IFERROR(__xludf.DUMMYFUNCTION("""COMPUTED_VALUE"""),2315.0)</f>
        <v>2315</v>
      </c>
      <c r="M191" s="254">
        <f>IFERROR(__xludf.DUMMYFUNCTION("""COMPUTED_VALUE"""),468868.0)</f>
        <v>468868</v>
      </c>
      <c r="N191" s="254">
        <f>IFERROR(__xludf.DUMMYFUNCTION("""COMPUTED_VALUE"""),525797.0)</f>
        <v>525797</v>
      </c>
      <c r="O191" s="254">
        <f>IFERROR(__xludf.DUMMYFUNCTION("""COMPUTED_VALUE"""),62.0)</f>
        <v>62</v>
      </c>
      <c r="P191" s="254">
        <f>IFERROR(__xludf.DUMMYFUNCTION("""COMPUTED_VALUE"""),4708.0)</f>
        <v>4708</v>
      </c>
      <c r="Q191" s="254">
        <f>IFERROR(__xludf.DUMMYFUNCTION("""COMPUTED_VALUE"""),35.0)</f>
        <v>35</v>
      </c>
      <c r="R191" s="254">
        <f>IFERROR(__xludf.DUMMYFUNCTION("""COMPUTED_VALUE"""),3787.0)</f>
        <v>3787</v>
      </c>
      <c r="S191" s="254">
        <f>IFERROR(__xludf.DUMMYFUNCTION("""COMPUTED_VALUE"""),3.0)</f>
        <v>3</v>
      </c>
      <c r="T191" s="254">
        <f>IFERROR(__xludf.DUMMYFUNCTION("""COMPUTED_VALUE"""),484.0)</f>
        <v>484</v>
      </c>
      <c r="U191" s="254">
        <f>IFERROR(__xludf.DUMMYFUNCTION("""COMPUTED_VALUE"""),437.0)</f>
        <v>437</v>
      </c>
      <c r="V191" s="254">
        <f>IFERROR(__xludf.DUMMYFUNCTION("""COMPUTED_VALUE"""),413.0)</f>
        <v>413</v>
      </c>
      <c r="W191" s="254">
        <f>IFERROR(__xludf.DUMMYFUNCTION("""COMPUTED_VALUE"""),48.0)</f>
        <v>48</v>
      </c>
      <c r="X191" s="254">
        <f>IFERROR(__xludf.DUMMYFUNCTION("""COMPUTED_VALUE"""),24.0)</f>
        <v>24</v>
      </c>
      <c r="Y191" s="254">
        <f>IFERROR(__xludf.DUMMYFUNCTION("""COMPUTED_VALUE"""),8.0)</f>
        <v>8</v>
      </c>
      <c r="Z191" s="254">
        <f>IFERROR(__xludf.DUMMYFUNCTION("""COMPUTED_VALUE"""),1379.0)</f>
        <v>1379</v>
      </c>
    </row>
    <row r="192">
      <c r="A192" s="253">
        <f>IFERROR(__xludf.DUMMYFUNCTION("""COMPUTED_VALUE"""),44165.0)</f>
        <v>44165</v>
      </c>
      <c r="B192" s="254">
        <f>IFERROR(__xludf.DUMMYFUNCTION("""COMPUTED_VALUE"""),1276.0)</f>
        <v>1276</v>
      </c>
      <c r="C192" s="254">
        <f>IFERROR(__xludf.DUMMYFUNCTION("""COMPUTED_VALUE"""),1089.0)</f>
        <v>1089</v>
      </c>
      <c r="D192" s="254">
        <f>IFERROR(__xludf.DUMMYFUNCTION("""COMPUTED_VALUE"""),71546.0)</f>
        <v>71546</v>
      </c>
      <c r="E192" s="254">
        <f>IFERROR(__xludf.DUMMYFUNCTION("""COMPUTED_VALUE"""),9913.0)</f>
        <v>9913</v>
      </c>
      <c r="F192" s="185">
        <f>IFERROR(__xludf.DUMMYFUNCTION("""COMPUTED_VALUE"""),1491437.0)</f>
        <v>1491437</v>
      </c>
      <c r="G192" s="185">
        <f>IFERROR(__xludf.DUMMYFUNCTION("""COMPUTED_VALUE"""),11189.0)</f>
        <v>11189</v>
      </c>
      <c r="H192" s="185">
        <f>IFERROR(__xludf.DUMMYFUNCTION("""COMPUTED_VALUE"""),1562983.0)</f>
        <v>1562983</v>
      </c>
      <c r="I192" s="254">
        <f>IFERROR(__xludf.DUMMYFUNCTION("""COMPUTED_VALUE"""),1152.0)</f>
        <v>1152</v>
      </c>
      <c r="J192" s="254">
        <f>IFERROR(__xludf.DUMMYFUNCTION("""COMPUTED_VALUE"""),997.0)</f>
        <v>997</v>
      </c>
      <c r="K192" s="254">
        <f>IFERROR(__xludf.DUMMYFUNCTION("""COMPUTED_VALUE"""),58081.0)</f>
        <v>58081</v>
      </c>
      <c r="L192" s="254">
        <f>IFERROR(__xludf.DUMMYFUNCTION("""COMPUTED_VALUE"""),2808.0)</f>
        <v>2808</v>
      </c>
      <c r="M192" s="254">
        <f>IFERROR(__xludf.DUMMYFUNCTION("""COMPUTED_VALUE"""),471676.0)</f>
        <v>471676</v>
      </c>
      <c r="N192" s="254">
        <f>IFERROR(__xludf.DUMMYFUNCTION("""COMPUTED_VALUE"""),529757.0)</f>
        <v>529757</v>
      </c>
      <c r="O192" s="254">
        <f>IFERROR(__xludf.DUMMYFUNCTION("""COMPUTED_VALUE"""),65.0)</f>
        <v>65</v>
      </c>
      <c r="P192" s="254">
        <f>IFERROR(__xludf.DUMMYFUNCTION("""COMPUTED_VALUE"""),4773.0)</f>
        <v>4773</v>
      </c>
      <c r="Q192" s="254">
        <f>IFERROR(__xludf.DUMMYFUNCTION("""COMPUTED_VALUE"""),59.0)</f>
        <v>59</v>
      </c>
      <c r="R192" s="254">
        <f>IFERROR(__xludf.DUMMYFUNCTION("""COMPUTED_VALUE"""),3846.0)</f>
        <v>3846</v>
      </c>
      <c r="S192" s="254">
        <f>IFERROR(__xludf.DUMMYFUNCTION("""COMPUTED_VALUE"""),2.0)</f>
        <v>2</v>
      </c>
      <c r="T192" s="254">
        <f>IFERROR(__xludf.DUMMYFUNCTION("""COMPUTED_VALUE"""),486.0)</f>
        <v>486</v>
      </c>
      <c r="U192" s="254">
        <f>IFERROR(__xludf.DUMMYFUNCTION("""COMPUTED_VALUE"""),441.0)</f>
        <v>441</v>
      </c>
      <c r="V192" s="254">
        <f>IFERROR(__xludf.DUMMYFUNCTION("""COMPUTED_VALUE"""),430.0)</f>
        <v>430</v>
      </c>
      <c r="W192" s="254">
        <f>IFERROR(__xludf.DUMMYFUNCTION("""COMPUTED_VALUE"""),51.0)</f>
        <v>51</v>
      </c>
      <c r="X192" s="254">
        <f>IFERROR(__xludf.DUMMYFUNCTION("""COMPUTED_VALUE"""),30.0)</f>
        <v>30</v>
      </c>
      <c r="Y192" s="254">
        <f>IFERROR(__xludf.DUMMYFUNCTION("""COMPUTED_VALUE"""),6.0)</f>
        <v>6</v>
      </c>
      <c r="Z192" s="254">
        <f>IFERROR(__xludf.DUMMYFUNCTION("""COMPUTED_VALUE"""),1385.0)</f>
        <v>1385</v>
      </c>
    </row>
    <row r="193">
      <c r="A193" s="253">
        <f>IFERROR(__xludf.DUMMYFUNCTION("""COMPUTED_VALUE"""),44166.0)</f>
        <v>44166</v>
      </c>
      <c r="B193" s="254">
        <f>IFERROR(__xludf.DUMMYFUNCTION("""COMPUTED_VALUE"""),1548.0)</f>
        <v>1548</v>
      </c>
      <c r="C193" s="254">
        <f>IFERROR(__xludf.DUMMYFUNCTION("""COMPUTED_VALUE"""),1214.0)</f>
        <v>1214</v>
      </c>
      <c r="D193" s="254">
        <f>IFERROR(__xludf.DUMMYFUNCTION("""COMPUTED_VALUE"""),73094.0)</f>
        <v>73094</v>
      </c>
      <c r="E193" s="254">
        <f>IFERROR(__xludf.DUMMYFUNCTION("""COMPUTED_VALUE"""),13943.0)</f>
        <v>13943</v>
      </c>
      <c r="F193" s="185">
        <f>IFERROR(__xludf.DUMMYFUNCTION("""COMPUTED_VALUE"""),1505380.0)</f>
        <v>1505380</v>
      </c>
      <c r="G193" s="185">
        <f>IFERROR(__xludf.DUMMYFUNCTION("""COMPUTED_VALUE"""),15491.0)</f>
        <v>15491</v>
      </c>
      <c r="H193" s="185">
        <f>IFERROR(__xludf.DUMMYFUNCTION("""COMPUTED_VALUE"""),1578474.0)</f>
        <v>1578474</v>
      </c>
      <c r="I193" s="254">
        <f>IFERROR(__xludf.DUMMYFUNCTION("""COMPUTED_VALUE"""),1413.0)</f>
        <v>1413</v>
      </c>
      <c r="J193" s="254">
        <f>IFERROR(__xludf.DUMMYFUNCTION("""COMPUTED_VALUE"""),1106.0)</f>
        <v>1106</v>
      </c>
      <c r="K193" s="254">
        <f>IFERROR(__xludf.DUMMYFUNCTION("""COMPUTED_VALUE"""),59494.0)</f>
        <v>59494</v>
      </c>
      <c r="L193" s="254">
        <f>IFERROR(__xludf.DUMMYFUNCTION("""COMPUTED_VALUE"""),3389.0)</f>
        <v>3389</v>
      </c>
      <c r="M193" s="254">
        <f>IFERROR(__xludf.DUMMYFUNCTION("""COMPUTED_VALUE"""),475065.0)</f>
        <v>475065</v>
      </c>
      <c r="N193" s="254">
        <f>IFERROR(__xludf.DUMMYFUNCTION("""COMPUTED_VALUE"""),534559.0)</f>
        <v>534559</v>
      </c>
      <c r="O193" s="254">
        <f>IFERROR(__xludf.DUMMYFUNCTION("""COMPUTED_VALUE"""),57.0)</f>
        <v>57</v>
      </c>
      <c r="P193" s="254">
        <f>IFERROR(__xludf.DUMMYFUNCTION("""COMPUTED_VALUE"""),4830.0)</f>
        <v>4830</v>
      </c>
      <c r="Q193" s="254">
        <f>IFERROR(__xludf.DUMMYFUNCTION("""COMPUTED_VALUE"""),54.0)</f>
        <v>54</v>
      </c>
      <c r="R193" s="254">
        <f>IFERROR(__xludf.DUMMYFUNCTION("""COMPUTED_VALUE"""),3900.0)</f>
        <v>3900</v>
      </c>
      <c r="S193" s="254">
        <f>IFERROR(__xludf.DUMMYFUNCTION("""COMPUTED_VALUE"""),4.0)</f>
        <v>4</v>
      </c>
      <c r="T193" s="254">
        <f>IFERROR(__xludf.DUMMYFUNCTION("""COMPUTED_VALUE"""),490.0)</f>
        <v>490</v>
      </c>
      <c r="U193" s="254">
        <f>IFERROR(__xludf.DUMMYFUNCTION("""COMPUTED_VALUE"""),440.0)</f>
        <v>440</v>
      </c>
      <c r="V193" s="254">
        <f>IFERROR(__xludf.DUMMYFUNCTION("""COMPUTED_VALUE"""),439.0)</f>
        <v>439</v>
      </c>
      <c r="W193" s="254">
        <f>IFERROR(__xludf.DUMMYFUNCTION("""COMPUTED_VALUE"""),50.0)</f>
        <v>50</v>
      </c>
      <c r="X193" s="254">
        <f>IFERROR(__xludf.DUMMYFUNCTION("""COMPUTED_VALUE"""),32.0)</f>
        <v>32</v>
      </c>
      <c r="Y193" s="254">
        <f>IFERROR(__xludf.DUMMYFUNCTION("""COMPUTED_VALUE"""),12.0)</f>
        <v>12</v>
      </c>
      <c r="Z193" s="254">
        <f>IFERROR(__xludf.DUMMYFUNCTION("""COMPUTED_VALUE"""),1397.0)</f>
        <v>1397</v>
      </c>
    </row>
    <row r="194">
      <c r="A194" s="253">
        <f>IFERROR(__xludf.DUMMYFUNCTION("""COMPUTED_VALUE"""),44167.0)</f>
        <v>44167</v>
      </c>
      <c r="B194" s="254">
        <f>IFERROR(__xludf.DUMMYFUNCTION("""COMPUTED_VALUE"""),1556.0)</f>
        <v>1556</v>
      </c>
      <c r="C194" s="254">
        <f>IFERROR(__xludf.DUMMYFUNCTION("""COMPUTED_VALUE"""),1460.0)</f>
        <v>1460</v>
      </c>
      <c r="D194" s="254">
        <f>IFERROR(__xludf.DUMMYFUNCTION("""COMPUTED_VALUE"""),74650.0)</f>
        <v>74650</v>
      </c>
      <c r="E194" s="254">
        <f>IFERROR(__xludf.DUMMYFUNCTION("""COMPUTED_VALUE"""),15568.0)</f>
        <v>15568</v>
      </c>
      <c r="F194" s="185">
        <f>IFERROR(__xludf.DUMMYFUNCTION("""COMPUTED_VALUE"""),1520948.0)</f>
        <v>1520948</v>
      </c>
      <c r="G194" s="185">
        <f>IFERROR(__xludf.DUMMYFUNCTION("""COMPUTED_VALUE"""),17124.0)</f>
        <v>17124</v>
      </c>
      <c r="H194" s="185">
        <f>IFERROR(__xludf.DUMMYFUNCTION("""COMPUTED_VALUE"""),1595598.0)</f>
        <v>1595598</v>
      </c>
      <c r="I194" s="254">
        <f>IFERROR(__xludf.DUMMYFUNCTION("""COMPUTED_VALUE"""),1421.0)</f>
        <v>1421</v>
      </c>
      <c r="J194" s="254">
        <f>IFERROR(__xludf.DUMMYFUNCTION("""COMPUTED_VALUE"""),1329.0)</f>
        <v>1329</v>
      </c>
      <c r="K194" s="254">
        <f>IFERROR(__xludf.DUMMYFUNCTION("""COMPUTED_VALUE"""),60915.0)</f>
        <v>60915</v>
      </c>
      <c r="L194" s="254">
        <f>IFERROR(__xludf.DUMMYFUNCTION("""COMPUTED_VALUE"""),3269.0)</f>
        <v>3269</v>
      </c>
      <c r="M194" s="254">
        <f>IFERROR(__xludf.DUMMYFUNCTION("""COMPUTED_VALUE"""),478334.0)</f>
        <v>478334</v>
      </c>
      <c r="N194" s="254">
        <f>IFERROR(__xludf.DUMMYFUNCTION("""COMPUTED_VALUE"""),539249.0)</f>
        <v>539249</v>
      </c>
      <c r="O194" s="254">
        <f>IFERROR(__xludf.DUMMYFUNCTION("""COMPUTED_VALUE"""),55.0)</f>
        <v>55</v>
      </c>
      <c r="P194" s="254">
        <f>IFERROR(__xludf.DUMMYFUNCTION("""COMPUTED_VALUE"""),4885.0)</f>
        <v>4885</v>
      </c>
      <c r="Q194" s="254">
        <f>IFERROR(__xludf.DUMMYFUNCTION("""COMPUTED_VALUE"""),52.0)</f>
        <v>52</v>
      </c>
      <c r="R194" s="254">
        <f>IFERROR(__xludf.DUMMYFUNCTION("""COMPUTED_VALUE"""),3952.0)</f>
        <v>3952</v>
      </c>
      <c r="S194" s="254">
        <f>IFERROR(__xludf.DUMMYFUNCTION("""COMPUTED_VALUE"""),7.0)</f>
        <v>7</v>
      </c>
      <c r="T194" s="254">
        <f>IFERROR(__xludf.DUMMYFUNCTION("""COMPUTED_VALUE"""),497.0)</f>
        <v>497</v>
      </c>
      <c r="U194" s="254">
        <f>IFERROR(__xludf.DUMMYFUNCTION("""COMPUTED_VALUE"""),436.0)</f>
        <v>436</v>
      </c>
      <c r="V194" s="254">
        <f>IFERROR(__xludf.DUMMYFUNCTION("""COMPUTED_VALUE"""),439.0)</f>
        <v>439</v>
      </c>
      <c r="W194" s="254">
        <f>IFERROR(__xludf.DUMMYFUNCTION("""COMPUTED_VALUE"""),50.0)</f>
        <v>50</v>
      </c>
      <c r="X194" s="254">
        <f>IFERROR(__xludf.DUMMYFUNCTION("""COMPUTED_VALUE"""),31.0)</f>
        <v>31</v>
      </c>
      <c r="Y194" s="254">
        <f>IFERROR(__xludf.DUMMYFUNCTION("""COMPUTED_VALUE"""),14.0)</f>
        <v>14</v>
      </c>
      <c r="Z194" s="254">
        <f>IFERROR(__xludf.DUMMYFUNCTION("""COMPUTED_VALUE"""),1411.0)</f>
        <v>1411</v>
      </c>
    </row>
    <row r="195">
      <c r="A195" s="253">
        <f>IFERROR(__xludf.DUMMYFUNCTION("""COMPUTED_VALUE"""),44168.0)</f>
        <v>44168</v>
      </c>
      <c r="B195" s="254">
        <f>IFERROR(__xludf.DUMMYFUNCTION("""COMPUTED_VALUE"""),1760.0)</f>
        <v>1760</v>
      </c>
      <c r="C195" s="254">
        <f>IFERROR(__xludf.DUMMYFUNCTION("""COMPUTED_VALUE"""),1621.0)</f>
        <v>1621</v>
      </c>
      <c r="D195" s="254">
        <f>IFERROR(__xludf.DUMMYFUNCTION("""COMPUTED_VALUE"""),76410.0)</f>
        <v>76410</v>
      </c>
      <c r="E195" s="254">
        <f>IFERROR(__xludf.DUMMYFUNCTION("""COMPUTED_VALUE"""),14626.0)</f>
        <v>14626</v>
      </c>
      <c r="F195" s="185">
        <f>IFERROR(__xludf.DUMMYFUNCTION("""COMPUTED_VALUE"""),1535574.0)</f>
        <v>1535574</v>
      </c>
      <c r="G195" s="185">
        <f>IFERROR(__xludf.DUMMYFUNCTION("""COMPUTED_VALUE"""),16386.0)</f>
        <v>16386</v>
      </c>
      <c r="H195" s="185">
        <f>IFERROR(__xludf.DUMMYFUNCTION("""COMPUTED_VALUE"""),1611984.0)</f>
        <v>1611984</v>
      </c>
      <c r="I195" s="254">
        <f>IFERROR(__xludf.DUMMYFUNCTION("""COMPUTED_VALUE"""),1634.0)</f>
        <v>1634</v>
      </c>
      <c r="J195" s="254">
        <f>IFERROR(__xludf.DUMMYFUNCTION("""COMPUTED_VALUE"""),1489.0)</f>
        <v>1489</v>
      </c>
      <c r="K195" s="254">
        <f>IFERROR(__xludf.DUMMYFUNCTION("""COMPUTED_VALUE"""),62549.0)</f>
        <v>62549</v>
      </c>
      <c r="L195" s="254">
        <f>IFERROR(__xludf.DUMMYFUNCTION("""COMPUTED_VALUE"""),3339.0)</f>
        <v>3339</v>
      </c>
      <c r="M195" s="254">
        <f>IFERROR(__xludf.DUMMYFUNCTION("""COMPUTED_VALUE"""),481673.0)</f>
        <v>481673</v>
      </c>
      <c r="N195" s="254">
        <f>IFERROR(__xludf.DUMMYFUNCTION("""COMPUTED_VALUE"""),544222.0)</f>
        <v>544222</v>
      </c>
      <c r="O195" s="254">
        <f>IFERROR(__xludf.DUMMYFUNCTION("""COMPUTED_VALUE"""),62.0)</f>
        <v>62</v>
      </c>
      <c r="P195" s="254">
        <f>IFERROR(__xludf.DUMMYFUNCTION("""COMPUTED_VALUE"""),4947.0)</f>
        <v>4947</v>
      </c>
      <c r="Q195" s="254">
        <f>IFERROR(__xludf.DUMMYFUNCTION("""COMPUTED_VALUE"""),77.0)</f>
        <v>77</v>
      </c>
      <c r="R195" s="254">
        <f>IFERROR(__xludf.DUMMYFUNCTION("""COMPUTED_VALUE"""),4029.0)</f>
        <v>4029</v>
      </c>
      <c r="S195" s="254">
        <f>IFERROR(__xludf.DUMMYFUNCTION("""COMPUTED_VALUE"""),5.0)</f>
        <v>5</v>
      </c>
      <c r="T195" s="254">
        <f>IFERROR(__xludf.DUMMYFUNCTION("""COMPUTED_VALUE"""),502.0)</f>
        <v>502</v>
      </c>
      <c r="U195" s="254">
        <f>IFERROR(__xludf.DUMMYFUNCTION("""COMPUTED_VALUE"""),416.0)</f>
        <v>416</v>
      </c>
      <c r="V195" s="254">
        <f>IFERROR(__xludf.DUMMYFUNCTION("""COMPUTED_VALUE"""),431.0)</f>
        <v>431</v>
      </c>
      <c r="W195" s="254">
        <f>IFERROR(__xludf.DUMMYFUNCTION("""COMPUTED_VALUE"""),47.0)</f>
        <v>47</v>
      </c>
      <c r="X195" s="254">
        <f>IFERROR(__xludf.DUMMYFUNCTION("""COMPUTED_VALUE"""),32.0)</f>
        <v>32</v>
      </c>
      <c r="Y195" s="254">
        <f>IFERROR(__xludf.DUMMYFUNCTION("""COMPUTED_VALUE"""),9.0)</f>
        <v>9</v>
      </c>
      <c r="Z195" s="254">
        <f>IFERROR(__xludf.DUMMYFUNCTION("""COMPUTED_VALUE"""),1420.0)</f>
        <v>1420</v>
      </c>
    </row>
    <row r="196">
      <c r="A196" s="253">
        <f>IFERROR(__xludf.DUMMYFUNCTION("""COMPUTED_VALUE"""),44169.0)</f>
        <v>44169</v>
      </c>
      <c r="B196" s="254">
        <f>IFERROR(__xludf.DUMMYFUNCTION("""COMPUTED_VALUE"""),1641.0)</f>
        <v>1641</v>
      </c>
      <c r="C196" s="254">
        <f>IFERROR(__xludf.DUMMYFUNCTION("""COMPUTED_VALUE"""),1652.0)</f>
        <v>1652</v>
      </c>
      <c r="D196" s="254">
        <f>IFERROR(__xludf.DUMMYFUNCTION("""COMPUTED_VALUE"""),78051.0)</f>
        <v>78051</v>
      </c>
      <c r="E196" s="254">
        <f>IFERROR(__xludf.DUMMYFUNCTION("""COMPUTED_VALUE"""),16515.0)</f>
        <v>16515</v>
      </c>
      <c r="F196" s="185">
        <f>IFERROR(__xludf.DUMMYFUNCTION("""COMPUTED_VALUE"""),1552089.0)</f>
        <v>1552089</v>
      </c>
      <c r="G196" s="185">
        <f>IFERROR(__xludf.DUMMYFUNCTION("""COMPUTED_VALUE"""),18156.0)</f>
        <v>18156</v>
      </c>
      <c r="H196" s="185">
        <f>IFERROR(__xludf.DUMMYFUNCTION("""COMPUTED_VALUE"""),1630140.0)</f>
        <v>1630140</v>
      </c>
      <c r="I196" s="254">
        <f>IFERROR(__xludf.DUMMYFUNCTION("""COMPUTED_VALUE"""),1512.0)</f>
        <v>1512</v>
      </c>
      <c r="J196" s="254">
        <f>IFERROR(__xludf.DUMMYFUNCTION("""COMPUTED_VALUE"""),1522.0)</f>
        <v>1522</v>
      </c>
      <c r="K196" s="254">
        <f>IFERROR(__xludf.DUMMYFUNCTION("""COMPUTED_VALUE"""),64061.0)</f>
        <v>64061</v>
      </c>
      <c r="L196" s="254">
        <f>IFERROR(__xludf.DUMMYFUNCTION("""COMPUTED_VALUE"""),3830.0)</f>
        <v>3830</v>
      </c>
      <c r="M196" s="254">
        <f>IFERROR(__xludf.DUMMYFUNCTION("""COMPUTED_VALUE"""),485503.0)</f>
        <v>485503</v>
      </c>
      <c r="N196" s="254">
        <f>IFERROR(__xludf.DUMMYFUNCTION("""COMPUTED_VALUE"""),549564.0)</f>
        <v>549564</v>
      </c>
      <c r="O196" s="254">
        <f>IFERROR(__xludf.DUMMYFUNCTION("""COMPUTED_VALUE"""),61.0)</f>
        <v>61</v>
      </c>
      <c r="P196" s="254">
        <f>IFERROR(__xludf.DUMMYFUNCTION("""COMPUTED_VALUE"""),5008.0)</f>
        <v>5008</v>
      </c>
      <c r="Q196" s="254">
        <f>IFERROR(__xludf.DUMMYFUNCTION("""COMPUTED_VALUE"""),49.0)</f>
        <v>49</v>
      </c>
      <c r="R196" s="254">
        <f>IFERROR(__xludf.DUMMYFUNCTION("""COMPUTED_VALUE"""),4078.0)</f>
        <v>4078</v>
      </c>
      <c r="S196" s="254">
        <f>IFERROR(__xludf.DUMMYFUNCTION("""COMPUTED_VALUE"""),7.0)</f>
        <v>7</v>
      </c>
      <c r="T196" s="254">
        <f>IFERROR(__xludf.DUMMYFUNCTION("""COMPUTED_VALUE"""),509.0)</f>
        <v>509</v>
      </c>
      <c r="U196" s="254">
        <f>IFERROR(__xludf.DUMMYFUNCTION("""COMPUTED_VALUE"""),421.0)</f>
        <v>421</v>
      </c>
      <c r="V196" s="254">
        <f>IFERROR(__xludf.DUMMYFUNCTION("""COMPUTED_VALUE"""),424.0)</f>
        <v>424</v>
      </c>
      <c r="W196" s="254">
        <f>IFERROR(__xludf.DUMMYFUNCTION("""COMPUTED_VALUE"""),43.0)</f>
        <v>43</v>
      </c>
      <c r="X196" s="254">
        <f>IFERROR(__xludf.DUMMYFUNCTION("""COMPUTED_VALUE"""),30.0)</f>
        <v>30</v>
      </c>
      <c r="Y196" s="254">
        <f>IFERROR(__xludf.DUMMYFUNCTION("""COMPUTED_VALUE"""),11.0)</f>
        <v>11</v>
      </c>
      <c r="Z196" s="254">
        <f>IFERROR(__xludf.DUMMYFUNCTION("""COMPUTED_VALUE"""),1431.0)</f>
        <v>1431</v>
      </c>
    </row>
    <row r="197">
      <c r="A197" s="253">
        <f>IFERROR(__xludf.DUMMYFUNCTION("""COMPUTED_VALUE"""),44170.0)</f>
        <v>44170</v>
      </c>
      <c r="B197" s="254">
        <f>IFERROR(__xludf.DUMMYFUNCTION("""COMPUTED_VALUE"""),1200.0)</f>
        <v>1200</v>
      </c>
      <c r="C197" s="254">
        <f>IFERROR(__xludf.DUMMYFUNCTION("""COMPUTED_VALUE"""),1534.0)</f>
        <v>1534</v>
      </c>
      <c r="D197" s="254">
        <f>IFERROR(__xludf.DUMMYFUNCTION("""COMPUTED_VALUE"""),79251.0)</f>
        <v>79251</v>
      </c>
      <c r="E197" s="254">
        <f>IFERROR(__xludf.DUMMYFUNCTION("""COMPUTED_VALUE"""),12597.0)</f>
        <v>12597</v>
      </c>
      <c r="F197" s="185">
        <f>IFERROR(__xludf.DUMMYFUNCTION("""COMPUTED_VALUE"""),1564686.0)</f>
        <v>1564686</v>
      </c>
      <c r="G197" s="185">
        <f>IFERROR(__xludf.DUMMYFUNCTION("""COMPUTED_VALUE"""),13797.0)</f>
        <v>13797</v>
      </c>
      <c r="H197" s="185">
        <f>IFERROR(__xludf.DUMMYFUNCTION("""COMPUTED_VALUE"""),1643937.0)</f>
        <v>1643937</v>
      </c>
      <c r="I197" s="254">
        <f>IFERROR(__xludf.DUMMYFUNCTION("""COMPUTED_VALUE"""),1051.0)</f>
        <v>1051</v>
      </c>
      <c r="J197" s="254">
        <f>IFERROR(__xludf.DUMMYFUNCTION("""COMPUTED_VALUE"""),1399.0)</f>
        <v>1399</v>
      </c>
      <c r="K197" s="254">
        <f>IFERROR(__xludf.DUMMYFUNCTION("""COMPUTED_VALUE"""),65112.0)</f>
        <v>65112</v>
      </c>
      <c r="L197" s="254">
        <f>IFERROR(__xludf.DUMMYFUNCTION("""COMPUTED_VALUE"""),2907.0)</f>
        <v>2907</v>
      </c>
      <c r="M197" s="254">
        <f>IFERROR(__xludf.DUMMYFUNCTION("""COMPUTED_VALUE"""),488410.0)</f>
        <v>488410</v>
      </c>
      <c r="N197" s="254">
        <f>IFERROR(__xludf.DUMMYFUNCTION("""COMPUTED_VALUE"""),553522.0)</f>
        <v>553522</v>
      </c>
      <c r="O197" s="254">
        <f>IFERROR(__xludf.DUMMYFUNCTION("""COMPUTED_VALUE"""),65.0)</f>
        <v>65</v>
      </c>
      <c r="P197" s="254">
        <f>IFERROR(__xludf.DUMMYFUNCTION("""COMPUTED_VALUE"""),5073.0)</f>
        <v>5073</v>
      </c>
      <c r="Q197" s="254">
        <f>IFERROR(__xludf.DUMMYFUNCTION("""COMPUTED_VALUE"""),41.0)</f>
        <v>41</v>
      </c>
      <c r="R197" s="254">
        <f>IFERROR(__xludf.DUMMYFUNCTION("""COMPUTED_VALUE"""),4119.0)</f>
        <v>4119</v>
      </c>
      <c r="S197" s="254">
        <f>IFERROR(__xludf.DUMMYFUNCTION("""COMPUTED_VALUE"""),4.0)</f>
        <v>4</v>
      </c>
      <c r="T197" s="254">
        <f>IFERROR(__xludf.DUMMYFUNCTION("""COMPUTED_VALUE"""),513.0)</f>
        <v>513</v>
      </c>
      <c r="U197" s="254">
        <f>IFERROR(__xludf.DUMMYFUNCTION("""COMPUTED_VALUE"""),441.0)</f>
        <v>441</v>
      </c>
      <c r="V197" s="254">
        <f>IFERROR(__xludf.DUMMYFUNCTION("""COMPUTED_VALUE"""),426.0)</f>
        <v>426</v>
      </c>
      <c r="W197" s="254">
        <f>IFERROR(__xludf.DUMMYFUNCTION("""COMPUTED_VALUE"""),45.0)</f>
        <v>45</v>
      </c>
      <c r="X197" s="254">
        <f>IFERROR(__xludf.DUMMYFUNCTION("""COMPUTED_VALUE"""),30.0)</f>
        <v>30</v>
      </c>
      <c r="Y197" s="254">
        <f>IFERROR(__xludf.DUMMYFUNCTION("""COMPUTED_VALUE"""),11.0)</f>
        <v>11</v>
      </c>
      <c r="Z197" s="254">
        <f>IFERROR(__xludf.DUMMYFUNCTION("""COMPUTED_VALUE"""),1442.0)</f>
        <v>1442</v>
      </c>
    </row>
    <row r="198">
      <c r="A198" s="253">
        <f>IFERROR(__xludf.DUMMYFUNCTION("""COMPUTED_VALUE"""),44171.0)</f>
        <v>44171</v>
      </c>
      <c r="B198" s="254">
        <f>IFERROR(__xludf.DUMMYFUNCTION("""COMPUTED_VALUE"""),1123.0)</f>
        <v>1123</v>
      </c>
      <c r="C198" s="254">
        <f>IFERROR(__xludf.DUMMYFUNCTION("""COMPUTED_VALUE"""),1321.0)</f>
        <v>1321</v>
      </c>
      <c r="D198" s="254">
        <f>IFERROR(__xludf.DUMMYFUNCTION("""COMPUTED_VALUE"""),80374.0)</f>
        <v>80374</v>
      </c>
      <c r="E198" s="254">
        <f>IFERROR(__xludf.DUMMYFUNCTION("""COMPUTED_VALUE"""),7807.0)</f>
        <v>7807</v>
      </c>
      <c r="F198" s="185">
        <f>IFERROR(__xludf.DUMMYFUNCTION("""COMPUTED_VALUE"""),1572493.0)</f>
        <v>1572493</v>
      </c>
      <c r="G198" s="185">
        <f>IFERROR(__xludf.DUMMYFUNCTION("""COMPUTED_VALUE"""),8930.0)</f>
        <v>8930</v>
      </c>
      <c r="H198" s="185">
        <f>IFERROR(__xludf.DUMMYFUNCTION("""COMPUTED_VALUE"""),1652867.0)</f>
        <v>1652867</v>
      </c>
      <c r="I198" s="254">
        <f>IFERROR(__xludf.DUMMYFUNCTION("""COMPUTED_VALUE"""),973.0)</f>
        <v>973</v>
      </c>
      <c r="J198" s="254">
        <f>IFERROR(__xludf.DUMMYFUNCTION("""COMPUTED_VALUE"""),1179.0)</f>
        <v>1179</v>
      </c>
      <c r="K198" s="254">
        <f>IFERROR(__xludf.DUMMYFUNCTION("""COMPUTED_VALUE"""),66085.0)</f>
        <v>66085</v>
      </c>
      <c r="L198" s="254">
        <f>IFERROR(__xludf.DUMMYFUNCTION("""COMPUTED_VALUE"""),2518.0)</f>
        <v>2518</v>
      </c>
      <c r="M198" s="254">
        <f>IFERROR(__xludf.DUMMYFUNCTION("""COMPUTED_VALUE"""),490928.0)</f>
        <v>490928</v>
      </c>
      <c r="N198" s="254">
        <f>IFERROR(__xludf.DUMMYFUNCTION("""COMPUTED_VALUE"""),557013.0)</f>
        <v>557013</v>
      </c>
      <c r="O198" s="254">
        <f>IFERROR(__xludf.DUMMYFUNCTION("""COMPUTED_VALUE"""),60.0)</f>
        <v>60</v>
      </c>
      <c r="P198" s="254">
        <f>IFERROR(__xludf.DUMMYFUNCTION("""COMPUTED_VALUE"""),5133.0)</f>
        <v>5133</v>
      </c>
      <c r="Q198" s="254">
        <f>IFERROR(__xludf.DUMMYFUNCTION("""COMPUTED_VALUE"""),48.0)</f>
        <v>48</v>
      </c>
      <c r="R198" s="254">
        <f>IFERROR(__xludf.DUMMYFUNCTION("""COMPUTED_VALUE"""),4167.0)</f>
        <v>4167</v>
      </c>
      <c r="S198" s="254">
        <f>IFERROR(__xludf.DUMMYFUNCTION("""COMPUTED_VALUE"""),9.0)</f>
        <v>9</v>
      </c>
      <c r="T198" s="254">
        <f>IFERROR(__xludf.DUMMYFUNCTION("""COMPUTED_VALUE"""),522.0)</f>
        <v>522</v>
      </c>
      <c r="U198" s="254">
        <f>IFERROR(__xludf.DUMMYFUNCTION("""COMPUTED_VALUE"""),444.0)</f>
        <v>444</v>
      </c>
      <c r="V198" s="254">
        <f>IFERROR(__xludf.DUMMYFUNCTION("""COMPUTED_VALUE"""),435.0)</f>
        <v>435</v>
      </c>
      <c r="W198" s="254">
        <f>IFERROR(__xludf.DUMMYFUNCTION("""COMPUTED_VALUE"""),43.0)</f>
        <v>43</v>
      </c>
      <c r="X198" s="254">
        <f>IFERROR(__xludf.DUMMYFUNCTION("""COMPUTED_VALUE"""),25.0)</f>
        <v>25</v>
      </c>
      <c r="Y198" s="254">
        <f>IFERROR(__xludf.DUMMYFUNCTION("""COMPUTED_VALUE"""),11.0)</f>
        <v>11</v>
      </c>
      <c r="Z198" s="254">
        <f>IFERROR(__xludf.DUMMYFUNCTION("""COMPUTED_VALUE"""),1453.0)</f>
        <v>1453</v>
      </c>
    </row>
    <row r="199">
      <c r="A199" s="253">
        <f>IFERROR(__xludf.DUMMYFUNCTION("""COMPUTED_VALUE"""),44172.0)</f>
        <v>44172</v>
      </c>
      <c r="B199" s="254">
        <f>IFERROR(__xludf.DUMMYFUNCTION("""COMPUTED_VALUE"""),1138.0)</f>
        <v>1138</v>
      </c>
      <c r="C199" s="254">
        <f>IFERROR(__xludf.DUMMYFUNCTION("""COMPUTED_VALUE"""),1154.0)</f>
        <v>1154</v>
      </c>
      <c r="D199" s="254">
        <f>IFERROR(__xludf.DUMMYFUNCTION("""COMPUTED_VALUE"""),81512.0)</f>
        <v>81512</v>
      </c>
      <c r="E199" s="254">
        <f>IFERROR(__xludf.DUMMYFUNCTION("""COMPUTED_VALUE"""),9283.0)</f>
        <v>9283</v>
      </c>
      <c r="F199" s="185">
        <f>IFERROR(__xludf.DUMMYFUNCTION("""COMPUTED_VALUE"""),1581776.0)</f>
        <v>1581776</v>
      </c>
      <c r="G199" s="185">
        <f>IFERROR(__xludf.DUMMYFUNCTION("""COMPUTED_VALUE"""),10421.0)</f>
        <v>10421</v>
      </c>
      <c r="H199" s="185">
        <f>IFERROR(__xludf.DUMMYFUNCTION("""COMPUTED_VALUE"""),1663288.0)</f>
        <v>1663288</v>
      </c>
      <c r="I199" s="254">
        <f>IFERROR(__xludf.DUMMYFUNCTION("""COMPUTED_VALUE"""),982.0)</f>
        <v>982</v>
      </c>
      <c r="J199" s="254">
        <f>IFERROR(__xludf.DUMMYFUNCTION("""COMPUTED_VALUE"""),1002.0)</f>
        <v>1002</v>
      </c>
      <c r="K199" s="254">
        <f>IFERROR(__xludf.DUMMYFUNCTION("""COMPUTED_VALUE"""),67067.0)</f>
        <v>67067</v>
      </c>
      <c r="L199" s="254">
        <f>IFERROR(__xludf.DUMMYFUNCTION("""COMPUTED_VALUE"""),2891.0)</f>
        <v>2891</v>
      </c>
      <c r="M199" s="254">
        <f>IFERROR(__xludf.DUMMYFUNCTION("""COMPUTED_VALUE"""),493819.0)</f>
        <v>493819</v>
      </c>
      <c r="N199" s="254">
        <f>IFERROR(__xludf.DUMMYFUNCTION("""COMPUTED_VALUE"""),560886.0)</f>
        <v>560886</v>
      </c>
      <c r="O199" s="254"/>
      <c r="P199" s="254"/>
      <c r="Q199" s="254"/>
      <c r="R199" s="254"/>
      <c r="S199" s="254"/>
      <c r="T199" s="254"/>
      <c r="U199" s="254"/>
      <c r="V199" s="254"/>
      <c r="W199" s="254"/>
      <c r="X199" s="254"/>
      <c r="Y199" s="254">
        <f>IFERROR(__xludf.DUMMYFUNCTION("""COMPUTED_VALUE"""),17.0)</f>
        <v>17</v>
      </c>
      <c r="Z199" s="254">
        <f>IFERROR(__xludf.DUMMYFUNCTION("""COMPUTED_VALUE"""),1470.0)</f>
        <v>1470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145.0</v>
      </c>
      <c r="M21" s="22">
        <v>592.0</v>
      </c>
      <c r="N21" s="22">
        <v>624.0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697.0</v>
      </c>
      <c r="N22" s="22">
        <v>740.0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942.0</v>
      </c>
      <c r="N23" s="22">
        <v>1002.0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1125.0</v>
      </c>
      <c r="N24" s="22">
        <v>1198.0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119.0</v>
      </c>
      <c r="M25" s="22">
        <v>1244.0</v>
      </c>
      <c r="N25" s="22">
        <v>1331.0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253.0</v>
      </c>
      <c r="M26" s="22">
        <v>1497.0</v>
      </c>
      <c r="N26" s="22">
        <v>1609.0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158.0</v>
      </c>
      <c r="M27" s="22">
        <v>1655.0</v>
      </c>
      <c r="N27" s="22">
        <v>1783.0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223.0</v>
      </c>
      <c r="M28" s="22">
        <v>1878.0</v>
      </c>
      <c r="N28" s="22">
        <v>2025.0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159.0</v>
      </c>
      <c r="M29" s="22">
        <v>2037.0</v>
      </c>
      <c r="N29" s="22">
        <v>2212.0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2204.0</v>
      </c>
      <c r="N30" s="22">
        <v>2420.0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188.0</v>
      </c>
      <c r="M31" s="22">
        <v>2392.0</v>
      </c>
      <c r="N31" s="22">
        <v>2639.0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2628.0</v>
      </c>
      <c r="N32" s="22">
        <v>2939.0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299.0</v>
      </c>
      <c r="M33" s="22">
        <v>2927.0</v>
      </c>
      <c r="N33" s="22">
        <v>3343.0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174.0</v>
      </c>
      <c r="M34" s="22">
        <v>3101.0</v>
      </c>
      <c r="N34" s="22">
        <v>3595.0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286.0</v>
      </c>
      <c r="M35" s="22">
        <v>3387.0</v>
      </c>
      <c r="N35" s="22">
        <v>3954.0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597.0</v>
      </c>
      <c r="M36" s="22">
        <v>3984.0</v>
      </c>
      <c r="N36" s="22">
        <v>4651.0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416.0</v>
      </c>
      <c r="M37" s="22">
        <v>4400.0</v>
      </c>
      <c r="N37" s="22">
        <v>5129.0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671.0</v>
      </c>
      <c r="M38" s="22">
        <v>5071.0</v>
      </c>
      <c r="N38" s="22">
        <v>5900.0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580.0</v>
      </c>
      <c r="M39" s="22">
        <v>5651.0</v>
      </c>
      <c r="N39" s="22">
        <v>6618.0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994.0</v>
      </c>
      <c r="M40" s="22">
        <v>6645.0</v>
      </c>
      <c r="N40" s="22">
        <v>7793.0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1475.0</v>
      </c>
      <c r="M41" s="22">
        <v>8120.0</v>
      </c>
      <c r="N41" s="22">
        <v>9475.0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1404.0</v>
      </c>
      <c r="M42" s="22">
        <v>9524.0</v>
      </c>
      <c r="N42" s="22">
        <v>11139.0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1473.0</v>
      </c>
      <c r="M43" s="22">
        <v>10997.0</v>
      </c>
      <c r="N43" s="22">
        <v>12883.0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1287.0</v>
      </c>
      <c r="M44" s="22">
        <v>12284.0</v>
      </c>
      <c r="N44" s="22">
        <v>14447.0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2247.0</v>
      </c>
      <c r="M45" s="22">
        <v>14531.0</v>
      </c>
      <c r="N45" s="22">
        <v>17094.0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2843.0</v>
      </c>
      <c r="L46" s="22">
        <v>1639.0</v>
      </c>
      <c r="M46" s="22">
        <v>16170.0</v>
      </c>
      <c r="N46" s="22">
        <v>19013.0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3129.0</v>
      </c>
      <c r="L47" s="22">
        <v>1320.0</v>
      </c>
      <c r="M47" s="22">
        <v>17490.0</v>
      </c>
      <c r="N47" s="22">
        <v>20619.0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3316.0</v>
      </c>
      <c r="L48" s="22">
        <v>799.0</v>
      </c>
      <c r="M48" s="22">
        <v>18289.0</v>
      </c>
      <c r="N48" s="22">
        <v>21605.0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261.0</v>
      </c>
      <c r="J49" s="22">
        <v>245.0</v>
      </c>
      <c r="K49" s="22">
        <v>3577.0</v>
      </c>
      <c r="L49" s="22">
        <v>1438.0</v>
      </c>
      <c r="M49" s="22">
        <v>19727.0</v>
      </c>
      <c r="N49" s="22">
        <v>23304.0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251.0</v>
      </c>
      <c r="K50" s="22">
        <v>3883.0</v>
      </c>
      <c r="L50" s="22">
        <v>1439.0</v>
      </c>
      <c r="M50" s="22">
        <v>21166.0</v>
      </c>
      <c r="N50" s="22">
        <v>25049.0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4270.0</v>
      </c>
      <c r="L51" s="22">
        <v>1933.0</v>
      </c>
      <c r="M51" s="22">
        <v>23099.0</v>
      </c>
      <c r="N51" s="22">
        <v>27369.0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4560.0</v>
      </c>
      <c r="L52" s="22">
        <v>1346.0</v>
      </c>
      <c r="M52" s="22">
        <v>24445.0</v>
      </c>
      <c r="N52" s="22">
        <v>29005.0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4844.0</v>
      </c>
      <c r="L53" s="22">
        <v>1243.0</v>
      </c>
      <c r="M53" s="22">
        <v>25688.0</v>
      </c>
      <c r="N53" s="22">
        <v>30532.0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5181.0</v>
      </c>
      <c r="L54" s="22">
        <v>1656.0</v>
      </c>
      <c r="M54" s="22">
        <v>27344.0</v>
      </c>
      <c r="N54" s="22">
        <v>32525.0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5557.0</v>
      </c>
      <c r="L55" s="22">
        <v>1492.0</v>
      </c>
      <c r="M55" s="22">
        <v>28836.0</v>
      </c>
      <c r="N55" s="22">
        <v>34393.0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5940.0</v>
      </c>
      <c r="L56" s="22">
        <v>1626.0</v>
      </c>
      <c r="M56" s="22">
        <v>30462.0</v>
      </c>
      <c r="N56" s="22">
        <v>36402.0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6319.0</v>
      </c>
      <c r="L57" s="22">
        <v>1804.0</v>
      </c>
      <c r="M57" s="22">
        <v>32266.0</v>
      </c>
      <c r="N57" s="22">
        <v>38585.0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6731.0</v>
      </c>
      <c r="L58" s="22">
        <v>1740.0</v>
      </c>
      <c r="M58" s="22">
        <v>34006.0</v>
      </c>
      <c r="N58" s="22">
        <v>40737.0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7138.0</v>
      </c>
      <c r="L59" s="22">
        <v>2449.0</v>
      </c>
      <c r="M59" s="22">
        <v>36455.0</v>
      </c>
      <c r="N59" s="22">
        <v>43593.0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7437.0</v>
      </c>
      <c r="L60" s="22">
        <v>1623.0</v>
      </c>
      <c r="M60" s="22">
        <v>38078.0</v>
      </c>
      <c r="N60" s="22">
        <v>45515.0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7711.0</v>
      </c>
      <c r="L61" s="22">
        <v>1751.0</v>
      </c>
      <c r="M61" s="22">
        <v>39829.0</v>
      </c>
      <c r="N61" s="22">
        <v>47540.0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7917.0</v>
      </c>
      <c r="L62" s="22">
        <v>1084.0</v>
      </c>
      <c r="M62" s="22">
        <v>40913.0</v>
      </c>
      <c r="N62" s="22">
        <v>48830.0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8248.0</v>
      </c>
      <c r="L63" s="22">
        <v>1580.0</v>
      </c>
      <c r="M63" s="22">
        <v>42493.0</v>
      </c>
      <c r="N63" s="22">
        <v>50741.0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8618.0</v>
      </c>
      <c r="L64" s="22">
        <v>2226.0</v>
      </c>
      <c r="M64" s="22">
        <v>44719.0</v>
      </c>
      <c r="N64" s="22">
        <v>53337.0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351.0</v>
      </c>
      <c r="J65" s="22">
        <v>351.0</v>
      </c>
      <c r="K65" s="22">
        <v>8969.0</v>
      </c>
      <c r="L65" s="22">
        <v>1742.0</v>
      </c>
      <c r="M65" s="22">
        <v>46461.0</v>
      </c>
      <c r="N65" s="22">
        <v>55430.0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9292.0</v>
      </c>
      <c r="L66" s="22">
        <v>1966.0</v>
      </c>
      <c r="M66" s="22">
        <v>48427.0</v>
      </c>
      <c r="N66" s="22">
        <v>57719.0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9485.0</v>
      </c>
      <c r="L67" s="22">
        <v>1200.0</v>
      </c>
      <c r="M67" s="22">
        <v>49627.0</v>
      </c>
      <c r="N67" s="22">
        <v>59112.0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1456.0</v>
      </c>
      <c r="M68" s="22">
        <v>51083.0</v>
      </c>
      <c r="N68" s="22">
        <v>60751.0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1482.0</v>
      </c>
      <c r="M69" s="22">
        <v>52565.0</v>
      </c>
      <c r="N69" s="22">
        <v>62523.0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1849.0</v>
      </c>
      <c r="M70" s="22">
        <v>54414.0</v>
      </c>
      <c r="N70" s="22">
        <v>64671.0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1816.0</v>
      </c>
      <c r="M71" s="22">
        <v>56230.0</v>
      </c>
      <c r="N71" s="22">
        <v>66827.0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1845.0</v>
      </c>
      <c r="M72" s="22">
        <v>58075.0</v>
      </c>
      <c r="N72" s="22">
        <v>68942.0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1593.0</v>
      </c>
      <c r="M73" s="22">
        <v>59668.0</v>
      </c>
      <c r="N73" s="22">
        <v>70765.0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2114.0</v>
      </c>
      <c r="M74" s="22">
        <v>61782.0</v>
      </c>
      <c r="N74" s="22">
        <v>73168.0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1416.0</v>
      </c>
      <c r="M75" s="22">
        <v>63198.0</v>
      </c>
      <c r="N75" s="22">
        <v>74774.0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1230.0</v>
      </c>
      <c r="M76" s="22">
        <v>64428.0</v>
      </c>
      <c r="N76" s="22">
        <v>76177.0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1555.0</v>
      </c>
      <c r="M77" s="22">
        <v>65983.0</v>
      </c>
      <c r="N77" s="22">
        <v>77956.0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1848.0</v>
      </c>
      <c r="M78" s="22">
        <v>67831.0</v>
      </c>
      <c r="N78" s="22">
        <v>80003.0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1876.0</v>
      </c>
      <c r="M79" s="22">
        <v>69707.0</v>
      </c>
      <c r="N79" s="22">
        <v>82111.0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12636.0</v>
      </c>
      <c r="L80" s="22">
        <v>1720.0</v>
      </c>
      <c r="M80" s="22">
        <v>71427.0</v>
      </c>
      <c r="N80" s="22">
        <v>84063.0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12883.0</v>
      </c>
      <c r="L81" s="22">
        <v>1839.0</v>
      </c>
      <c r="M81" s="22">
        <v>73266.0</v>
      </c>
      <c r="N81" s="22">
        <v>86149.0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13009.0</v>
      </c>
      <c r="L82" s="22">
        <v>1455.0</v>
      </c>
      <c r="M82" s="22">
        <v>74721.0</v>
      </c>
      <c r="N82" s="22">
        <v>87730.0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13144.0</v>
      </c>
      <c r="L83" s="22">
        <v>1307.0</v>
      </c>
      <c r="M83" s="22">
        <v>76028.0</v>
      </c>
      <c r="N83" s="22">
        <v>89172.0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13359.0</v>
      </c>
      <c r="L84" s="22">
        <v>1838.0</v>
      </c>
      <c r="M84" s="22">
        <v>77866.0</v>
      </c>
      <c r="N84" s="22">
        <v>91225.0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13543.0</v>
      </c>
      <c r="L85" s="22">
        <v>1456.0</v>
      </c>
      <c r="M85" s="22">
        <v>79322.0</v>
      </c>
      <c r="N85" s="22">
        <v>92865.0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13711.0</v>
      </c>
      <c r="L86" s="22">
        <v>1857.0</v>
      </c>
      <c r="M86" s="22">
        <v>81179.0</v>
      </c>
      <c r="N86" s="22">
        <v>94890.0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13917.0</v>
      </c>
      <c r="L87" s="22">
        <v>1520.0</v>
      </c>
      <c r="M87" s="22">
        <v>82699.0</v>
      </c>
      <c r="N87" s="22">
        <v>96616.0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14026.0</v>
      </c>
      <c r="L88" s="22">
        <v>1214.0</v>
      </c>
      <c r="M88" s="22">
        <v>83913.0</v>
      </c>
      <c r="N88" s="22">
        <v>97939.0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14109.0</v>
      </c>
      <c r="L89" s="22">
        <v>742.0</v>
      </c>
      <c r="M89" s="22">
        <v>84655.0</v>
      </c>
      <c r="N89" s="22">
        <v>98764.0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14185.0</v>
      </c>
      <c r="L90" s="22">
        <v>701.0</v>
      </c>
      <c r="M90" s="22">
        <v>85356.0</v>
      </c>
      <c r="N90" s="22">
        <v>99541.0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14343.0</v>
      </c>
      <c r="L91" s="22">
        <v>1578.0</v>
      </c>
      <c r="M91" s="22">
        <v>86934.0</v>
      </c>
      <c r="N91" s="22">
        <v>101277.0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1089.0</v>
      </c>
      <c r="M92" s="22">
        <v>88023.0</v>
      </c>
      <c r="N92" s="22">
        <v>102498.0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1061.0</v>
      </c>
      <c r="M93" s="22">
        <v>89084.0</v>
      </c>
      <c r="N93" s="22">
        <v>103689.0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14779.0</v>
      </c>
      <c r="L94" s="22">
        <v>1482.0</v>
      </c>
      <c r="M94" s="22">
        <v>90566.0</v>
      </c>
      <c r="N94" s="22">
        <v>105345.0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14888.0</v>
      </c>
      <c r="L95" s="22">
        <v>1649.0</v>
      </c>
      <c r="M95" s="22">
        <v>92215.0</v>
      </c>
      <c r="N95" s="22">
        <v>107103.0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14966.0</v>
      </c>
      <c r="L96" s="22">
        <v>790.0</v>
      </c>
      <c r="M96" s="22">
        <v>93005.0</v>
      </c>
      <c r="N96" s="22">
        <v>107971.0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15059.0</v>
      </c>
      <c r="L97" s="22">
        <v>1324.0</v>
      </c>
      <c r="M97" s="22">
        <v>94329.0</v>
      </c>
      <c r="N97" s="22">
        <v>109388.0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15157.0</v>
      </c>
      <c r="L98" s="22">
        <v>1369.0</v>
      </c>
      <c r="M98" s="22">
        <v>95698.0</v>
      </c>
      <c r="N98" s="22">
        <v>110855.0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15256.0</v>
      </c>
      <c r="L99" s="22">
        <v>1579.0</v>
      </c>
      <c r="M99" s="22">
        <v>97277.0</v>
      </c>
      <c r="N99" s="22">
        <v>112533.0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15363.0</v>
      </c>
      <c r="L100" s="22">
        <v>1921.0</v>
      </c>
      <c r="M100" s="22">
        <v>99198.0</v>
      </c>
      <c r="N100" s="22">
        <v>114561.0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15462.0</v>
      </c>
      <c r="L101" s="22">
        <v>1468.0</v>
      </c>
      <c r="M101" s="22">
        <v>100666.0</v>
      </c>
      <c r="N101" s="22">
        <v>116128.0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15529.0</v>
      </c>
      <c r="L102" s="22">
        <v>1069.0</v>
      </c>
      <c r="M102" s="22">
        <v>101735.0</v>
      </c>
      <c r="N102" s="22">
        <v>117264.0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15580.0</v>
      </c>
      <c r="L103" s="22">
        <v>768.0</v>
      </c>
      <c r="M103" s="22">
        <v>102503.0</v>
      </c>
      <c r="N103" s="22">
        <v>118083.0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15625.0</v>
      </c>
      <c r="L104" s="29">
        <v>921.0</v>
      </c>
      <c r="M104" s="29">
        <v>103424.0</v>
      </c>
      <c r="N104" s="29">
        <v>119049.0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15689.0</v>
      </c>
      <c r="L105" s="29">
        <v>1206.0</v>
      </c>
      <c r="M105" s="29">
        <v>104630.0</v>
      </c>
      <c r="N105" s="29">
        <v>120319.0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15789.0</v>
      </c>
      <c r="L106" s="29">
        <v>1418.0</v>
      </c>
      <c r="M106" s="29">
        <v>106048.0</v>
      </c>
      <c r="N106" s="29">
        <v>121837.0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15877.0</v>
      </c>
      <c r="L107" s="29">
        <v>1466.0</v>
      </c>
      <c r="M107" s="29">
        <v>107514.0</v>
      </c>
      <c r="N107" s="29">
        <v>123391.0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15955.0</v>
      </c>
      <c r="L108" s="29">
        <v>2028.0</v>
      </c>
      <c r="M108" s="29">
        <v>109542.0</v>
      </c>
      <c r="N108" s="29">
        <v>125497.0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16004.0</v>
      </c>
      <c r="L109" s="29">
        <v>1289.0</v>
      </c>
      <c r="M109" s="29">
        <v>110831.0</v>
      </c>
      <c r="N109" s="29">
        <v>126835.0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16037.0</v>
      </c>
      <c r="L110" s="29">
        <v>935.0</v>
      </c>
      <c r="M110" s="29">
        <v>111766.0</v>
      </c>
      <c r="N110" s="29">
        <v>127803.0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16112.0</v>
      </c>
      <c r="L111" s="29">
        <v>1718.0</v>
      </c>
      <c r="M111" s="29">
        <v>113484.0</v>
      </c>
      <c r="N111" s="29">
        <v>129596.0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16162.0</v>
      </c>
      <c r="L112" s="29">
        <v>1483.0</v>
      </c>
      <c r="M112" s="29">
        <v>114967.0</v>
      </c>
      <c r="N112" s="29">
        <v>131129.0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16213.0</v>
      </c>
      <c r="L113" s="29">
        <v>1263.0</v>
      </c>
      <c r="M113" s="29">
        <v>116230.0</v>
      </c>
      <c r="N113" s="29">
        <v>132443.0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16283.0</v>
      </c>
      <c r="L114" s="29">
        <v>1268.0</v>
      </c>
      <c r="M114" s="29">
        <v>117498.0</v>
      </c>
      <c r="N114" s="29">
        <v>133781.0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16342.0</v>
      </c>
      <c r="L115" s="29">
        <v>1312.0</v>
      </c>
      <c r="M115" s="29">
        <v>118810.0</v>
      </c>
      <c r="N115" s="29">
        <v>135152.0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16378.0</v>
      </c>
      <c r="L116" s="29">
        <v>786.0</v>
      </c>
      <c r="M116" s="29">
        <v>119596.0</v>
      </c>
      <c r="N116" s="29">
        <v>135974.0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16408.0</v>
      </c>
      <c r="L117" s="29">
        <v>659.0</v>
      </c>
      <c r="M117" s="29">
        <v>120255.0</v>
      </c>
      <c r="N117" s="29">
        <v>136663.0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16473.0</v>
      </c>
      <c r="L118" s="29">
        <v>1645.0</v>
      </c>
      <c r="M118" s="29">
        <v>121900.0</v>
      </c>
      <c r="N118" s="29">
        <v>138373.0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16554.0</v>
      </c>
      <c r="L119" s="29">
        <v>1721.0</v>
      </c>
      <c r="M119" s="29">
        <v>123621.0</v>
      </c>
      <c r="N119" s="29">
        <v>140175.0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16598.0</v>
      </c>
      <c r="L120" s="29">
        <v>1621.0</v>
      </c>
      <c r="M120" s="29">
        <v>125242.0</v>
      </c>
      <c r="N120" s="29">
        <v>141840.0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16648.0</v>
      </c>
      <c r="L121" s="29">
        <v>1448.0</v>
      </c>
      <c r="M121" s="29">
        <v>126690.0</v>
      </c>
      <c r="N121" s="29">
        <v>143338.0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16708.0</v>
      </c>
      <c r="L122" s="29">
        <v>1280.0</v>
      </c>
      <c r="M122" s="29">
        <v>127970.0</v>
      </c>
      <c r="N122" s="29">
        <v>144678.0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16745.0</v>
      </c>
      <c r="L123" s="29">
        <v>1171.0</v>
      </c>
      <c r="M123" s="29">
        <v>129141.0</v>
      </c>
      <c r="N123" s="29">
        <v>145886.0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16762.0</v>
      </c>
      <c r="L124" s="29">
        <v>579.0</v>
      </c>
      <c r="M124" s="29">
        <v>129720.0</v>
      </c>
      <c r="N124" s="29">
        <v>146482.0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16801.0</v>
      </c>
      <c r="L125" s="29">
        <v>1310.0</v>
      </c>
      <c r="M125" s="29">
        <v>131030.0</v>
      </c>
      <c r="N125" s="29">
        <v>147831.0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16833.0</v>
      </c>
      <c r="L126" s="29">
        <v>965.0</v>
      </c>
      <c r="M126" s="29">
        <v>131995.0</v>
      </c>
      <c r="N126" s="29">
        <v>148828.0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16912.0</v>
      </c>
      <c r="L127" s="29">
        <v>1866.0</v>
      </c>
      <c r="M127" s="29">
        <v>133861.0</v>
      </c>
      <c r="N127" s="29">
        <v>150773.0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16971.0</v>
      </c>
      <c r="L128" s="29">
        <v>1044.0</v>
      </c>
      <c r="M128" s="29">
        <v>134905.0</v>
      </c>
      <c r="N128" s="29">
        <v>151876.0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16996.0</v>
      </c>
      <c r="L129" s="29">
        <v>759.0</v>
      </c>
      <c r="M129" s="29">
        <v>135664.0</v>
      </c>
      <c r="N129" s="29">
        <v>152660.0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17029.0</v>
      </c>
      <c r="L130" s="29">
        <v>970.0</v>
      </c>
      <c r="M130" s="29">
        <v>136634.0</v>
      </c>
      <c r="N130" s="29">
        <v>153663.0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17055.0</v>
      </c>
      <c r="L131" s="29">
        <v>1380.0</v>
      </c>
      <c r="M131" s="29">
        <v>138014.0</v>
      </c>
      <c r="N131" s="29">
        <v>155069.0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17112.0</v>
      </c>
      <c r="L132" s="29">
        <v>1508.0</v>
      </c>
      <c r="M132" s="29">
        <v>139522.0</v>
      </c>
      <c r="N132" s="29">
        <v>156634.0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17159.0</v>
      </c>
      <c r="L133" s="29">
        <v>1498.0</v>
      </c>
      <c r="M133" s="29">
        <v>141020.0</v>
      </c>
      <c r="N133" s="29">
        <v>158179.0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17223.0</v>
      </c>
      <c r="L134" s="29">
        <v>1362.0</v>
      </c>
      <c r="M134" s="29">
        <v>142382.0</v>
      </c>
      <c r="N134" s="29">
        <v>159605.0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17273.0</v>
      </c>
      <c r="L135" s="29">
        <v>1564.0</v>
      </c>
      <c r="M135" s="29">
        <v>143946.0</v>
      </c>
      <c r="N135" s="29">
        <v>161219.0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17353.0</v>
      </c>
      <c r="L136" s="29">
        <v>2001.0</v>
      </c>
      <c r="M136" s="29">
        <v>145947.0</v>
      </c>
      <c r="N136" s="29">
        <v>163300.0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17389.0</v>
      </c>
      <c r="L137" s="29">
        <v>1272.0</v>
      </c>
      <c r="M137" s="29">
        <v>147219.0</v>
      </c>
      <c r="N137" s="29">
        <v>164608.0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17423.0</v>
      </c>
      <c r="L138" s="29">
        <v>917.0</v>
      </c>
      <c r="M138" s="29">
        <v>148136.0</v>
      </c>
      <c r="N138" s="29">
        <v>165559.0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17484.0</v>
      </c>
      <c r="L139" s="29">
        <v>1458.0</v>
      </c>
      <c r="M139" s="29">
        <v>149594.0</v>
      </c>
      <c r="N139" s="29">
        <v>167078.0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17528.0</v>
      </c>
      <c r="L140" s="29">
        <v>1338.0</v>
      </c>
      <c r="M140" s="29">
        <v>150932.0</v>
      </c>
      <c r="N140" s="29">
        <v>168460.0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17628.0</v>
      </c>
      <c r="L141" s="29">
        <v>1694.0</v>
      </c>
      <c r="M141" s="29">
        <v>152626.0</v>
      </c>
      <c r="N141" s="29">
        <v>170254.0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17704.0</v>
      </c>
      <c r="L142" s="29">
        <v>1560.0</v>
      </c>
      <c r="M142" s="29">
        <v>154186.0</v>
      </c>
      <c r="N142" s="29">
        <v>171890.0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17783.0</v>
      </c>
      <c r="L143" s="29">
        <v>1792.0</v>
      </c>
      <c r="M143" s="29">
        <v>155978.0</v>
      </c>
      <c r="N143" s="29">
        <v>173761.0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17853.0</v>
      </c>
      <c r="L144" s="29">
        <v>1353.0</v>
      </c>
      <c r="M144" s="29">
        <v>157331.0</v>
      </c>
      <c r="N144" s="29">
        <v>175184.0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17910.0</v>
      </c>
      <c r="L145" s="29">
        <v>1106.0</v>
      </c>
      <c r="M145" s="29">
        <v>158437.0</v>
      </c>
      <c r="N145" s="29">
        <v>176347.0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17978.0</v>
      </c>
      <c r="L146" s="29">
        <v>1411.0</v>
      </c>
      <c r="M146" s="29">
        <v>159848.0</v>
      </c>
      <c r="N146" s="29">
        <v>177826.0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18086.0</v>
      </c>
      <c r="L147" s="29">
        <v>1865.0</v>
      </c>
      <c r="M147" s="29">
        <v>161713.0</v>
      </c>
      <c r="N147" s="29">
        <v>179799.0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18172.0</v>
      </c>
      <c r="L148" s="29">
        <v>1616.0</v>
      </c>
      <c r="M148" s="29">
        <v>163329.0</v>
      </c>
      <c r="N148" s="29">
        <v>181501.0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18287.0</v>
      </c>
      <c r="L149" s="29">
        <v>1909.0</v>
      </c>
      <c r="M149" s="29">
        <v>165238.0</v>
      </c>
      <c r="N149" s="29">
        <v>183525.0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18406.0</v>
      </c>
      <c r="L150" s="29">
        <v>2244.0</v>
      </c>
      <c r="M150" s="29">
        <v>167482.0</v>
      </c>
      <c r="N150" s="29">
        <v>185888.0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18514.0</v>
      </c>
      <c r="L151" s="29">
        <v>2033.0</v>
      </c>
      <c r="M151" s="29">
        <v>169515.0</v>
      </c>
      <c r="N151" s="29">
        <v>188029.0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18568.0</v>
      </c>
      <c r="L152" s="29">
        <v>1301.0</v>
      </c>
      <c r="M152" s="29">
        <v>170816.0</v>
      </c>
      <c r="N152" s="29">
        <v>189384.0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18706.0</v>
      </c>
      <c r="L153" s="29">
        <v>2268.0</v>
      </c>
      <c r="M153" s="29">
        <v>173084.0</v>
      </c>
      <c r="N153" s="29">
        <v>191790.0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18801.0</v>
      </c>
      <c r="L154" s="29">
        <v>1590.0</v>
      </c>
      <c r="M154" s="29">
        <v>174674.0</v>
      </c>
      <c r="N154" s="29">
        <v>193475.0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18955.0</v>
      </c>
      <c r="L155" s="29">
        <v>2226.0</v>
      </c>
      <c r="M155" s="29">
        <v>176900.0</v>
      </c>
      <c r="N155" s="29">
        <v>195855.0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19052.0</v>
      </c>
      <c r="L156" s="29">
        <v>1576.0</v>
      </c>
      <c r="M156" s="29">
        <v>178476.0</v>
      </c>
      <c r="N156" s="29">
        <v>197528.0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19141.0</v>
      </c>
      <c r="L157" s="29">
        <v>1782.0</v>
      </c>
      <c r="M157" s="29">
        <v>180258.0</v>
      </c>
      <c r="N157" s="29">
        <v>199399.0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19230.0</v>
      </c>
      <c r="L158" s="29">
        <v>1510.0</v>
      </c>
      <c r="M158" s="29">
        <v>181768.0</v>
      </c>
      <c r="N158" s="29">
        <v>200998.0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19292.0</v>
      </c>
      <c r="L159" s="29">
        <v>1237.0</v>
      </c>
      <c r="M159" s="29">
        <v>183005.0</v>
      </c>
      <c r="N159" s="29">
        <v>202297.0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19442.0</v>
      </c>
      <c r="L160" s="29">
        <v>2131.0</v>
      </c>
      <c r="M160" s="29">
        <v>185136.0</v>
      </c>
      <c r="N160" s="29">
        <v>204578.0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19541.0</v>
      </c>
      <c r="L161" s="29">
        <v>1718.0</v>
      </c>
      <c r="M161" s="29">
        <v>186854.0</v>
      </c>
      <c r="N161" s="29">
        <v>206395.0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19660.0</v>
      </c>
      <c r="L162" s="29">
        <v>2384.0</v>
      </c>
      <c r="M162" s="29">
        <v>189238.0</v>
      </c>
      <c r="N162" s="29">
        <v>208898.0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19780.0</v>
      </c>
      <c r="L163" s="29">
        <v>2317.0</v>
      </c>
      <c r="M163" s="29">
        <v>191555.0</v>
      </c>
      <c r="N163" s="29">
        <v>211335.0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19867.0</v>
      </c>
      <c r="L164" s="29">
        <v>2070.0</v>
      </c>
      <c r="M164" s="29">
        <v>193625.0</v>
      </c>
      <c r="N164" s="29">
        <v>213492.0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19958.0</v>
      </c>
      <c r="L165" s="29">
        <v>1727.0</v>
      </c>
      <c r="M165" s="29">
        <v>195352.0</v>
      </c>
      <c r="N165" s="29">
        <v>215310.0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19993.0</v>
      </c>
      <c r="L166" s="29">
        <v>1034.0</v>
      </c>
      <c r="M166" s="29">
        <v>196386.0</v>
      </c>
      <c r="N166" s="29">
        <v>216379.0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20106.0</v>
      </c>
      <c r="L167" s="29">
        <v>1963.0</v>
      </c>
      <c r="M167" s="29">
        <v>198349.0</v>
      </c>
      <c r="N167" s="29">
        <v>218455.0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20198.0</v>
      </c>
      <c r="L168" s="29">
        <v>2206.0</v>
      </c>
      <c r="M168" s="29">
        <v>200555.0</v>
      </c>
      <c r="N168" s="29">
        <v>220753.0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20299.0</v>
      </c>
      <c r="L169" s="29">
        <v>2530.0</v>
      </c>
      <c r="M169" s="29">
        <v>203085.0</v>
      </c>
      <c r="N169" s="29">
        <v>223384.0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20394.0</v>
      </c>
      <c r="L170" s="29">
        <v>1844.0</v>
      </c>
      <c r="M170" s="29">
        <v>204929.0</v>
      </c>
      <c r="N170" s="29">
        <v>225323.0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20492.0</v>
      </c>
      <c r="L171" s="29">
        <v>1916.0</v>
      </c>
      <c r="M171" s="29">
        <v>206845.0</v>
      </c>
      <c r="N171" s="29">
        <v>227337.0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20580.0</v>
      </c>
      <c r="L172" s="29">
        <v>1636.0</v>
      </c>
      <c r="M172" s="29">
        <v>208481.0</v>
      </c>
      <c r="N172" s="29">
        <v>229061.0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20650.0</v>
      </c>
      <c r="L173" s="29">
        <v>926.0</v>
      </c>
      <c r="M173" s="29">
        <v>209407.0</v>
      </c>
      <c r="N173" s="29">
        <v>230057.0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20737.0</v>
      </c>
      <c r="L174" s="29">
        <v>2322.0</v>
      </c>
      <c r="M174" s="29">
        <v>211729.0</v>
      </c>
      <c r="N174" s="29">
        <v>232466.0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20831.0</v>
      </c>
      <c r="L175" s="29">
        <v>2671.0</v>
      </c>
      <c r="M175" s="29">
        <v>214400.0</v>
      </c>
      <c r="N175" s="29">
        <v>235231.0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20921.0</v>
      </c>
      <c r="L176" s="29">
        <v>2566.0</v>
      </c>
      <c r="M176" s="29">
        <v>216966.0</v>
      </c>
      <c r="N176" s="29">
        <v>237887.0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21060.0</v>
      </c>
      <c r="L177" s="29">
        <v>3426.0</v>
      </c>
      <c r="M177" s="29">
        <v>220392.0</v>
      </c>
      <c r="N177" s="29">
        <v>241452.0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21185.0</v>
      </c>
      <c r="L178" s="29">
        <v>2848.0</v>
      </c>
      <c r="M178" s="29">
        <v>223240.0</v>
      </c>
      <c r="N178" s="29">
        <v>244425.0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21269.0</v>
      </c>
      <c r="L179" s="29">
        <v>2519.0</v>
      </c>
      <c r="M179" s="29">
        <v>225759.0</v>
      </c>
      <c r="N179" s="29">
        <v>247028.0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21325.0</v>
      </c>
      <c r="L180" s="29">
        <v>2423.0</v>
      </c>
      <c r="M180" s="29">
        <v>228182.0</v>
      </c>
      <c r="N180" s="29">
        <v>249507.0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21402.0</v>
      </c>
      <c r="L181" s="29">
        <v>3065.0</v>
      </c>
      <c r="M181" s="29">
        <v>231247.0</v>
      </c>
      <c r="N181" s="29">
        <v>252649.0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21494.0</v>
      </c>
      <c r="L182" s="29">
        <v>2234.0</v>
      </c>
      <c r="M182" s="29">
        <v>233481.0</v>
      </c>
      <c r="N182" s="29">
        <v>254975.0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21621.0</v>
      </c>
      <c r="L183" s="29">
        <v>3005.0</v>
      </c>
      <c r="M183" s="29">
        <v>236486.0</v>
      </c>
      <c r="N183" s="29">
        <v>258107.0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21691.0</v>
      </c>
      <c r="L184" s="29">
        <v>3063.0</v>
      </c>
      <c r="M184" s="29">
        <v>239549.0</v>
      </c>
      <c r="N184" s="29">
        <v>261240.0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21778.0</v>
      </c>
      <c r="L185" s="29">
        <v>2358.0</v>
      </c>
      <c r="M185" s="29">
        <v>241907.0</v>
      </c>
      <c r="N185" s="29">
        <v>263685.0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21829.0</v>
      </c>
      <c r="L186" s="29">
        <v>1871.0</v>
      </c>
      <c r="M186" s="29">
        <v>243778.0</v>
      </c>
      <c r="N186" s="29">
        <v>265607.0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21877.0</v>
      </c>
      <c r="L187" s="29">
        <v>1938.0</v>
      </c>
      <c r="M187" s="29">
        <v>245716.0</v>
      </c>
      <c r="N187" s="29">
        <v>267593.0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21958.0</v>
      </c>
      <c r="L188" s="29">
        <v>2136.0</v>
      </c>
      <c r="M188" s="29">
        <v>247852.0</v>
      </c>
      <c r="N188" s="29">
        <v>269810.0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22024.0</v>
      </c>
      <c r="L189" s="29">
        <v>2320.0</v>
      </c>
      <c r="M189" s="29">
        <v>250172.0</v>
      </c>
      <c r="N189" s="29">
        <v>272196.0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22128.0</v>
      </c>
      <c r="L190" s="29">
        <v>2981.0</v>
      </c>
      <c r="M190" s="29">
        <v>253153.0</v>
      </c>
      <c r="N190" s="29">
        <v>275281.0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22201.0</v>
      </c>
      <c r="L191" s="29">
        <v>2504.0</v>
      </c>
      <c r="M191" s="29">
        <v>255657.0</v>
      </c>
      <c r="N191" s="29">
        <v>277858.0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22284.0</v>
      </c>
      <c r="L192" s="29">
        <v>2304.0</v>
      </c>
      <c r="M192" s="29">
        <v>257961.0</v>
      </c>
      <c r="N192" s="29">
        <v>280245.0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22326.0</v>
      </c>
      <c r="L193" s="29">
        <v>1559.0</v>
      </c>
      <c r="M193" s="29">
        <v>259520.0</v>
      </c>
      <c r="N193" s="29">
        <v>281846.0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22391.0</v>
      </c>
      <c r="L194" s="29">
        <v>1894.0</v>
      </c>
      <c r="M194" s="29">
        <v>261414.0</v>
      </c>
      <c r="N194" s="29">
        <v>283805.0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22417.0</v>
      </c>
      <c r="L195" s="29">
        <v>624.0</v>
      </c>
      <c r="M195" s="29">
        <v>262038.0</v>
      </c>
      <c r="N195" s="29">
        <v>284455.0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22483.0</v>
      </c>
      <c r="L196" s="29">
        <v>1547.0</v>
      </c>
      <c r="M196" s="29">
        <v>263585.0</v>
      </c>
      <c r="N196" s="29">
        <v>286068.0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22585.0</v>
      </c>
      <c r="L197" s="29">
        <v>2076.0</v>
      </c>
      <c r="M197" s="29">
        <v>265661.0</v>
      </c>
      <c r="N197" s="29">
        <v>288246.0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22696.0</v>
      </c>
      <c r="L198" s="29">
        <v>2201.0</v>
      </c>
      <c r="M198" s="29">
        <v>267862.0</v>
      </c>
      <c r="N198" s="29">
        <v>290558.0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22793.0</v>
      </c>
      <c r="L199" s="29">
        <v>1907.0</v>
      </c>
      <c r="M199" s="29">
        <v>269769.0</v>
      </c>
      <c r="N199" s="29">
        <v>292562.0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22890.0</v>
      </c>
      <c r="L200" s="29">
        <v>1474.0</v>
      </c>
      <c r="M200" s="29">
        <v>271243.0</v>
      </c>
      <c r="N200" s="29">
        <v>294133.0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22944.0</v>
      </c>
      <c r="L201" s="29">
        <v>837.0</v>
      </c>
      <c r="M201" s="29">
        <v>272080.0</v>
      </c>
      <c r="N201" s="29">
        <v>295024.0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23039.0</v>
      </c>
      <c r="L202" s="29">
        <v>1674.0</v>
      </c>
      <c r="M202" s="29">
        <v>273754.0</v>
      </c>
      <c r="N202" s="29">
        <v>296793.0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23163.0</v>
      </c>
      <c r="L203" s="29">
        <v>2133.0</v>
      </c>
      <c r="M203" s="29">
        <v>275887.0</v>
      </c>
      <c r="N203" s="29">
        <v>299050.0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23281.0</v>
      </c>
      <c r="L204" s="29">
        <v>1914.0</v>
      </c>
      <c r="M204" s="29">
        <v>277801.0</v>
      </c>
      <c r="N204" s="29">
        <v>301082.0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23435.0</v>
      </c>
      <c r="L205" s="29">
        <v>1893.0</v>
      </c>
      <c r="M205" s="29">
        <v>279694.0</v>
      </c>
      <c r="N205" s="29">
        <v>303129.0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23567.0</v>
      </c>
      <c r="L206" s="29">
        <v>1875.0</v>
      </c>
      <c r="M206" s="29">
        <v>281569.0</v>
      </c>
      <c r="N206" s="29">
        <v>305136.0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23679.0</v>
      </c>
      <c r="L207" s="29">
        <v>1657.0</v>
      </c>
      <c r="M207" s="29">
        <v>283226.0</v>
      </c>
      <c r="N207" s="29">
        <v>306905.0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23728.0</v>
      </c>
      <c r="L208" s="29">
        <v>1294.0</v>
      </c>
      <c r="M208" s="29">
        <v>284520.0</v>
      </c>
      <c r="N208" s="29">
        <v>308248.0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23822.0</v>
      </c>
      <c r="L209" s="29">
        <v>2352.0</v>
      </c>
      <c r="M209" s="29">
        <v>286872.0</v>
      </c>
      <c r="N209" s="29">
        <v>310694.0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23946.0</v>
      </c>
      <c r="L210" s="29">
        <v>2134.0</v>
      </c>
      <c r="M210" s="29">
        <v>289006.0</v>
      </c>
      <c r="N210" s="29">
        <v>312952.0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24073.0</v>
      </c>
      <c r="L211" s="29">
        <v>2145.0</v>
      </c>
      <c r="M211" s="29">
        <v>291151.0</v>
      </c>
      <c r="N211" s="29">
        <v>315224.0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24193.0</v>
      </c>
      <c r="L212" s="29">
        <v>3091.0</v>
      </c>
      <c r="M212" s="29">
        <v>294242.0</v>
      </c>
      <c r="N212" s="29">
        <v>318435.0</v>
      </c>
      <c r="O212" s="29">
        <v>8.0</v>
      </c>
      <c r="P212" s="31">
        <v>2741.0</v>
      </c>
      <c r="Q212" s="31">
        <v>9.0</v>
      </c>
      <c r="R212" s="31">
        <v>2295.0</v>
      </c>
      <c r="S212" s="31">
        <v>1.0</v>
      </c>
      <c r="T212" s="31">
        <v>355.0</v>
      </c>
      <c r="U212" s="31">
        <v>91.0</v>
      </c>
      <c r="V212" s="31">
        <v>91.0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24336.0</v>
      </c>
      <c r="L213" s="29">
        <v>2936.0</v>
      </c>
      <c r="M213" s="29">
        <v>297178.0</v>
      </c>
      <c r="N213" s="29">
        <v>321514.0</v>
      </c>
      <c r="O213" s="29">
        <v>9.0</v>
      </c>
      <c r="P213" s="31">
        <v>2750.0</v>
      </c>
      <c r="Q213" s="31">
        <v>10.0</v>
      </c>
      <c r="R213" s="31">
        <v>2305.0</v>
      </c>
      <c r="S213" s="31">
        <v>0.0</v>
      </c>
      <c r="T213" s="31">
        <v>355.0</v>
      </c>
      <c r="U213" s="31">
        <v>90.0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24456.0</v>
      </c>
      <c r="L214" s="29">
        <v>2373.0</v>
      </c>
      <c r="M214" s="29">
        <v>299551.0</v>
      </c>
      <c r="N214" s="29">
        <v>324007.0</v>
      </c>
      <c r="O214" s="29">
        <v>12.0</v>
      </c>
      <c r="P214" s="31">
        <v>2762.0</v>
      </c>
      <c r="Q214" s="31">
        <v>9.0</v>
      </c>
      <c r="R214" s="31">
        <v>2314.0</v>
      </c>
      <c r="S214" s="31">
        <v>0.0</v>
      </c>
      <c r="T214" s="31">
        <v>355.0</v>
      </c>
      <c r="U214" s="31">
        <v>93.0</v>
      </c>
      <c r="V214" s="31">
        <v>91.0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24490.0</v>
      </c>
      <c r="L215" s="29">
        <v>825.0</v>
      </c>
      <c r="M215" s="29">
        <v>300376.0</v>
      </c>
      <c r="N215" s="29">
        <v>324866.0</v>
      </c>
      <c r="O215" s="29">
        <v>7.0</v>
      </c>
      <c r="P215" s="31">
        <v>2769.0</v>
      </c>
      <c r="Q215" s="31">
        <v>5.0</v>
      </c>
      <c r="R215" s="31">
        <v>2319.0</v>
      </c>
      <c r="S215" s="31">
        <v>0.0</v>
      </c>
      <c r="T215" s="31">
        <v>355.0</v>
      </c>
      <c r="U215" s="31">
        <v>95.0</v>
      </c>
      <c r="V215" s="31">
        <v>93.0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24628.0</v>
      </c>
      <c r="L216" s="29">
        <v>2202.0</v>
      </c>
      <c r="M216" s="29">
        <v>302578.0</v>
      </c>
      <c r="N216" s="29">
        <v>327206.0</v>
      </c>
      <c r="O216" s="29">
        <v>7.0</v>
      </c>
      <c r="P216" s="31">
        <v>2776.0</v>
      </c>
      <c r="Q216" s="31">
        <v>7.0</v>
      </c>
      <c r="R216" s="31">
        <v>2326.0</v>
      </c>
      <c r="S216" s="31">
        <v>2.0</v>
      </c>
      <c r="T216" s="31">
        <v>357.0</v>
      </c>
      <c r="U216" s="31">
        <v>93.0</v>
      </c>
      <c r="V216" s="31">
        <v>94.0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24813.0</v>
      </c>
      <c r="L217" s="29">
        <v>2758.0</v>
      </c>
      <c r="M217" s="29">
        <v>305336.0</v>
      </c>
      <c r="N217" s="29">
        <v>330149.0</v>
      </c>
      <c r="O217" s="29">
        <v>12.0</v>
      </c>
      <c r="P217" s="31">
        <v>2788.0</v>
      </c>
      <c r="Q217" s="31">
        <v>18.0</v>
      </c>
      <c r="R217" s="31">
        <v>2344.0</v>
      </c>
      <c r="S217" s="31">
        <v>1.0</v>
      </c>
      <c r="T217" s="31">
        <v>358.0</v>
      </c>
      <c r="U217" s="31">
        <v>86.0</v>
      </c>
      <c r="V217" s="31">
        <v>91.0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25002.0</v>
      </c>
      <c r="L218" s="29">
        <v>2510.0</v>
      </c>
      <c r="M218" s="29">
        <v>307846.0</v>
      </c>
      <c r="N218" s="29">
        <v>332848.0</v>
      </c>
      <c r="O218" s="29">
        <v>6.0</v>
      </c>
      <c r="P218" s="31">
        <v>2794.0</v>
      </c>
      <c r="Q218" s="31">
        <v>6.0</v>
      </c>
      <c r="R218" s="31">
        <v>2350.0</v>
      </c>
      <c r="S218" s="31">
        <v>0.0</v>
      </c>
      <c r="T218" s="31">
        <v>358.0</v>
      </c>
      <c r="U218" s="31">
        <v>86.0</v>
      </c>
      <c r="V218" s="31">
        <v>88.0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25168.0</v>
      </c>
      <c r="L219" s="29">
        <v>2343.0</v>
      </c>
      <c r="M219" s="29">
        <v>310189.0</v>
      </c>
      <c r="N219" s="29">
        <v>335357.0</v>
      </c>
      <c r="O219" s="29">
        <v>17.0</v>
      </c>
      <c r="P219" s="31">
        <v>2811.0</v>
      </c>
      <c r="Q219" s="31">
        <v>13.0</v>
      </c>
      <c r="R219" s="31">
        <v>2363.0</v>
      </c>
      <c r="S219" s="31">
        <v>1.0</v>
      </c>
      <c r="T219" s="31">
        <v>359.0</v>
      </c>
      <c r="U219" s="31">
        <v>89.0</v>
      </c>
      <c r="V219" s="31">
        <v>87.0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25349.0</v>
      </c>
      <c r="L220" s="29">
        <v>2436.0</v>
      </c>
      <c r="M220" s="29">
        <v>312625.0</v>
      </c>
      <c r="N220" s="29">
        <v>337974.0</v>
      </c>
      <c r="O220" s="29">
        <v>14.0</v>
      </c>
      <c r="P220" s="31">
        <v>2825.0</v>
      </c>
      <c r="Q220" s="31">
        <v>13.0</v>
      </c>
      <c r="R220" s="31">
        <v>2376.0</v>
      </c>
      <c r="S220" s="31">
        <v>1.0</v>
      </c>
      <c r="T220" s="31">
        <v>360.0</v>
      </c>
      <c r="U220" s="31">
        <v>89.0</v>
      </c>
      <c r="V220" s="31">
        <v>88.0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25480.0</v>
      </c>
      <c r="L221" s="29">
        <v>1972.0</v>
      </c>
      <c r="M221" s="29">
        <v>314597.0</v>
      </c>
      <c r="N221" s="29">
        <v>340077.0</v>
      </c>
      <c r="O221" s="29">
        <v>9.0</v>
      </c>
      <c r="P221" s="31">
        <v>2834.0</v>
      </c>
      <c r="Q221" s="31">
        <v>9.0</v>
      </c>
      <c r="R221" s="31">
        <v>2385.0</v>
      </c>
      <c r="S221" s="31">
        <v>2.0</v>
      </c>
      <c r="T221" s="31">
        <v>362.0</v>
      </c>
      <c r="U221" s="31">
        <v>87.0</v>
      </c>
      <c r="V221" s="31">
        <v>88.0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25557.0</v>
      </c>
      <c r="L222" s="29">
        <v>932.0</v>
      </c>
      <c r="M222" s="29">
        <v>315529.0</v>
      </c>
      <c r="N222" s="29">
        <v>341086.0</v>
      </c>
      <c r="O222" s="29">
        <v>11.0</v>
      </c>
      <c r="P222" s="31">
        <v>2845.0</v>
      </c>
      <c r="Q222" s="31">
        <v>9.0</v>
      </c>
      <c r="R222" s="31">
        <v>2394.0</v>
      </c>
      <c r="S222" s="31">
        <v>1.0</v>
      </c>
      <c r="T222" s="31">
        <v>363.0</v>
      </c>
      <c r="U222" s="31">
        <v>88.0</v>
      </c>
      <c r="V222" s="31">
        <v>88.0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25717.0</v>
      </c>
      <c r="L223" s="29">
        <v>2969.0</v>
      </c>
      <c r="M223" s="29">
        <v>318498.0</v>
      </c>
      <c r="N223" s="29">
        <v>344215.0</v>
      </c>
      <c r="O223" s="29">
        <v>30.0</v>
      </c>
      <c r="P223" s="31">
        <v>2875.0</v>
      </c>
      <c r="Q223" s="31">
        <v>10.0</v>
      </c>
      <c r="R223" s="31">
        <v>2404.0</v>
      </c>
      <c r="S223" s="31">
        <v>2.0</v>
      </c>
      <c r="T223" s="31">
        <v>365.0</v>
      </c>
      <c r="U223" s="31">
        <v>106.0</v>
      </c>
      <c r="V223" s="31">
        <v>94.0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25905.0</v>
      </c>
      <c r="L224" s="29">
        <v>2829.0</v>
      </c>
      <c r="M224" s="29">
        <v>321327.0</v>
      </c>
      <c r="N224" s="29">
        <v>347232.0</v>
      </c>
      <c r="O224" s="29">
        <v>11.0</v>
      </c>
      <c r="P224" s="31">
        <v>2886.0</v>
      </c>
      <c r="Q224" s="31">
        <v>4.0</v>
      </c>
      <c r="R224" s="31">
        <v>2408.0</v>
      </c>
      <c r="S224" s="31">
        <v>0.0</v>
      </c>
      <c r="T224" s="31">
        <v>365.0</v>
      </c>
      <c r="U224" s="31">
        <v>113.0</v>
      </c>
      <c r="V224" s="31">
        <v>102.0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26149.0</v>
      </c>
      <c r="L225" s="29">
        <v>3455.0</v>
      </c>
      <c r="M225" s="29">
        <v>324782.0</v>
      </c>
      <c r="N225" s="29">
        <v>350931.0</v>
      </c>
      <c r="O225" s="29">
        <v>13.0</v>
      </c>
      <c r="P225" s="31">
        <v>2899.0</v>
      </c>
      <c r="Q225" s="31">
        <v>14.0</v>
      </c>
      <c r="R225" s="31">
        <v>2422.0</v>
      </c>
      <c r="S225" s="31">
        <v>2.0</v>
      </c>
      <c r="T225" s="31">
        <v>367.0</v>
      </c>
      <c r="U225" s="31">
        <v>110.0</v>
      </c>
      <c r="V225" s="31">
        <v>110.0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277.0</v>
      </c>
      <c r="J226" s="29">
        <v>236.0</v>
      </c>
      <c r="K226" s="29">
        <v>26426.0</v>
      </c>
      <c r="L226" s="29">
        <v>4136.0</v>
      </c>
      <c r="M226" s="29">
        <v>328918.0</v>
      </c>
      <c r="N226" s="29">
        <v>355344.0</v>
      </c>
      <c r="O226" s="29">
        <v>17.0</v>
      </c>
      <c r="P226" s="31">
        <v>2916.0</v>
      </c>
      <c r="Q226" s="31">
        <v>13.0</v>
      </c>
      <c r="R226" s="31">
        <v>2435.0</v>
      </c>
      <c r="S226" s="31">
        <v>2.0</v>
      </c>
      <c r="T226" s="31">
        <v>369.0</v>
      </c>
      <c r="U226" s="31">
        <v>112.0</v>
      </c>
      <c r="V226" s="31">
        <v>112.0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240.0</v>
      </c>
      <c r="K227" s="29">
        <v>26626.0</v>
      </c>
      <c r="L227" s="29">
        <v>4221.0</v>
      </c>
      <c r="M227" s="29">
        <v>333139.0</v>
      </c>
      <c r="N227" s="29">
        <v>359765.0</v>
      </c>
      <c r="O227" s="29">
        <v>21.0</v>
      </c>
      <c r="P227" s="31">
        <v>2937.0</v>
      </c>
      <c r="Q227" s="31">
        <v>12.0</v>
      </c>
      <c r="R227" s="31">
        <v>2447.0</v>
      </c>
      <c r="S227" s="31">
        <v>0.0</v>
      </c>
      <c r="T227" s="31">
        <v>369.0</v>
      </c>
      <c r="U227" s="31">
        <v>121.0</v>
      </c>
      <c r="V227" s="31">
        <v>114.0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26818.0</v>
      </c>
      <c r="L228" s="29">
        <v>3714.0</v>
      </c>
      <c r="M228" s="29">
        <v>336853.0</v>
      </c>
      <c r="N228" s="29">
        <v>363671.0</v>
      </c>
      <c r="O228" s="29">
        <v>19.0</v>
      </c>
      <c r="P228" s="31">
        <v>2956.0</v>
      </c>
      <c r="Q228" s="31">
        <v>10.0</v>
      </c>
      <c r="R228" s="31">
        <v>2457.0</v>
      </c>
      <c r="S228" s="31">
        <v>1.0</v>
      </c>
      <c r="T228" s="31">
        <v>370.0</v>
      </c>
      <c r="U228" s="31">
        <v>129.0</v>
      </c>
      <c r="V228" s="31">
        <v>121.0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26905.0</v>
      </c>
      <c r="L229" s="29">
        <v>1140.0</v>
      </c>
      <c r="M229" s="29">
        <v>337993.0</v>
      </c>
      <c r="N229" s="29">
        <v>364898.0</v>
      </c>
      <c r="O229" s="29">
        <v>12.0</v>
      </c>
      <c r="P229" s="31">
        <v>2968.0</v>
      </c>
      <c r="Q229" s="31">
        <v>9.0</v>
      </c>
      <c r="R229" s="31">
        <v>2466.0</v>
      </c>
      <c r="S229" s="31">
        <v>1.0</v>
      </c>
      <c r="T229" s="31">
        <v>371.0</v>
      </c>
      <c r="U229" s="31">
        <v>131.0</v>
      </c>
      <c r="V229" s="31">
        <v>127.0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27062.0</v>
      </c>
      <c r="L230" s="29">
        <v>1684.0</v>
      </c>
      <c r="M230" s="29">
        <v>339677.0</v>
      </c>
      <c r="N230" s="29">
        <v>366739.0</v>
      </c>
      <c r="O230" s="29">
        <v>19.0</v>
      </c>
      <c r="P230" s="31">
        <v>2987.0</v>
      </c>
      <c r="Q230" s="31">
        <v>15.0</v>
      </c>
      <c r="R230" s="31">
        <v>2481.0</v>
      </c>
      <c r="S230" s="31">
        <v>2.0</v>
      </c>
      <c r="T230" s="31">
        <v>373.0</v>
      </c>
      <c r="U230" s="31">
        <v>133.0</v>
      </c>
      <c r="V230" s="31">
        <v>131.0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27269.0</v>
      </c>
      <c r="L231" s="29">
        <v>2270.0</v>
      </c>
      <c r="M231" s="29">
        <v>341947.0</v>
      </c>
      <c r="N231" s="29">
        <v>369216.0</v>
      </c>
      <c r="O231" s="29">
        <v>15.0</v>
      </c>
      <c r="P231" s="31">
        <v>3002.0</v>
      </c>
      <c r="Q231" s="31">
        <v>13.0</v>
      </c>
      <c r="R231" s="31">
        <v>2494.0</v>
      </c>
      <c r="S231" s="31">
        <v>4.0</v>
      </c>
      <c r="T231" s="31">
        <v>377.0</v>
      </c>
      <c r="U231" s="31">
        <v>131.0</v>
      </c>
      <c r="V231" s="31">
        <v>132.0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299.0</v>
      </c>
      <c r="J232" s="29">
        <v>221.0</v>
      </c>
      <c r="K232" s="29">
        <v>27568.0</v>
      </c>
      <c r="L232" s="29">
        <v>3945.0</v>
      </c>
      <c r="M232" s="29">
        <v>345892.0</v>
      </c>
      <c r="N232" s="29">
        <v>373460.0</v>
      </c>
      <c r="O232" s="29">
        <v>17.0</v>
      </c>
      <c r="P232" s="31">
        <v>3019.0</v>
      </c>
      <c r="Q232" s="31">
        <v>7.0</v>
      </c>
      <c r="R232" s="31">
        <v>2501.0</v>
      </c>
      <c r="S232" s="31">
        <v>0.0</v>
      </c>
      <c r="T232" s="31">
        <v>377.0</v>
      </c>
      <c r="U232" s="31">
        <v>141.0</v>
      </c>
      <c r="V232" s="31">
        <v>135.0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253.0</v>
      </c>
      <c r="J233" s="29">
        <v>253.0</v>
      </c>
      <c r="K233" s="29">
        <v>27821.0</v>
      </c>
      <c r="L233" s="29">
        <v>3492.0</v>
      </c>
      <c r="M233" s="29">
        <v>349384.0</v>
      </c>
      <c r="N233" s="29">
        <v>377205.0</v>
      </c>
      <c r="O233" s="29">
        <v>12.0</v>
      </c>
      <c r="P233" s="31">
        <v>3031.0</v>
      </c>
      <c r="Q233" s="31">
        <v>16.0</v>
      </c>
      <c r="R233" s="31">
        <v>2517.0</v>
      </c>
      <c r="S233" s="31">
        <v>1.0</v>
      </c>
      <c r="T233" s="31">
        <v>378.0</v>
      </c>
      <c r="U233" s="31">
        <v>136.0</v>
      </c>
      <c r="V233" s="31">
        <v>136.0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28096.0</v>
      </c>
      <c r="L234" s="29">
        <v>3307.0</v>
      </c>
      <c r="M234" s="29">
        <v>352691.0</v>
      </c>
      <c r="N234" s="29">
        <v>380787.0</v>
      </c>
      <c r="O234" s="29">
        <v>13.0</v>
      </c>
      <c r="P234" s="31">
        <v>3044.0</v>
      </c>
      <c r="Q234" s="31">
        <v>18.0</v>
      </c>
      <c r="R234" s="31">
        <v>2535.0</v>
      </c>
      <c r="S234" s="31">
        <v>1.0</v>
      </c>
      <c r="T234" s="31">
        <v>379.0</v>
      </c>
      <c r="U234" s="31">
        <v>130.0</v>
      </c>
      <c r="V234" s="31">
        <v>136.0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309.0</v>
      </c>
      <c r="J235" s="29">
        <v>279.0</v>
      </c>
      <c r="K235" s="29">
        <v>28405.0</v>
      </c>
      <c r="L235" s="29">
        <v>3195.0</v>
      </c>
      <c r="M235" s="29">
        <v>355886.0</v>
      </c>
      <c r="N235" s="29">
        <v>384291.0</v>
      </c>
      <c r="O235" s="29">
        <v>19.0</v>
      </c>
      <c r="P235" s="31">
        <v>3063.0</v>
      </c>
      <c r="Q235" s="31">
        <v>11.0</v>
      </c>
      <c r="R235" s="31">
        <v>2546.0</v>
      </c>
      <c r="S235" s="31">
        <v>1.0</v>
      </c>
      <c r="T235" s="31">
        <v>380.0</v>
      </c>
      <c r="U235" s="31">
        <v>137.0</v>
      </c>
      <c r="V235" s="31">
        <v>134.0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28531.0</v>
      </c>
      <c r="L236" s="29">
        <v>1279.0</v>
      </c>
      <c r="M236" s="29">
        <v>357165.0</v>
      </c>
      <c r="N236" s="29">
        <v>385696.0</v>
      </c>
      <c r="O236" s="29">
        <v>18.0</v>
      </c>
      <c r="P236" s="31">
        <v>3081.0</v>
      </c>
      <c r="Q236" s="31">
        <v>11.0</v>
      </c>
      <c r="R236" s="31">
        <v>2557.0</v>
      </c>
      <c r="S236" s="31">
        <v>0.0</v>
      </c>
      <c r="T236" s="31">
        <v>380.0</v>
      </c>
      <c r="U236" s="31">
        <v>144.0</v>
      </c>
      <c r="V236" s="31">
        <v>137.0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323.0</v>
      </c>
      <c r="J237" s="29">
        <v>253.0</v>
      </c>
      <c r="K237" s="29">
        <v>28854.0</v>
      </c>
      <c r="L237" s="29">
        <v>2506.0</v>
      </c>
      <c r="M237" s="29">
        <v>359671.0</v>
      </c>
      <c r="N237" s="29">
        <v>388525.0</v>
      </c>
      <c r="O237" s="29">
        <v>21.0</v>
      </c>
      <c r="P237" s="31">
        <v>3102.0</v>
      </c>
      <c r="Q237" s="31">
        <v>22.0</v>
      </c>
      <c r="R237" s="31">
        <v>2579.0</v>
      </c>
      <c r="S237" s="31">
        <v>2.0</v>
      </c>
      <c r="T237" s="31">
        <v>382.0</v>
      </c>
      <c r="U237" s="31">
        <v>141.0</v>
      </c>
      <c r="V237" s="31">
        <v>141.0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387.0</v>
      </c>
      <c r="J238" s="29">
        <v>279.0</v>
      </c>
      <c r="K238" s="29">
        <v>29241.0</v>
      </c>
      <c r="L238" s="29">
        <v>2943.0</v>
      </c>
      <c r="M238" s="29">
        <v>362614.0</v>
      </c>
      <c r="N238" s="29">
        <v>391855.0</v>
      </c>
      <c r="O238" s="29">
        <v>23.0</v>
      </c>
      <c r="P238" s="31">
        <v>3125.0</v>
      </c>
      <c r="Q238" s="31">
        <v>17.0</v>
      </c>
      <c r="R238" s="31">
        <v>2596.0</v>
      </c>
      <c r="S238" s="31">
        <v>0.0</v>
      </c>
      <c r="T238" s="31">
        <v>382.0</v>
      </c>
      <c r="U238" s="31">
        <v>147.0</v>
      </c>
      <c r="V238" s="31">
        <v>144.0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29713.0</v>
      </c>
      <c r="L239" s="29">
        <v>3423.0</v>
      </c>
      <c r="M239" s="29">
        <v>366037.0</v>
      </c>
      <c r="N239" s="29">
        <v>395750.0</v>
      </c>
      <c r="O239" s="29">
        <v>23.0</v>
      </c>
      <c r="P239" s="31">
        <v>3148.0</v>
      </c>
      <c r="Q239" s="31">
        <v>8.0</v>
      </c>
      <c r="R239" s="31">
        <v>2604.0</v>
      </c>
      <c r="S239" s="31">
        <v>2.0</v>
      </c>
      <c r="T239" s="31">
        <v>384.0</v>
      </c>
      <c r="U239" s="31">
        <v>160.0</v>
      </c>
      <c r="V239" s="31">
        <v>149.0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30202.0</v>
      </c>
      <c r="L240" s="29">
        <v>3112.0</v>
      </c>
      <c r="M240" s="29">
        <v>369149.0</v>
      </c>
      <c r="N240" s="29">
        <v>399351.0</v>
      </c>
      <c r="O240" s="29">
        <v>24.0</v>
      </c>
      <c r="P240" s="31">
        <v>3172.0</v>
      </c>
      <c r="Q240" s="31">
        <v>20.0</v>
      </c>
      <c r="R240" s="31">
        <v>2624.0</v>
      </c>
      <c r="S240" s="31">
        <v>3.0</v>
      </c>
      <c r="T240" s="31">
        <v>387.0</v>
      </c>
      <c r="U240" s="31">
        <v>161.0</v>
      </c>
      <c r="V240" s="31">
        <v>156.0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30660.0</v>
      </c>
      <c r="L241" s="29">
        <v>2825.0</v>
      </c>
      <c r="M241" s="29">
        <v>371974.0</v>
      </c>
      <c r="N241" s="29">
        <v>402634.0</v>
      </c>
      <c r="O241" s="29">
        <v>22.0</v>
      </c>
      <c r="P241" s="31">
        <v>3194.0</v>
      </c>
      <c r="Q241" s="31">
        <v>22.0</v>
      </c>
      <c r="R241" s="31">
        <v>2646.0</v>
      </c>
      <c r="S241" s="31">
        <v>1.0</v>
      </c>
      <c r="T241" s="31">
        <v>388.0</v>
      </c>
      <c r="U241" s="31">
        <v>160.0</v>
      </c>
      <c r="V241" s="31">
        <v>160.0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30998.0</v>
      </c>
      <c r="L242" s="29">
        <v>2214.0</v>
      </c>
      <c r="M242" s="29">
        <v>374188.0</v>
      </c>
      <c r="N242" s="29">
        <v>405186.0</v>
      </c>
      <c r="O242" s="29">
        <v>17.0</v>
      </c>
      <c r="P242" s="31">
        <v>3211.0</v>
      </c>
      <c r="Q242" s="31">
        <v>11.0</v>
      </c>
      <c r="R242" s="31">
        <v>2657.0</v>
      </c>
      <c r="S242" s="31">
        <v>0.0</v>
      </c>
      <c r="T242" s="31">
        <v>388.0</v>
      </c>
      <c r="U242" s="31">
        <v>166.0</v>
      </c>
      <c r="V242" s="31">
        <v>162.0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31207.0</v>
      </c>
      <c r="L243" s="29">
        <v>1415.0</v>
      </c>
      <c r="M243" s="29">
        <v>375603.0</v>
      </c>
      <c r="N243" s="29">
        <v>406810.0</v>
      </c>
      <c r="O243" s="29">
        <v>16.0</v>
      </c>
      <c r="P243" s="31">
        <v>3227.0</v>
      </c>
      <c r="Q243" s="31">
        <v>15.0</v>
      </c>
      <c r="R243" s="31">
        <v>2672.0</v>
      </c>
      <c r="S243" s="31">
        <v>1.0</v>
      </c>
      <c r="T243" s="31">
        <v>389.0</v>
      </c>
      <c r="U243" s="31">
        <v>166.0</v>
      </c>
      <c r="V243" s="31">
        <v>164.0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31610.0</v>
      </c>
      <c r="L244" s="29">
        <v>2911.0</v>
      </c>
      <c r="M244" s="29">
        <v>378514.0</v>
      </c>
      <c r="N244" s="29">
        <v>410124.0</v>
      </c>
      <c r="O244" s="29">
        <v>27.0</v>
      </c>
      <c r="P244" s="31">
        <v>3254.0</v>
      </c>
      <c r="Q244" s="31">
        <v>15.0</v>
      </c>
      <c r="R244" s="31">
        <v>2687.0</v>
      </c>
      <c r="S244" s="31">
        <v>2.0</v>
      </c>
      <c r="T244" s="31">
        <v>391.0</v>
      </c>
      <c r="U244" s="31">
        <v>176.0</v>
      </c>
      <c r="V244" s="31">
        <v>169.0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32063.0</v>
      </c>
      <c r="L245" s="29">
        <v>2344.0</v>
      </c>
      <c r="M245" s="29">
        <v>380858.0</v>
      </c>
      <c r="N245" s="29">
        <v>412921.0</v>
      </c>
      <c r="O245" s="29">
        <v>29.0</v>
      </c>
      <c r="P245" s="31">
        <v>3283.0</v>
      </c>
      <c r="Q245" s="31">
        <v>15.0</v>
      </c>
      <c r="R245" s="31">
        <v>2702.0</v>
      </c>
      <c r="S245" s="31">
        <v>2.0</v>
      </c>
      <c r="T245" s="31">
        <v>393.0</v>
      </c>
      <c r="U245" s="31">
        <v>188.0</v>
      </c>
      <c r="V245" s="31">
        <v>177.0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32474.0</v>
      </c>
      <c r="L246" s="29">
        <v>2635.0</v>
      </c>
      <c r="M246" s="29">
        <v>383493.0</v>
      </c>
      <c r="N246" s="29">
        <v>415967.0</v>
      </c>
      <c r="O246" s="29">
        <v>25.0</v>
      </c>
      <c r="P246" s="31">
        <v>3308.0</v>
      </c>
      <c r="Q246" s="31">
        <v>26.0</v>
      </c>
      <c r="R246" s="31">
        <v>2728.0</v>
      </c>
      <c r="S246" s="31">
        <v>1.0</v>
      </c>
      <c r="T246" s="31">
        <v>394.0</v>
      </c>
      <c r="U246" s="31">
        <v>186.0</v>
      </c>
      <c r="V246" s="31">
        <v>183.0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33000.0</v>
      </c>
      <c r="L247" s="29">
        <v>3068.0</v>
      </c>
      <c r="M247" s="29">
        <v>386561.0</v>
      </c>
      <c r="N247" s="29">
        <v>419561.0</v>
      </c>
      <c r="O247" s="29">
        <v>20.0</v>
      </c>
      <c r="P247" s="31">
        <v>3328.0</v>
      </c>
      <c r="Q247" s="31">
        <v>22.0</v>
      </c>
      <c r="R247" s="31">
        <v>2750.0</v>
      </c>
      <c r="S247" s="31">
        <v>3.0</v>
      </c>
      <c r="T247" s="31">
        <v>397.0</v>
      </c>
      <c r="U247" s="31">
        <v>181.0</v>
      </c>
      <c r="V247" s="31">
        <v>185.0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33467.0</v>
      </c>
      <c r="L248" s="29">
        <v>2888.0</v>
      </c>
      <c r="M248" s="29">
        <v>389449.0</v>
      </c>
      <c r="N248" s="29">
        <v>422916.0</v>
      </c>
      <c r="O248" s="29">
        <v>21.0</v>
      </c>
      <c r="P248" s="31">
        <v>3349.0</v>
      </c>
      <c r="Q248" s="31">
        <v>21.0</v>
      </c>
      <c r="R248" s="31">
        <v>2771.0</v>
      </c>
      <c r="S248" s="31">
        <v>5.0</v>
      </c>
      <c r="T248" s="31">
        <v>402.0</v>
      </c>
      <c r="U248" s="31">
        <v>176.0</v>
      </c>
      <c r="V248" s="31">
        <v>181.0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483.0</v>
      </c>
      <c r="J249" s="29">
        <v>492.0</v>
      </c>
      <c r="K249" s="29">
        <v>33950.0</v>
      </c>
      <c r="L249" s="29">
        <v>2360.0</v>
      </c>
      <c r="M249" s="29">
        <v>391809.0</v>
      </c>
      <c r="N249" s="29">
        <v>425759.0</v>
      </c>
      <c r="O249" s="29">
        <v>31.0</v>
      </c>
      <c r="P249" s="31">
        <v>3380.0</v>
      </c>
      <c r="Q249" s="31">
        <v>13.0</v>
      </c>
      <c r="R249" s="31">
        <v>2784.0</v>
      </c>
      <c r="S249" s="31">
        <v>1.0</v>
      </c>
      <c r="T249" s="31">
        <v>403.0</v>
      </c>
      <c r="U249" s="31">
        <v>193.0</v>
      </c>
      <c r="V249" s="31">
        <v>183.0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34223.0</v>
      </c>
      <c r="L250" s="29">
        <v>1244.0</v>
      </c>
      <c r="M250" s="29">
        <v>393053.0</v>
      </c>
      <c r="N250" s="29">
        <v>427276.0</v>
      </c>
      <c r="O250" s="29">
        <v>22.0</v>
      </c>
      <c r="P250" s="31">
        <v>3402.0</v>
      </c>
      <c r="Q250" s="31">
        <v>15.0</v>
      </c>
      <c r="R250" s="31">
        <v>2799.0</v>
      </c>
      <c r="S250" s="31">
        <v>1.0</v>
      </c>
      <c r="T250" s="31">
        <v>404.0</v>
      </c>
      <c r="U250" s="31">
        <v>199.0</v>
      </c>
      <c r="V250" s="31">
        <v>189.0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455.0</v>
      </c>
      <c r="J251" s="29">
        <v>404.0</v>
      </c>
      <c r="K251" s="29">
        <v>34678.0</v>
      </c>
      <c r="L251" s="29">
        <v>2873.0</v>
      </c>
      <c r="M251" s="29">
        <v>395926.0</v>
      </c>
      <c r="N251" s="29">
        <v>430604.0</v>
      </c>
      <c r="O251" s="29">
        <v>38.0</v>
      </c>
      <c r="P251" s="31">
        <v>3440.0</v>
      </c>
      <c r="Q251" s="31">
        <v>27.0</v>
      </c>
      <c r="R251" s="31">
        <v>2826.0</v>
      </c>
      <c r="S251" s="31">
        <v>3.0</v>
      </c>
      <c r="T251" s="31">
        <v>407.0</v>
      </c>
      <c r="U251" s="31">
        <v>207.0</v>
      </c>
      <c r="V251" s="31">
        <v>200.0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35207.0</v>
      </c>
      <c r="L252" s="29">
        <v>2459.0</v>
      </c>
      <c r="M252" s="29">
        <v>398385.0</v>
      </c>
      <c r="N252" s="29">
        <v>433592.0</v>
      </c>
      <c r="O252" s="29">
        <v>33.0</v>
      </c>
      <c r="P252" s="31">
        <v>3473.0</v>
      </c>
      <c r="Q252" s="31">
        <v>25.0</v>
      </c>
      <c r="R252" s="31">
        <v>2851.0</v>
      </c>
      <c r="S252" s="31">
        <v>1.0</v>
      </c>
      <c r="T252" s="31">
        <v>408.0</v>
      </c>
      <c r="U252" s="31">
        <v>214.0</v>
      </c>
      <c r="V252" s="31">
        <v>207.0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632.0</v>
      </c>
      <c r="J253" s="29">
        <v>539.0</v>
      </c>
      <c r="K253" s="29">
        <v>35839.0</v>
      </c>
      <c r="L253" s="29">
        <v>2875.0</v>
      </c>
      <c r="M253" s="29">
        <v>401260.0</v>
      </c>
      <c r="N253" s="29">
        <v>437099.0</v>
      </c>
      <c r="O253" s="29">
        <v>34.0</v>
      </c>
      <c r="P253" s="31">
        <v>3507.0</v>
      </c>
      <c r="Q253" s="31">
        <v>27.0</v>
      </c>
      <c r="R253" s="31">
        <v>2878.0</v>
      </c>
      <c r="S253" s="31">
        <v>2.0</v>
      </c>
      <c r="T253" s="31">
        <v>410.0</v>
      </c>
      <c r="U253" s="31">
        <v>219.0</v>
      </c>
      <c r="V253" s="31">
        <v>213.0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614.0</v>
      </c>
      <c r="K254" s="29">
        <v>36521.0</v>
      </c>
      <c r="L254" s="29">
        <v>2799.0</v>
      </c>
      <c r="M254" s="29">
        <v>404059.0</v>
      </c>
      <c r="N254" s="29">
        <v>440580.0</v>
      </c>
      <c r="O254" s="29">
        <v>46.0</v>
      </c>
      <c r="P254" s="31">
        <v>3553.0</v>
      </c>
      <c r="Q254" s="31">
        <v>35.0</v>
      </c>
      <c r="R254" s="31">
        <v>2913.0</v>
      </c>
      <c r="S254" s="31">
        <v>1.0</v>
      </c>
      <c r="T254" s="31">
        <v>411.0</v>
      </c>
      <c r="U254" s="31">
        <v>229.0</v>
      </c>
      <c r="V254" s="31">
        <v>221.0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668.0</v>
      </c>
      <c r="K255" s="29">
        <v>37212.0</v>
      </c>
      <c r="L255" s="29">
        <v>2990.0</v>
      </c>
      <c r="M255" s="29">
        <v>407049.0</v>
      </c>
      <c r="N255" s="29">
        <v>444261.0</v>
      </c>
      <c r="O255" s="29">
        <v>43.0</v>
      </c>
      <c r="P255" s="31">
        <v>3596.0</v>
      </c>
      <c r="Q255" s="31">
        <v>31.0</v>
      </c>
      <c r="R255" s="31">
        <v>2944.0</v>
      </c>
      <c r="S255" s="31">
        <v>1.0</v>
      </c>
      <c r="T255" s="31">
        <v>412.0</v>
      </c>
      <c r="U255" s="31">
        <v>240.0</v>
      </c>
      <c r="V255" s="31">
        <v>229.0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37788.0</v>
      </c>
      <c r="L256" s="29">
        <v>2420.0</v>
      </c>
      <c r="M256" s="29">
        <v>409469.0</v>
      </c>
      <c r="N256" s="29">
        <v>447257.0</v>
      </c>
      <c r="O256" s="29">
        <v>34.0</v>
      </c>
      <c r="P256" s="31">
        <v>3630.0</v>
      </c>
      <c r="Q256" s="31">
        <v>25.0</v>
      </c>
      <c r="R256" s="31">
        <v>2969.0</v>
      </c>
      <c r="S256" s="31">
        <v>1.0</v>
      </c>
      <c r="T256" s="31">
        <v>413.0</v>
      </c>
      <c r="U256" s="31">
        <v>248.0</v>
      </c>
      <c r="V256" s="31">
        <v>239.0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38109.0</v>
      </c>
      <c r="L257" s="29">
        <v>1255.0</v>
      </c>
      <c r="M257" s="29">
        <v>410724.0</v>
      </c>
      <c r="N257" s="29">
        <v>448833.0</v>
      </c>
      <c r="O257" s="29">
        <v>33.0</v>
      </c>
      <c r="P257" s="31">
        <v>3663.0</v>
      </c>
      <c r="Q257" s="31">
        <v>26.0</v>
      </c>
      <c r="R257" s="31">
        <v>2995.0</v>
      </c>
      <c r="S257" s="31">
        <v>1.0</v>
      </c>
      <c r="T257" s="31">
        <v>414.0</v>
      </c>
      <c r="U257" s="31">
        <v>254.0</v>
      </c>
      <c r="V257" s="31">
        <v>247.0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763.0</v>
      </c>
      <c r="J258" s="29">
        <v>553.0</v>
      </c>
      <c r="K258" s="29">
        <v>38872.0</v>
      </c>
      <c r="L258" s="29">
        <v>2280.0</v>
      </c>
      <c r="M258" s="29">
        <v>413004.0</v>
      </c>
      <c r="N258" s="29">
        <v>451876.0</v>
      </c>
      <c r="O258" s="29">
        <v>40.0</v>
      </c>
      <c r="P258" s="31">
        <v>3703.0</v>
      </c>
      <c r="Q258" s="31">
        <v>33.0</v>
      </c>
      <c r="R258" s="31">
        <v>3028.0</v>
      </c>
      <c r="S258" s="31">
        <v>2.0</v>
      </c>
      <c r="T258" s="31">
        <v>416.0</v>
      </c>
      <c r="U258" s="31">
        <v>259.0</v>
      </c>
      <c r="V258" s="31">
        <v>254.0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979.0</v>
      </c>
      <c r="J259" s="29">
        <v>688.0</v>
      </c>
      <c r="K259" s="29">
        <v>39851.0</v>
      </c>
      <c r="L259" s="29">
        <v>2846.0</v>
      </c>
      <c r="M259" s="29">
        <v>415850.0</v>
      </c>
      <c r="N259" s="29">
        <v>455701.0</v>
      </c>
      <c r="O259" s="29">
        <v>45.0</v>
      </c>
      <c r="P259" s="31">
        <v>3748.0</v>
      </c>
      <c r="Q259" s="31">
        <v>37.0</v>
      </c>
      <c r="R259" s="31">
        <v>3065.0</v>
      </c>
      <c r="S259" s="31">
        <v>0.0</v>
      </c>
      <c r="T259" s="31">
        <v>416.0</v>
      </c>
      <c r="U259" s="31">
        <v>267.0</v>
      </c>
      <c r="V259" s="31">
        <v>260.0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1001.0</v>
      </c>
      <c r="J260" s="29">
        <v>914.0</v>
      </c>
      <c r="K260" s="29">
        <v>40852.0</v>
      </c>
      <c r="L260" s="29">
        <v>2639.0</v>
      </c>
      <c r="M260" s="29">
        <v>418489.0</v>
      </c>
      <c r="N260" s="29">
        <v>459341.0</v>
      </c>
      <c r="O260" s="29">
        <v>42.0</v>
      </c>
      <c r="P260" s="31">
        <v>3790.0</v>
      </c>
      <c r="Q260" s="31">
        <v>24.0</v>
      </c>
      <c r="R260" s="31">
        <v>3089.0</v>
      </c>
      <c r="S260" s="31">
        <v>5.0</v>
      </c>
      <c r="T260" s="31">
        <v>421.0</v>
      </c>
      <c r="U260" s="31">
        <v>280.0</v>
      </c>
      <c r="V260" s="31">
        <v>269.0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930.0</v>
      </c>
      <c r="K261" s="29">
        <v>41663.0</v>
      </c>
      <c r="L261" s="29">
        <v>2170.0</v>
      </c>
      <c r="M261" s="29">
        <v>420659.0</v>
      </c>
      <c r="N261" s="29">
        <v>462322.0</v>
      </c>
      <c r="O261" s="29">
        <v>39.0</v>
      </c>
      <c r="P261" s="31">
        <v>3829.0</v>
      </c>
      <c r="Q261" s="31">
        <v>31.0</v>
      </c>
      <c r="R261" s="31">
        <v>3120.0</v>
      </c>
      <c r="S261" s="31">
        <v>3.0</v>
      </c>
      <c r="T261" s="31">
        <v>424.0</v>
      </c>
      <c r="U261" s="31">
        <v>285.0</v>
      </c>
      <c r="V261" s="31">
        <v>277.0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42778.0</v>
      </c>
      <c r="L262" s="29">
        <v>3067.0</v>
      </c>
      <c r="M262" s="29">
        <v>423726.0</v>
      </c>
      <c r="N262" s="29">
        <v>466504.0</v>
      </c>
      <c r="O262" s="29">
        <v>39.0</v>
      </c>
      <c r="P262" s="31">
        <v>3868.0</v>
      </c>
      <c r="Q262" s="31">
        <v>31.0</v>
      </c>
      <c r="R262" s="31">
        <v>3151.0</v>
      </c>
      <c r="S262" s="31">
        <v>0.0</v>
      </c>
      <c r="T262" s="31">
        <v>424.0</v>
      </c>
      <c r="U262" s="31">
        <v>293.0</v>
      </c>
      <c r="V262" s="31">
        <v>286.0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43516.0</v>
      </c>
      <c r="L263" s="29">
        <v>2436.0</v>
      </c>
      <c r="M263" s="29">
        <v>426162.0</v>
      </c>
      <c r="N263" s="29">
        <v>469678.0</v>
      </c>
      <c r="O263" s="29">
        <v>42.0</v>
      </c>
      <c r="P263" s="31">
        <v>3910.0</v>
      </c>
      <c r="Q263" s="31">
        <v>26.0</v>
      </c>
      <c r="R263" s="31">
        <v>3177.0</v>
      </c>
      <c r="S263" s="31">
        <v>5.0</v>
      </c>
      <c r="T263" s="31">
        <v>429.0</v>
      </c>
      <c r="U263" s="31">
        <v>304.0</v>
      </c>
      <c r="V263" s="31">
        <v>294.0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495.0</v>
      </c>
      <c r="J264" s="29">
        <v>783.0</v>
      </c>
      <c r="K264" s="29">
        <v>44011.0</v>
      </c>
      <c r="L264" s="29">
        <v>1404.0</v>
      </c>
      <c r="M264" s="29">
        <v>427566.0</v>
      </c>
      <c r="N264" s="29">
        <v>471577.0</v>
      </c>
      <c r="O264" s="29">
        <v>44.0</v>
      </c>
      <c r="P264" s="31">
        <v>3954.0</v>
      </c>
      <c r="Q264" s="31">
        <v>21.0</v>
      </c>
      <c r="R264" s="31">
        <v>3198.0</v>
      </c>
      <c r="S264" s="31">
        <v>5.0</v>
      </c>
      <c r="T264" s="31">
        <v>434.0</v>
      </c>
      <c r="U264" s="31">
        <v>322.0</v>
      </c>
      <c r="V264" s="31">
        <v>306.0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673.0</v>
      </c>
      <c r="J265" s="29">
        <v>635.0</v>
      </c>
      <c r="K265" s="29">
        <v>44684.0</v>
      </c>
      <c r="L265" s="29">
        <v>2598.0</v>
      </c>
      <c r="M265" s="29">
        <v>430164.0</v>
      </c>
      <c r="N265" s="29">
        <v>474848.0</v>
      </c>
      <c r="O265" s="29">
        <v>56.0</v>
      </c>
      <c r="P265" s="31">
        <v>4010.0</v>
      </c>
      <c r="Q265" s="31">
        <v>38.0</v>
      </c>
      <c r="R265" s="31">
        <v>3236.0</v>
      </c>
      <c r="S265" s="31">
        <v>3.0</v>
      </c>
      <c r="T265" s="31">
        <v>437.0</v>
      </c>
      <c r="U265" s="31">
        <v>337.0</v>
      </c>
      <c r="V265" s="31">
        <v>321.0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1401.0</v>
      </c>
      <c r="J266" s="29">
        <v>856.0</v>
      </c>
      <c r="K266" s="29">
        <v>46085.0</v>
      </c>
      <c r="L266" s="29">
        <v>4093.0</v>
      </c>
      <c r="M266" s="29">
        <v>434257.0</v>
      </c>
      <c r="N266" s="29">
        <v>480342.0</v>
      </c>
      <c r="O266" s="29">
        <v>59.0</v>
      </c>
      <c r="P266" s="31">
        <v>4069.0</v>
      </c>
      <c r="Q266" s="31">
        <v>44.0</v>
      </c>
      <c r="R266" s="31">
        <v>3280.0</v>
      </c>
      <c r="S266" s="31">
        <v>2.0</v>
      </c>
      <c r="T266" s="31">
        <v>439.0</v>
      </c>
      <c r="U266" s="31">
        <v>350.0</v>
      </c>
      <c r="V266" s="31">
        <v>336.0</v>
      </c>
      <c r="W266" s="31">
        <v>30.0</v>
      </c>
      <c r="X266" s="31">
        <v>13.0</v>
      </c>
      <c r="Y266" s="31">
        <v>5.0</v>
      </c>
      <c r="Z266" s="28">
        <v>1287.0</v>
      </c>
    </row>
    <row r="267" ht="14.25" customHeight="1">
      <c r="A267" s="27">
        <v>44153.0</v>
      </c>
      <c r="B267" s="28">
        <v>1124.0</v>
      </c>
      <c r="C267" s="28">
        <v>1133.0</v>
      </c>
      <c r="D267" s="28">
        <v>59403.0</v>
      </c>
      <c r="E267" s="29">
        <v>16029.0</v>
      </c>
      <c r="F267" s="30">
        <v>1341772.0</v>
      </c>
      <c r="G267" s="30">
        <v>17153.0</v>
      </c>
      <c r="H267" s="30">
        <v>1401175.0</v>
      </c>
      <c r="I267" s="29">
        <v>1012.0</v>
      </c>
      <c r="J267" s="29">
        <v>1029.0</v>
      </c>
      <c r="K267" s="29">
        <v>47097.0</v>
      </c>
      <c r="L267" s="29">
        <v>3156.0</v>
      </c>
      <c r="M267" s="29">
        <v>437413.0</v>
      </c>
      <c r="N267" s="29">
        <v>484510.0</v>
      </c>
      <c r="O267" s="29">
        <v>38.0</v>
      </c>
      <c r="P267" s="31">
        <v>4107.0</v>
      </c>
      <c r="Q267" s="31">
        <v>38.0</v>
      </c>
      <c r="R267" s="31">
        <v>3318.0</v>
      </c>
      <c r="S267" s="31">
        <v>5.0</v>
      </c>
      <c r="T267" s="31">
        <v>444.0</v>
      </c>
      <c r="U267" s="31">
        <v>345.0</v>
      </c>
      <c r="V267" s="31">
        <v>344.0</v>
      </c>
      <c r="W267" s="31">
        <v>29.0</v>
      </c>
      <c r="X267" s="31">
        <v>15.0</v>
      </c>
      <c r="Y267" s="31">
        <v>7.0</v>
      </c>
      <c r="Z267" s="28">
        <v>1294.0</v>
      </c>
    </row>
    <row r="268" ht="14.25" customHeight="1">
      <c r="A268" s="27">
        <v>44154.0</v>
      </c>
      <c r="B268" s="28">
        <v>1128.0</v>
      </c>
      <c r="C268" s="28">
        <v>1263.0</v>
      </c>
      <c r="D268" s="28">
        <v>60531.0</v>
      </c>
      <c r="E268" s="29">
        <v>13170.0</v>
      </c>
      <c r="F268" s="30">
        <v>1354942.0</v>
      </c>
      <c r="G268" s="30">
        <v>14298.0</v>
      </c>
      <c r="H268" s="30">
        <v>1415473.0</v>
      </c>
      <c r="I268" s="29">
        <v>1034.0</v>
      </c>
      <c r="J268" s="29">
        <v>1149.0</v>
      </c>
      <c r="K268" s="29">
        <v>48131.0</v>
      </c>
      <c r="L268" s="29">
        <v>3375.0</v>
      </c>
      <c r="M268" s="29">
        <v>440788.0</v>
      </c>
      <c r="N268" s="29">
        <v>488919.0</v>
      </c>
      <c r="O268" s="29">
        <v>46.0</v>
      </c>
      <c r="P268" s="31">
        <v>4153.0</v>
      </c>
      <c r="Q268" s="31">
        <v>42.0</v>
      </c>
      <c r="R268" s="31">
        <v>3360.0</v>
      </c>
      <c r="S268" s="31">
        <v>4.0</v>
      </c>
      <c r="T268" s="31">
        <v>448.0</v>
      </c>
      <c r="U268" s="31">
        <v>345.0</v>
      </c>
      <c r="V268" s="31">
        <v>347.0</v>
      </c>
      <c r="W268" s="31">
        <v>30.0</v>
      </c>
      <c r="X268" s="31">
        <v>18.0</v>
      </c>
      <c r="Y268" s="31">
        <v>5.0</v>
      </c>
      <c r="Z268" s="28">
        <v>1299.0</v>
      </c>
    </row>
    <row r="269" ht="14.25" customHeight="1">
      <c r="A269" s="27">
        <v>44155.0</v>
      </c>
      <c r="B269" s="28">
        <v>1456.0</v>
      </c>
      <c r="C269" s="28">
        <v>1236.0</v>
      </c>
      <c r="D269" s="28">
        <v>61987.0</v>
      </c>
      <c r="E269" s="29">
        <v>22223.0</v>
      </c>
      <c r="F269" s="30">
        <v>1377165.0</v>
      </c>
      <c r="G269" s="30">
        <v>23679.0</v>
      </c>
      <c r="H269" s="30">
        <v>1439152.0</v>
      </c>
      <c r="I269" s="29">
        <v>1293.0</v>
      </c>
      <c r="J269" s="29">
        <v>1113.0</v>
      </c>
      <c r="K269" s="29">
        <v>49424.0</v>
      </c>
      <c r="L269" s="29">
        <v>4282.0</v>
      </c>
      <c r="M269" s="29">
        <v>445070.0</v>
      </c>
      <c r="N269" s="29">
        <v>494494.0</v>
      </c>
      <c r="O269" s="29">
        <v>49.0</v>
      </c>
      <c r="P269" s="31">
        <v>4202.0</v>
      </c>
      <c r="Q269" s="31">
        <v>48.0</v>
      </c>
      <c r="R269" s="31">
        <v>3408.0</v>
      </c>
      <c r="S269" s="31">
        <v>3.0</v>
      </c>
      <c r="T269" s="31">
        <v>451.0</v>
      </c>
      <c r="U269" s="31">
        <v>343.0</v>
      </c>
      <c r="V269" s="31">
        <v>344.0</v>
      </c>
      <c r="W269" s="31">
        <v>33.0</v>
      </c>
      <c r="X269" s="31">
        <v>14.0</v>
      </c>
      <c r="Y269" s="31">
        <v>6.0</v>
      </c>
      <c r="Z269" s="28">
        <v>1305.0</v>
      </c>
    </row>
    <row r="270" ht="14.25" customHeight="1">
      <c r="A270" s="27">
        <v>44156.0</v>
      </c>
      <c r="B270" s="28">
        <v>853.0</v>
      </c>
      <c r="C270" s="28">
        <v>1146.0</v>
      </c>
      <c r="D270" s="28">
        <v>62840.0</v>
      </c>
      <c r="E270" s="29">
        <v>17370.0</v>
      </c>
      <c r="F270" s="30">
        <v>1394535.0</v>
      </c>
      <c r="G270" s="30">
        <v>18223.0</v>
      </c>
      <c r="H270" s="30">
        <v>1457375.0</v>
      </c>
      <c r="I270" s="29">
        <v>755.0</v>
      </c>
      <c r="J270" s="29">
        <v>1027.0</v>
      </c>
      <c r="K270" s="29">
        <v>50179.0</v>
      </c>
      <c r="L270" s="29">
        <v>3122.0</v>
      </c>
      <c r="M270" s="29">
        <v>448192.0</v>
      </c>
      <c r="N270" s="29">
        <v>498371.0</v>
      </c>
      <c r="O270" s="29">
        <v>43.0</v>
      </c>
      <c r="P270" s="31">
        <v>4245.0</v>
      </c>
      <c r="Q270" s="31">
        <v>34.0</v>
      </c>
      <c r="R270" s="31">
        <v>3442.0</v>
      </c>
      <c r="S270" s="31">
        <v>5.0</v>
      </c>
      <c r="T270" s="31">
        <v>456.0</v>
      </c>
      <c r="U270" s="31">
        <v>347.0</v>
      </c>
      <c r="V270" s="31">
        <v>345.0</v>
      </c>
      <c r="W270" s="31">
        <v>35.0</v>
      </c>
      <c r="X270" s="31">
        <v>14.0</v>
      </c>
      <c r="Y270" s="31">
        <v>7.0</v>
      </c>
      <c r="Z270" s="28">
        <v>1312.0</v>
      </c>
    </row>
    <row r="271" ht="14.25" customHeight="1">
      <c r="A271" s="27">
        <v>44157.0</v>
      </c>
      <c r="B271" s="28">
        <v>571.0</v>
      </c>
      <c r="C271" s="28">
        <v>960.0</v>
      </c>
      <c r="D271" s="28">
        <v>63411.0</v>
      </c>
      <c r="E271" s="29">
        <v>7519.0</v>
      </c>
      <c r="F271" s="30">
        <v>1402054.0</v>
      </c>
      <c r="G271" s="30">
        <v>8090.0</v>
      </c>
      <c r="H271" s="30">
        <v>1465465.0</v>
      </c>
      <c r="I271" s="29">
        <v>486.0</v>
      </c>
      <c r="J271" s="29">
        <v>845.0</v>
      </c>
      <c r="K271" s="29">
        <v>50665.0</v>
      </c>
      <c r="L271" s="29">
        <v>1781.0</v>
      </c>
      <c r="M271" s="29">
        <v>449973.0</v>
      </c>
      <c r="N271" s="29">
        <v>500638.0</v>
      </c>
      <c r="O271" s="29">
        <v>64.0</v>
      </c>
      <c r="P271" s="31">
        <v>4309.0</v>
      </c>
      <c r="Q271" s="31">
        <v>28.0</v>
      </c>
      <c r="R271" s="31">
        <v>3470.0</v>
      </c>
      <c r="S271" s="31">
        <v>4.0</v>
      </c>
      <c r="T271" s="31">
        <v>460.0</v>
      </c>
      <c r="U271" s="31">
        <v>379.0</v>
      </c>
      <c r="V271" s="31">
        <v>356.0</v>
      </c>
      <c r="W271" s="31">
        <v>33.0</v>
      </c>
      <c r="X271" s="31">
        <v>15.0</v>
      </c>
      <c r="Y271" s="31">
        <v>11.0</v>
      </c>
      <c r="Z271" s="28">
        <v>1323.0</v>
      </c>
    </row>
    <row r="272" ht="14.25" customHeight="1">
      <c r="A272" s="27">
        <v>44158.0</v>
      </c>
      <c r="B272" s="28">
        <v>980.0</v>
      </c>
      <c r="C272" s="28">
        <v>801.0</v>
      </c>
      <c r="D272" s="28">
        <v>64391.0</v>
      </c>
      <c r="E272" s="29">
        <v>11025.0</v>
      </c>
      <c r="F272" s="30">
        <v>1413079.0</v>
      </c>
      <c r="G272" s="30">
        <v>12005.0</v>
      </c>
      <c r="H272" s="30">
        <v>1477470.0</v>
      </c>
      <c r="I272" s="29">
        <v>885.0</v>
      </c>
      <c r="J272" s="29">
        <v>709.0</v>
      </c>
      <c r="K272" s="29">
        <v>51550.0</v>
      </c>
      <c r="L272" s="29">
        <v>3392.0</v>
      </c>
      <c r="M272" s="29">
        <v>453365.0</v>
      </c>
      <c r="N272" s="29">
        <v>504915.0</v>
      </c>
      <c r="O272" s="29">
        <v>72.0</v>
      </c>
      <c r="P272" s="31">
        <v>4381.0</v>
      </c>
      <c r="Q272" s="31">
        <v>39.0</v>
      </c>
      <c r="R272" s="31">
        <v>3509.0</v>
      </c>
      <c r="S272" s="31">
        <v>0.0</v>
      </c>
      <c r="T272" s="31">
        <v>460.0</v>
      </c>
      <c r="U272" s="31">
        <v>412.0</v>
      </c>
      <c r="V272" s="31">
        <v>379.0</v>
      </c>
      <c r="W272" s="31">
        <v>40.0</v>
      </c>
      <c r="X272" s="31">
        <v>18.0</v>
      </c>
      <c r="Y272" s="31">
        <v>10.0</v>
      </c>
      <c r="Z272" s="28">
        <v>1333.0</v>
      </c>
    </row>
    <row r="273" ht="14.25" customHeight="1">
      <c r="A273" s="27">
        <v>44159.0</v>
      </c>
      <c r="B273" s="28">
        <v>1045.0</v>
      </c>
      <c r="C273" s="28">
        <v>865.0</v>
      </c>
      <c r="D273" s="28">
        <v>65436.0</v>
      </c>
      <c r="E273" s="29">
        <v>14578.0</v>
      </c>
      <c r="F273" s="30">
        <v>1427657.0</v>
      </c>
      <c r="G273" s="30">
        <v>15623.0</v>
      </c>
      <c r="H273" s="30">
        <v>1493093.0</v>
      </c>
      <c r="I273" s="29">
        <v>937.0</v>
      </c>
      <c r="J273" s="29">
        <v>769.0</v>
      </c>
      <c r="K273" s="29">
        <v>52487.0</v>
      </c>
      <c r="L273" s="29">
        <v>2764.0</v>
      </c>
      <c r="M273" s="29">
        <v>456129.0</v>
      </c>
      <c r="N273" s="29">
        <v>508616.0</v>
      </c>
      <c r="O273" s="29">
        <v>46.0</v>
      </c>
      <c r="P273" s="31">
        <v>4427.0</v>
      </c>
      <c r="Q273" s="31">
        <v>60.0</v>
      </c>
      <c r="R273" s="31">
        <v>3569.0</v>
      </c>
      <c r="S273" s="31">
        <v>6.0</v>
      </c>
      <c r="T273" s="31">
        <v>466.0</v>
      </c>
      <c r="U273" s="31">
        <v>392.0</v>
      </c>
      <c r="V273" s="31">
        <v>394.0</v>
      </c>
      <c r="W273" s="31">
        <v>42.0</v>
      </c>
      <c r="X273" s="31">
        <v>22.0</v>
      </c>
      <c r="Y273" s="31">
        <v>10.0</v>
      </c>
      <c r="Z273" s="28">
        <v>1343.0</v>
      </c>
    </row>
    <row r="274" ht="14.25" customHeight="1">
      <c r="A274" s="27">
        <v>44160.0</v>
      </c>
      <c r="B274" s="28">
        <v>1264.0</v>
      </c>
      <c r="C274" s="28">
        <v>1096.0</v>
      </c>
      <c r="D274" s="28">
        <v>66700.0</v>
      </c>
      <c r="E274" s="29">
        <v>18787.0</v>
      </c>
      <c r="F274" s="30">
        <v>1446444.0</v>
      </c>
      <c r="G274" s="30">
        <v>20051.0</v>
      </c>
      <c r="H274" s="30">
        <v>1513144.0</v>
      </c>
      <c r="I274" s="29">
        <v>1176.0</v>
      </c>
      <c r="J274" s="29">
        <v>999.0</v>
      </c>
      <c r="K274" s="29">
        <v>53663.0</v>
      </c>
      <c r="L274" s="29">
        <v>3524.0</v>
      </c>
      <c r="M274" s="29">
        <v>459653.0</v>
      </c>
      <c r="N274" s="29">
        <v>513316.0</v>
      </c>
      <c r="O274" s="29">
        <v>54.0</v>
      </c>
      <c r="P274" s="31">
        <v>4481.0</v>
      </c>
      <c r="Q274" s="31">
        <v>58.0</v>
      </c>
      <c r="R274" s="31">
        <v>3627.0</v>
      </c>
      <c r="S274" s="31">
        <v>4.0</v>
      </c>
      <c r="T274" s="31">
        <v>470.0</v>
      </c>
      <c r="U274" s="31">
        <v>384.0</v>
      </c>
      <c r="V274" s="31">
        <v>396.0</v>
      </c>
      <c r="W274" s="31">
        <v>43.0</v>
      </c>
      <c r="X274" s="31">
        <v>26.0</v>
      </c>
      <c r="Y274" s="31">
        <v>7.0</v>
      </c>
      <c r="Z274" s="28">
        <v>1350.0</v>
      </c>
    </row>
    <row r="275" ht="14.25" customHeight="1">
      <c r="A275" s="27">
        <v>44161.0</v>
      </c>
      <c r="B275" s="28">
        <v>547.0</v>
      </c>
      <c r="C275" s="28">
        <v>952.0</v>
      </c>
      <c r="D275" s="28">
        <v>67247.0</v>
      </c>
      <c r="E275" s="29">
        <v>6482.0</v>
      </c>
      <c r="F275" s="30">
        <v>1452926.0</v>
      </c>
      <c r="G275" s="30">
        <v>7029.0</v>
      </c>
      <c r="H275" s="30">
        <v>1520173.0</v>
      </c>
      <c r="I275" s="29">
        <v>468.0</v>
      </c>
      <c r="J275" s="29">
        <v>860.0</v>
      </c>
      <c r="K275" s="29">
        <v>54131.0</v>
      </c>
      <c r="L275" s="29">
        <v>1569.0</v>
      </c>
      <c r="M275" s="29">
        <v>461222.0</v>
      </c>
      <c r="N275" s="29">
        <v>515353.0</v>
      </c>
      <c r="O275" s="29">
        <v>50.0</v>
      </c>
      <c r="P275" s="31">
        <v>4531.0</v>
      </c>
      <c r="Q275" s="31">
        <v>36.0</v>
      </c>
      <c r="R275" s="31">
        <v>3663.0</v>
      </c>
      <c r="S275" s="31">
        <v>4.0</v>
      </c>
      <c r="T275" s="31">
        <v>474.0</v>
      </c>
      <c r="U275" s="31">
        <v>394.0</v>
      </c>
      <c r="V275" s="31">
        <v>390.0</v>
      </c>
      <c r="W275" s="31">
        <v>46.0</v>
      </c>
      <c r="X275" s="31">
        <v>25.0</v>
      </c>
      <c r="Y275" s="31">
        <v>12.0</v>
      </c>
      <c r="Z275" s="28">
        <v>1362.0</v>
      </c>
    </row>
    <row r="276" ht="14.25" customHeight="1">
      <c r="A276" s="27">
        <v>44162.0</v>
      </c>
      <c r="B276" s="28">
        <v>1032.0</v>
      </c>
      <c r="C276" s="28">
        <v>948.0</v>
      </c>
      <c r="D276" s="28">
        <v>68279.0</v>
      </c>
      <c r="E276" s="29">
        <v>9716.0</v>
      </c>
      <c r="F276" s="30">
        <v>1462642.0</v>
      </c>
      <c r="G276" s="30">
        <v>10748.0</v>
      </c>
      <c r="H276" s="30">
        <v>1530921.0</v>
      </c>
      <c r="I276" s="29">
        <v>960.0</v>
      </c>
      <c r="J276" s="29">
        <v>868.0</v>
      </c>
      <c r="K276" s="29">
        <v>55091.0</v>
      </c>
      <c r="L276" s="29">
        <v>2519.0</v>
      </c>
      <c r="M276" s="29">
        <v>463741.0</v>
      </c>
      <c r="N276" s="29">
        <v>518832.0</v>
      </c>
      <c r="O276" s="29">
        <v>52.0</v>
      </c>
      <c r="P276" s="31">
        <v>4583.0</v>
      </c>
      <c r="Q276" s="31">
        <v>49.0</v>
      </c>
      <c r="R276" s="31">
        <v>3712.0</v>
      </c>
      <c r="S276" s="31">
        <v>7.0</v>
      </c>
      <c r="T276" s="31">
        <v>481.0</v>
      </c>
      <c r="U276" s="31">
        <v>390.0</v>
      </c>
      <c r="V276" s="31">
        <v>389.0</v>
      </c>
      <c r="W276" s="31">
        <v>46.0</v>
      </c>
      <c r="X276" s="31">
        <v>22.0</v>
      </c>
      <c r="Y276" s="31">
        <v>6.0</v>
      </c>
      <c r="Z276" s="28">
        <v>1368.0</v>
      </c>
    </row>
    <row r="277" ht="14.25" customHeight="1">
      <c r="A277" s="27">
        <v>44163.0</v>
      </c>
      <c r="B277" s="28">
        <v>1173.0</v>
      </c>
      <c r="C277" s="28">
        <v>917.0</v>
      </c>
      <c r="D277" s="28">
        <v>69452.0</v>
      </c>
      <c r="E277" s="29">
        <v>11950.0</v>
      </c>
      <c r="F277" s="30">
        <v>1474592.0</v>
      </c>
      <c r="G277" s="30">
        <v>13123.0</v>
      </c>
      <c r="H277" s="30">
        <v>1544044.0</v>
      </c>
      <c r="I277" s="29">
        <v>1086.0</v>
      </c>
      <c r="J277" s="29">
        <v>838.0</v>
      </c>
      <c r="K277" s="29">
        <v>56177.0</v>
      </c>
      <c r="L277" s="29">
        <v>2812.0</v>
      </c>
      <c r="M277" s="29">
        <v>466553.0</v>
      </c>
      <c r="N277" s="29">
        <v>522730.0</v>
      </c>
      <c r="O277" s="29">
        <v>63.0</v>
      </c>
      <c r="P277" s="31">
        <v>4646.0</v>
      </c>
      <c r="Q277" s="31">
        <v>40.0</v>
      </c>
      <c r="R277" s="31">
        <v>3752.0</v>
      </c>
      <c r="S277" s="31">
        <v>0.0</v>
      </c>
      <c r="T277" s="31">
        <v>481.0</v>
      </c>
      <c r="U277" s="31">
        <v>413.0</v>
      </c>
      <c r="V277" s="31">
        <v>399.0</v>
      </c>
      <c r="W277" s="31">
        <v>47.0</v>
      </c>
      <c r="X277" s="31">
        <v>22.0</v>
      </c>
      <c r="Y277" s="31">
        <v>3.0</v>
      </c>
      <c r="Z277" s="28">
        <v>1371.0</v>
      </c>
    </row>
    <row r="278" ht="14.25" customHeight="1">
      <c r="A278" s="27">
        <v>44164.0</v>
      </c>
      <c r="B278" s="28">
        <v>818.0</v>
      </c>
      <c r="C278" s="28">
        <v>1008.0</v>
      </c>
      <c r="D278" s="28">
        <v>70270.0</v>
      </c>
      <c r="E278" s="29">
        <v>6932.0</v>
      </c>
      <c r="F278" s="30">
        <v>1481524.0</v>
      </c>
      <c r="G278" s="30">
        <v>7750.0</v>
      </c>
      <c r="H278" s="30">
        <v>1551794.0</v>
      </c>
      <c r="I278" s="29">
        <v>752.0</v>
      </c>
      <c r="J278" s="29">
        <v>933.0</v>
      </c>
      <c r="K278" s="29">
        <v>56929.0</v>
      </c>
      <c r="L278" s="29">
        <v>2315.0</v>
      </c>
      <c r="M278" s="29">
        <v>468868.0</v>
      </c>
      <c r="N278" s="29">
        <v>525797.0</v>
      </c>
      <c r="O278" s="29">
        <v>62.0</v>
      </c>
      <c r="P278" s="31">
        <v>4708.0</v>
      </c>
      <c r="Q278" s="31">
        <v>35.0</v>
      </c>
      <c r="R278" s="31">
        <v>3787.0</v>
      </c>
      <c r="S278" s="31">
        <v>3.0</v>
      </c>
      <c r="T278" s="31">
        <v>484.0</v>
      </c>
      <c r="U278" s="31">
        <v>437.0</v>
      </c>
      <c r="V278" s="31">
        <v>413.0</v>
      </c>
      <c r="W278" s="31">
        <v>48.0</v>
      </c>
      <c r="X278" s="31">
        <v>24.0</v>
      </c>
      <c r="Y278" s="31">
        <v>8.0</v>
      </c>
      <c r="Z278" s="28">
        <v>1379.0</v>
      </c>
    </row>
    <row r="279" ht="14.25" customHeight="1">
      <c r="A279" s="27">
        <v>44165.0</v>
      </c>
      <c r="B279" s="28">
        <v>1276.0</v>
      </c>
      <c r="C279" s="28">
        <v>1089.0</v>
      </c>
      <c r="D279" s="28">
        <v>71546.0</v>
      </c>
      <c r="E279" s="29">
        <v>9913.0</v>
      </c>
      <c r="F279" s="30">
        <v>1491437.0</v>
      </c>
      <c r="G279" s="30">
        <v>11189.0</v>
      </c>
      <c r="H279" s="30">
        <v>1562983.0</v>
      </c>
      <c r="I279" s="29">
        <v>1152.0</v>
      </c>
      <c r="J279" s="29">
        <v>997.0</v>
      </c>
      <c r="K279" s="29">
        <v>58081.0</v>
      </c>
      <c r="L279" s="29">
        <v>2808.0</v>
      </c>
      <c r="M279" s="29">
        <v>471676.0</v>
      </c>
      <c r="N279" s="29">
        <v>529757.0</v>
      </c>
      <c r="O279" s="29">
        <v>65.0</v>
      </c>
      <c r="P279" s="31">
        <v>4773.0</v>
      </c>
      <c r="Q279" s="31">
        <v>59.0</v>
      </c>
      <c r="R279" s="31">
        <v>3846.0</v>
      </c>
      <c r="S279" s="31">
        <v>2.0</v>
      </c>
      <c r="T279" s="31">
        <v>486.0</v>
      </c>
      <c r="U279" s="31">
        <v>441.0</v>
      </c>
      <c r="V279" s="31">
        <v>430.0</v>
      </c>
      <c r="W279" s="31">
        <v>51.0</v>
      </c>
      <c r="X279" s="31">
        <v>30.0</v>
      </c>
      <c r="Y279" s="31">
        <v>6.0</v>
      </c>
      <c r="Z279" s="28">
        <v>1385.0</v>
      </c>
    </row>
    <row r="280" ht="14.25" customHeight="1">
      <c r="A280" s="27">
        <v>44166.0</v>
      </c>
      <c r="B280" s="28">
        <v>1548.0</v>
      </c>
      <c r="C280" s="28">
        <v>1214.0</v>
      </c>
      <c r="D280" s="28">
        <v>73094.0</v>
      </c>
      <c r="E280" s="29">
        <v>13943.0</v>
      </c>
      <c r="F280" s="30">
        <v>1505380.0</v>
      </c>
      <c r="G280" s="30">
        <v>15491.0</v>
      </c>
      <c r="H280" s="30">
        <v>1578474.0</v>
      </c>
      <c r="I280" s="29">
        <v>1413.0</v>
      </c>
      <c r="J280" s="29">
        <v>1106.0</v>
      </c>
      <c r="K280" s="29">
        <v>59494.0</v>
      </c>
      <c r="L280" s="29">
        <v>3389.0</v>
      </c>
      <c r="M280" s="29">
        <v>475065.0</v>
      </c>
      <c r="N280" s="29">
        <v>534559.0</v>
      </c>
      <c r="O280" s="29">
        <v>57.0</v>
      </c>
      <c r="P280" s="31">
        <v>4830.0</v>
      </c>
      <c r="Q280" s="31">
        <v>54.0</v>
      </c>
      <c r="R280" s="31">
        <v>3900.0</v>
      </c>
      <c r="S280" s="31">
        <v>4.0</v>
      </c>
      <c r="T280" s="31">
        <v>490.0</v>
      </c>
      <c r="U280" s="31">
        <v>440.0</v>
      </c>
      <c r="V280" s="31">
        <v>439.0</v>
      </c>
      <c r="W280" s="31">
        <v>50.0</v>
      </c>
      <c r="X280" s="31">
        <v>32.0</v>
      </c>
      <c r="Y280" s="31">
        <v>12.0</v>
      </c>
      <c r="Z280" s="28">
        <v>1397.0</v>
      </c>
    </row>
    <row r="281" ht="14.25" customHeight="1">
      <c r="A281" s="32">
        <v>44167.0</v>
      </c>
      <c r="B281" s="28">
        <v>1556.0</v>
      </c>
      <c r="C281" s="28">
        <v>1460.0</v>
      </c>
      <c r="D281" s="28">
        <v>74650.0</v>
      </c>
      <c r="E281" s="29">
        <v>15568.0</v>
      </c>
      <c r="F281" s="30">
        <v>1520948.0</v>
      </c>
      <c r="G281" s="30">
        <v>17124.0</v>
      </c>
      <c r="H281" s="30">
        <v>1595598.0</v>
      </c>
      <c r="I281" s="29">
        <v>1421.0</v>
      </c>
      <c r="J281" s="29">
        <v>1329.0</v>
      </c>
      <c r="K281" s="29">
        <v>60915.0</v>
      </c>
      <c r="L281" s="29">
        <v>3269.0</v>
      </c>
      <c r="M281" s="29">
        <v>478334.0</v>
      </c>
      <c r="N281" s="29">
        <v>539249.0</v>
      </c>
      <c r="O281" s="29">
        <v>55.0</v>
      </c>
      <c r="P281" s="31">
        <v>4885.0</v>
      </c>
      <c r="Q281" s="31">
        <v>52.0</v>
      </c>
      <c r="R281" s="31">
        <v>3952.0</v>
      </c>
      <c r="S281" s="31">
        <v>7.0</v>
      </c>
      <c r="T281" s="31">
        <v>497.0</v>
      </c>
      <c r="U281" s="31">
        <v>436.0</v>
      </c>
      <c r="V281" s="31">
        <v>439.0</v>
      </c>
      <c r="W281" s="31">
        <v>50.0</v>
      </c>
      <c r="X281" s="31">
        <v>31.0</v>
      </c>
      <c r="Y281" s="31">
        <v>14.0</v>
      </c>
      <c r="Z281" s="28">
        <v>1411.0</v>
      </c>
    </row>
    <row r="282" ht="14.25" customHeight="1">
      <c r="A282" s="32">
        <v>44168.0</v>
      </c>
      <c r="B282" s="28">
        <v>1760.0</v>
      </c>
      <c r="C282" s="28">
        <v>1621.0</v>
      </c>
      <c r="D282" s="28">
        <v>76410.0</v>
      </c>
      <c r="E282" s="29">
        <v>14626.0</v>
      </c>
      <c r="F282" s="30">
        <v>1535574.0</v>
      </c>
      <c r="G282" s="30">
        <v>16386.0</v>
      </c>
      <c r="H282" s="30">
        <v>1611984.0</v>
      </c>
      <c r="I282" s="29">
        <v>1634.0</v>
      </c>
      <c r="J282" s="29">
        <v>1489.0</v>
      </c>
      <c r="K282" s="29">
        <v>62549.0</v>
      </c>
      <c r="L282" s="29">
        <v>3339.0</v>
      </c>
      <c r="M282" s="29">
        <v>481673.0</v>
      </c>
      <c r="N282" s="29">
        <v>544222.0</v>
      </c>
      <c r="O282" s="29">
        <v>62.0</v>
      </c>
      <c r="P282" s="31">
        <v>4947.0</v>
      </c>
      <c r="Q282" s="31">
        <v>77.0</v>
      </c>
      <c r="R282" s="31">
        <v>4029.0</v>
      </c>
      <c r="S282" s="31">
        <v>5.0</v>
      </c>
      <c r="T282" s="31">
        <v>502.0</v>
      </c>
      <c r="U282" s="31">
        <v>416.0</v>
      </c>
      <c r="V282" s="31">
        <v>431.0</v>
      </c>
      <c r="W282" s="31">
        <v>47.0</v>
      </c>
      <c r="X282" s="31">
        <v>32.0</v>
      </c>
      <c r="Y282" s="31">
        <v>9.0</v>
      </c>
      <c r="Z282" s="28">
        <v>1420.0</v>
      </c>
    </row>
    <row r="283" ht="14.25" customHeight="1">
      <c r="A283" s="32">
        <v>44169.0</v>
      </c>
      <c r="B283" s="28">
        <v>1641.0</v>
      </c>
      <c r="C283" s="28">
        <v>1652.0</v>
      </c>
      <c r="D283" s="28">
        <v>78051.0</v>
      </c>
      <c r="E283" s="29">
        <v>16515.0</v>
      </c>
      <c r="F283" s="30">
        <v>1552089.0</v>
      </c>
      <c r="G283" s="30">
        <v>18156.0</v>
      </c>
      <c r="H283" s="30">
        <v>1630140.0</v>
      </c>
      <c r="I283" s="29">
        <v>1512.0</v>
      </c>
      <c r="J283" s="29">
        <v>1522.0</v>
      </c>
      <c r="K283" s="29">
        <v>64061.0</v>
      </c>
      <c r="L283" s="29">
        <v>3830.0</v>
      </c>
      <c r="M283" s="29">
        <v>485503.0</v>
      </c>
      <c r="N283" s="29">
        <v>549564.0</v>
      </c>
      <c r="O283" s="29">
        <v>61.0</v>
      </c>
      <c r="P283" s="31">
        <v>5008.0</v>
      </c>
      <c r="Q283" s="31">
        <v>49.0</v>
      </c>
      <c r="R283" s="31">
        <v>4078.0</v>
      </c>
      <c r="S283" s="31">
        <v>7.0</v>
      </c>
      <c r="T283" s="31">
        <v>509.0</v>
      </c>
      <c r="U283" s="31">
        <v>421.0</v>
      </c>
      <c r="V283" s="31">
        <v>424.0</v>
      </c>
      <c r="W283" s="31">
        <v>43.0</v>
      </c>
      <c r="X283" s="31">
        <v>30.0</v>
      </c>
      <c r="Y283" s="31">
        <v>11.0</v>
      </c>
      <c r="Z283" s="28">
        <v>1431.0</v>
      </c>
    </row>
    <row r="284" ht="14.25" customHeight="1">
      <c r="A284" s="32">
        <v>44170.0</v>
      </c>
      <c r="B284" s="28">
        <v>1200.0</v>
      </c>
      <c r="C284" s="28">
        <v>1534.0</v>
      </c>
      <c r="D284" s="28">
        <v>79251.0</v>
      </c>
      <c r="E284" s="29">
        <v>12597.0</v>
      </c>
      <c r="F284" s="30">
        <v>1564686.0</v>
      </c>
      <c r="G284" s="30">
        <v>13797.0</v>
      </c>
      <c r="H284" s="30">
        <v>1643937.0</v>
      </c>
      <c r="I284" s="29">
        <v>1051.0</v>
      </c>
      <c r="J284" s="29">
        <v>1399.0</v>
      </c>
      <c r="K284" s="29">
        <v>65112.0</v>
      </c>
      <c r="L284" s="29">
        <v>2907.0</v>
      </c>
      <c r="M284" s="29">
        <v>488410.0</v>
      </c>
      <c r="N284" s="29">
        <v>553522.0</v>
      </c>
      <c r="O284" s="29">
        <v>65.0</v>
      </c>
      <c r="P284" s="31">
        <v>5073.0</v>
      </c>
      <c r="Q284" s="31">
        <v>41.0</v>
      </c>
      <c r="R284" s="31">
        <v>4119.0</v>
      </c>
      <c r="S284" s="31">
        <v>4.0</v>
      </c>
      <c r="T284" s="31">
        <v>513.0</v>
      </c>
      <c r="U284" s="31">
        <v>441.0</v>
      </c>
      <c r="V284" s="31">
        <v>426.0</v>
      </c>
      <c r="W284" s="31">
        <v>45.0</v>
      </c>
      <c r="X284" s="31">
        <v>30.0</v>
      </c>
      <c r="Y284" s="31">
        <v>11.0</v>
      </c>
      <c r="Z284" s="28">
        <v>1442.0</v>
      </c>
    </row>
    <row r="285" ht="14.25" customHeight="1">
      <c r="A285" s="32">
        <v>44171.0</v>
      </c>
      <c r="B285" s="28">
        <v>1123.0</v>
      </c>
      <c r="C285" s="28">
        <v>1321.0</v>
      </c>
      <c r="D285" s="28">
        <v>80374.0</v>
      </c>
      <c r="E285" s="29">
        <v>7807.0</v>
      </c>
      <c r="F285" s="30">
        <v>1572493.0</v>
      </c>
      <c r="G285" s="30">
        <v>8930.0</v>
      </c>
      <c r="H285" s="30">
        <v>1652867.0</v>
      </c>
      <c r="I285" s="29">
        <v>973.0</v>
      </c>
      <c r="J285" s="29">
        <v>1179.0</v>
      </c>
      <c r="K285" s="29">
        <v>66085.0</v>
      </c>
      <c r="L285" s="29">
        <v>2518.0</v>
      </c>
      <c r="M285" s="29">
        <v>490928.0</v>
      </c>
      <c r="N285" s="29">
        <v>557013.0</v>
      </c>
      <c r="O285" s="29">
        <v>60.0</v>
      </c>
      <c r="P285" s="31">
        <v>5133.0</v>
      </c>
      <c r="Q285" s="31">
        <v>48.0</v>
      </c>
      <c r="R285" s="31">
        <v>4167.0</v>
      </c>
      <c r="S285" s="31">
        <v>9.0</v>
      </c>
      <c r="T285" s="31">
        <v>522.0</v>
      </c>
      <c r="U285" s="31">
        <v>444.0</v>
      </c>
      <c r="V285" s="31">
        <v>435.0</v>
      </c>
      <c r="W285" s="31">
        <v>43.0</v>
      </c>
      <c r="X285" s="31">
        <v>25.0</v>
      </c>
      <c r="Y285" s="31">
        <v>11.0</v>
      </c>
      <c r="Z285" s="28">
        <v>1453.0</v>
      </c>
    </row>
    <row r="286" ht="14.25" customHeight="1">
      <c r="A286" s="32">
        <v>44172.0</v>
      </c>
      <c r="B286" s="28">
        <v>1138.0</v>
      </c>
      <c r="C286" s="28">
        <v>1154.0</v>
      </c>
      <c r="D286" s="28">
        <v>81512.0</v>
      </c>
      <c r="E286" s="29">
        <v>9283.0</v>
      </c>
      <c r="F286" s="30">
        <v>1581776.0</v>
      </c>
      <c r="G286" s="30">
        <v>10421.0</v>
      </c>
      <c r="H286" s="30">
        <v>1663288.0</v>
      </c>
      <c r="I286" s="29">
        <v>982.0</v>
      </c>
      <c r="J286" s="29">
        <v>1002.0</v>
      </c>
      <c r="K286" s="29">
        <v>67067.0</v>
      </c>
      <c r="L286" s="29">
        <v>2891.0</v>
      </c>
      <c r="M286" s="29">
        <v>493819.0</v>
      </c>
      <c r="N286" s="29">
        <v>560886.0</v>
      </c>
      <c r="O286" s="33"/>
      <c r="P286" s="34"/>
      <c r="Q286" s="34"/>
      <c r="R286" s="34"/>
      <c r="S286" s="34"/>
      <c r="T286" s="34"/>
      <c r="U286" s="34"/>
      <c r="V286" s="34"/>
      <c r="W286" s="34"/>
      <c r="X286" s="34"/>
      <c r="Y286" s="31">
        <v>17.0</v>
      </c>
      <c r="Z286" s="28">
        <v>1470.0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5" t="s">
        <v>919</v>
      </c>
      <c r="B1" s="256" t="s">
        <v>253</v>
      </c>
      <c r="C1" s="183" t="s">
        <v>150</v>
      </c>
    </row>
    <row r="2" ht="14.25" customHeight="1">
      <c r="A2" s="257" t="str">
        <f>'Cases by ZCTA'!A2</f>
        <v>02802</v>
      </c>
      <c r="B2" s="258">
        <f>'Cases by ZCTA'!B2</f>
        <v>20</v>
      </c>
      <c r="C2" s="258">
        <f>'Cases by ZCTA'!C2</f>
        <v>2981</v>
      </c>
    </row>
    <row r="3" ht="14.25" customHeight="1">
      <c r="A3" s="257" t="str">
        <f>'Cases by ZCTA'!A3</f>
        <v>02804</v>
      </c>
      <c r="B3" s="258">
        <f>'Cases by ZCTA'!B3</f>
        <v>45</v>
      </c>
      <c r="C3" s="258">
        <f>'Cases by ZCTA'!C3</f>
        <v>2246</v>
      </c>
    </row>
    <row r="4" ht="14.25" customHeight="1">
      <c r="A4" s="257" t="str">
        <f>'Cases by ZCTA'!A4</f>
        <v>02806</v>
      </c>
      <c r="B4" s="258">
        <f>'Cases by ZCTA'!B4</f>
        <v>313</v>
      </c>
      <c r="C4" s="258">
        <f>'Cases by ZCTA'!C4</f>
        <v>1933</v>
      </c>
    </row>
    <row r="5" ht="14.25" customHeight="1">
      <c r="A5" s="257" t="str">
        <f>'Cases by ZCTA'!A5</f>
        <v>02807</v>
      </c>
      <c r="B5" s="258">
        <f>'Cases by ZCTA'!B5</f>
        <v>19</v>
      </c>
      <c r="C5" s="258">
        <f>'Cases by ZCTA'!C5</f>
        <v>2297</v>
      </c>
    </row>
    <row r="6" ht="14.25" customHeight="1">
      <c r="A6" s="257" t="str">
        <f>'Cases by ZCTA'!A6</f>
        <v>02808</v>
      </c>
      <c r="B6" s="258">
        <f>'Cases by ZCTA'!B6</f>
        <v>34</v>
      </c>
      <c r="C6" s="258">
        <f>'Cases by ZCTA'!C6</f>
        <v>1326</v>
      </c>
    </row>
    <row r="7" ht="14.25" customHeight="1">
      <c r="A7" s="257" t="str">
        <f>'Cases by ZCTA'!A7</f>
        <v>02809</v>
      </c>
      <c r="B7" s="258">
        <f>'Cases by ZCTA'!B7</f>
        <v>711</v>
      </c>
      <c r="C7" s="258">
        <f>'Cases by ZCTA'!C7</f>
        <v>3194</v>
      </c>
    </row>
    <row r="8" ht="14.25" customHeight="1">
      <c r="A8" s="257" t="str">
        <f>'Cases by ZCTA'!A8</f>
        <v>02812</v>
      </c>
      <c r="B8" s="258">
        <f>'Cases by ZCTA'!B8</f>
        <v>27</v>
      </c>
      <c r="C8" s="258">
        <f>'Cases by ZCTA'!C8</f>
        <v>2235</v>
      </c>
    </row>
    <row r="9" ht="14.25" customHeight="1">
      <c r="A9" s="257" t="str">
        <f>'Cases by ZCTA'!A9</f>
        <v>02813</v>
      </c>
      <c r="B9" s="258">
        <f>'Cases by ZCTA'!B9</f>
        <v>126</v>
      </c>
      <c r="C9" s="258">
        <f>'Cases by ZCTA'!C9</f>
        <v>1620</v>
      </c>
    </row>
    <row r="10" ht="14.25" customHeight="1">
      <c r="A10" s="257" t="str">
        <f>'Cases by ZCTA'!A10</f>
        <v>02814</v>
      </c>
      <c r="B10" s="258">
        <f>'Cases by ZCTA'!B10</f>
        <v>205</v>
      </c>
      <c r="C10" s="258">
        <f>'Cases by ZCTA'!C10</f>
        <v>2672</v>
      </c>
    </row>
    <row r="11" ht="14.25" customHeight="1">
      <c r="A11" s="257" t="str">
        <f>'Cases by ZCTA'!A11</f>
        <v>02815</v>
      </c>
      <c r="B11" s="258">
        <f>'Cases by ZCTA'!B11</f>
        <v>0</v>
      </c>
      <c r="C11" s="258">
        <f>'Cases by ZCTA'!C11</f>
        <v>0</v>
      </c>
    </row>
    <row r="12" ht="14.25" customHeight="1">
      <c r="A12" s="257" t="str">
        <f>'Cases by ZCTA'!A12</f>
        <v>02816</v>
      </c>
      <c r="B12" s="258">
        <f>'Cases by ZCTA'!B12</f>
        <v>1089</v>
      </c>
      <c r="C12" s="258">
        <f>'Cases by ZCTA'!C12</f>
        <v>3318</v>
      </c>
    </row>
    <row r="13" ht="14.25" customHeight="1">
      <c r="A13" s="257" t="str">
        <f>'Cases by ZCTA'!A13</f>
        <v>02817</v>
      </c>
      <c r="B13" s="258">
        <f>'Cases by ZCTA'!B13</f>
        <v>156</v>
      </c>
      <c r="C13" s="258">
        <f>'Cases by ZCTA'!C13</f>
        <v>2586</v>
      </c>
    </row>
    <row r="14" ht="14.25" customHeight="1">
      <c r="A14" s="257" t="str">
        <f>'Cases by ZCTA'!A14</f>
        <v>02818</v>
      </c>
      <c r="B14" s="258">
        <f>'Cases by ZCTA'!B14</f>
        <v>513</v>
      </c>
      <c r="C14" s="258">
        <f>'Cases by ZCTA'!C14</f>
        <v>2820</v>
      </c>
    </row>
    <row r="15" ht="14.25" customHeight="1">
      <c r="A15" s="257" t="str">
        <f>'Cases by ZCTA'!A15</f>
        <v>02822</v>
      </c>
      <c r="B15" s="258">
        <f>'Cases by ZCTA'!B15</f>
        <v>145</v>
      </c>
      <c r="C15" s="258">
        <f>'Cases by ZCTA'!C15</f>
        <v>2203</v>
      </c>
    </row>
    <row r="16" ht="14.25" customHeight="1">
      <c r="A16" s="257" t="str">
        <f>'Cases by ZCTA'!A16</f>
        <v>02825</v>
      </c>
      <c r="B16" s="258">
        <f>'Cases by ZCTA'!B16</f>
        <v>128</v>
      </c>
      <c r="C16" s="258">
        <f>'Cases by ZCTA'!C16</f>
        <v>2327</v>
      </c>
    </row>
    <row r="17" ht="14.25" customHeight="1">
      <c r="A17" s="257" t="str">
        <f>'Cases by ZCTA'!A17</f>
        <v>02826</v>
      </c>
      <c r="B17" s="258">
        <f>'Cases by ZCTA'!B17</f>
        <v>19</v>
      </c>
      <c r="C17" s="258">
        <f>'Cases by ZCTA'!C17</f>
        <v>3792</v>
      </c>
    </row>
    <row r="18" ht="14.25" customHeight="1">
      <c r="A18" s="257" t="str">
        <f>'Cases by ZCTA'!A18</f>
        <v>02827</v>
      </c>
      <c r="B18" s="258">
        <f>'Cases by ZCTA'!B18</f>
        <v>70</v>
      </c>
      <c r="C18" s="258">
        <f>'Cases by ZCTA'!C18</f>
        <v>3398</v>
      </c>
    </row>
    <row r="19" ht="14.25" customHeight="1">
      <c r="A19" s="257" t="str">
        <f>'Cases by ZCTA'!A19</f>
        <v>02828</v>
      </c>
      <c r="B19" s="258">
        <f>'Cases by ZCTA'!B19</f>
        <v>427</v>
      </c>
      <c r="C19" s="258">
        <f>'Cases by ZCTA'!C19</f>
        <v>5430</v>
      </c>
    </row>
    <row r="20" ht="14.25" customHeight="1">
      <c r="A20" s="257" t="str">
        <f>'Cases by ZCTA'!A20</f>
        <v>02830</v>
      </c>
      <c r="B20" s="258">
        <f>'Cases by ZCTA'!B20</f>
        <v>127</v>
      </c>
      <c r="C20" s="258">
        <f>'Cases by ZCTA'!C20</f>
        <v>2140</v>
      </c>
    </row>
    <row r="21" ht="14.25" customHeight="1">
      <c r="A21" s="257" t="str">
        <f>'Cases by ZCTA'!A21</f>
        <v>02831</v>
      </c>
      <c r="B21" s="258">
        <f>'Cases by ZCTA'!B21</f>
        <v>163</v>
      </c>
      <c r="C21" s="258">
        <f>'Cases by ZCTA'!C21</f>
        <v>4656</v>
      </c>
    </row>
    <row r="22" ht="14.25" customHeight="1">
      <c r="A22" s="257" t="str">
        <f>'Cases by ZCTA'!A22</f>
        <v>02832</v>
      </c>
      <c r="B22" s="258">
        <f>'Cases by ZCTA'!B22</f>
        <v>68</v>
      </c>
      <c r="C22" s="258">
        <f>'Cases by ZCTA'!C22</f>
        <v>1574</v>
      </c>
    </row>
    <row r="23" ht="14.25" customHeight="1">
      <c r="A23" s="257" t="str">
        <f>'Cases by ZCTA'!A23</f>
        <v>02833</v>
      </c>
      <c r="B23" s="258">
        <f>'Cases by ZCTA'!B23</f>
        <v>15</v>
      </c>
      <c r="C23" s="258">
        <f>'Cases by ZCTA'!C23</f>
        <v>1311</v>
      </c>
    </row>
    <row r="24" ht="14.25" customHeight="1">
      <c r="A24" s="257" t="str">
        <f>'Cases by ZCTA'!A24</f>
        <v>02835</v>
      </c>
      <c r="B24" s="258">
        <f>'Cases by ZCTA'!B24</f>
        <v>89</v>
      </c>
      <c r="C24" s="258">
        <f>'Cases by ZCTA'!C24</f>
        <v>1619</v>
      </c>
    </row>
    <row r="25" ht="14.25" customHeight="1">
      <c r="A25" s="257" t="str">
        <f>'Cases by ZCTA'!A25</f>
        <v>02836</v>
      </c>
      <c r="B25" s="258">
        <f>'Cases by ZCTA'!B25</f>
        <v>0</v>
      </c>
      <c r="C25" s="258">
        <f>'Cases by ZCTA'!C25</f>
        <v>0</v>
      </c>
    </row>
    <row r="26" ht="14.25" customHeight="1">
      <c r="A26" s="257" t="str">
        <f>'Cases by ZCTA'!A26</f>
        <v>02837</v>
      </c>
      <c r="B26" s="258">
        <f>'Cases by ZCTA'!B26</f>
        <v>40</v>
      </c>
      <c r="C26" s="258">
        <f>'Cases by ZCTA'!C26</f>
        <v>1141</v>
      </c>
    </row>
    <row r="27" ht="14.25" customHeight="1">
      <c r="A27" s="257" t="str">
        <f>'Cases by ZCTA'!A27</f>
        <v>02838</v>
      </c>
      <c r="B27" s="258">
        <f>'Cases by ZCTA'!B27</f>
        <v>201</v>
      </c>
      <c r="C27" s="258">
        <f>'Cases by ZCTA'!C27</f>
        <v>5712</v>
      </c>
    </row>
    <row r="28" ht="14.25" customHeight="1">
      <c r="A28" s="257" t="str">
        <f>'Cases by ZCTA'!A28</f>
        <v>02839</v>
      </c>
      <c r="B28" s="258">
        <f>'Cases by ZCTA'!B28</f>
        <v>48</v>
      </c>
      <c r="C28" s="258">
        <f>'Cases by ZCTA'!C28</f>
        <v>2328</v>
      </c>
    </row>
    <row r="29" ht="14.25" customHeight="1">
      <c r="A29" s="257" t="str">
        <f>'Cases by ZCTA'!A29</f>
        <v>02840</v>
      </c>
      <c r="B29" s="258">
        <f>'Cases by ZCTA'!B29</f>
        <v>399</v>
      </c>
      <c r="C29" s="258">
        <f>'Cases by ZCTA'!C29</f>
        <v>1719</v>
      </c>
    </row>
    <row r="30" ht="14.25" customHeight="1">
      <c r="A30" s="257" t="str">
        <f>'Cases by ZCTA'!A30</f>
        <v>02841</v>
      </c>
      <c r="B30" s="258">
        <f>'Cases by ZCTA'!B30</f>
        <v>18</v>
      </c>
      <c r="C30" s="258">
        <f>'Cases by ZCTA'!C30</f>
        <v>1103</v>
      </c>
    </row>
    <row r="31" ht="14.25" customHeight="1">
      <c r="A31" s="257" t="str">
        <f>'Cases by ZCTA'!A31</f>
        <v>02842</v>
      </c>
      <c r="B31" s="258">
        <f>'Cases by ZCTA'!B31</f>
        <v>224</v>
      </c>
      <c r="C31" s="258">
        <f>'Cases by ZCTA'!C31</f>
        <v>1400</v>
      </c>
    </row>
    <row r="32" ht="14.25" customHeight="1">
      <c r="A32" s="257" t="str">
        <f>'Cases by ZCTA'!A32</f>
        <v>02852</v>
      </c>
      <c r="B32" s="258">
        <f>'Cases by ZCTA'!B32</f>
        <v>825</v>
      </c>
      <c r="C32" s="258">
        <f>'Cases by ZCTA'!C32</f>
        <v>3745</v>
      </c>
    </row>
    <row r="33" ht="14.25" customHeight="1">
      <c r="A33" s="257" t="str">
        <f>'Cases by ZCTA'!A33</f>
        <v>02857</v>
      </c>
      <c r="B33" s="258">
        <f>'Cases by ZCTA'!B33</f>
        <v>212</v>
      </c>
      <c r="C33" s="258">
        <f>'Cases by ZCTA'!C33</f>
        <v>2428</v>
      </c>
    </row>
    <row r="34" ht="14.25" customHeight="1">
      <c r="A34" s="257" t="str">
        <f>'Cases by ZCTA'!A34</f>
        <v>02858</v>
      </c>
      <c r="B34" s="258">
        <f>'Cases by ZCTA'!B34</f>
        <v>15</v>
      </c>
      <c r="C34" s="258">
        <f>'Cases by ZCTA'!C34</f>
        <v>2060</v>
      </c>
    </row>
    <row r="35" ht="14.25" customHeight="1">
      <c r="A35" s="257" t="str">
        <f>'Cases by ZCTA'!A35</f>
        <v>02859</v>
      </c>
      <c r="B35" s="258">
        <f>'Cases by ZCTA'!B35</f>
        <v>243</v>
      </c>
      <c r="C35" s="258">
        <f>'Cases by ZCTA'!C35</f>
        <v>3362</v>
      </c>
    </row>
    <row r="36" ht="14.25" customHeight="1">
      <c r="A36" s="257" t="str">
        <f>'Cases by ZCTA'!A36</f>
        <v>02860</v>
      </c>
      <c r="B36" s="258">
        <f>'Cases by ZCTA'!B36</f>
        <v>3619</v>
      </c>
      <c r="C36" s="258">
        <f>'Cases by ZCTA'!C36</f>
        <v>7679</v>
      </c>
    </row>
    <row r="37" ht="14.25" customHeight="1">
      <c r="A37" s="257" t="str">
        <f>'Cases by ZCTA'!A37</f>
        <v>02861</v>
      </c>
      <c r="B37" s="258">
        <f>'Cases by ZCTA'!B37</f>
        <v>1381</v>
      </c>
      <c r="C37" s="258">
        <f>'Cases by ZCTA'!C37</f>
        <v>5514</v>
      </c>
    </row>
    <row r="38" ht="14.25" customHeight="1">
      <c r="A38" s="257" t="str">
        <f>'Cases by ZCTA'!A38</f>
        <v>02863</v>
      </c>
      <c r="B38" s="258">
        <f>'Cases by ZCTA'!B38</f>
        <v>2643</v>
      </c>
      <c r="C38" s="258">
        <f>'Cases by ZCTA'!C38</f>
        <v>13662</v>
      </c>
    </row>
    <row r="39" ht="14.25" customHeight="1">
      <c r="A39" s="257" t="str">
        <f>'Cases by ZCTA'!A39</f>
        <v>02864</v>
      </c>
      <c r="B39" s="258">
        <f>'Cases by ZCTA'!B39</f>
        <v>1219</v>
      </c>
      <c r="C39" s="258">
        <f>'Cases by ZCTA'!C39</f>
        <v>3521</v>
      </c>
    </row>
    <row r="40" ht="14.25" customHeight="1">
      <c r="A40" s="257" t="str">
        <f>'Cases by ZCTA'!A40</f>
        <v>02865</v>
      </c>
      <c r="B40" s="258">
        <f>'Cases by ZCTA'!B40</f>
        <v>688</v>
      </c>
      <c r="C40" s="258">
        <f>'Cases by ZCTA'!C40</f>
        <v>3943</v>
      </c>
    </row>
    <row r="41" ht="14.25" customHeight="1">
      <c r="A41" s="257" t="str">
        <f>'Cases by ZCTA'!A41</f>
        <v>02871</v>
      </c>
      <c r="B41" s="258">
        <f>'Cases by ZCTA'!B41</f>
        <v>241</v>
      </c>
      <c r="C41" s="258">
        <f>'Cases by ZCTA'!C41</f>
        <v>1406</v>
      </c>
    </row>
    <row r="42" ht="14.25" customHeight="1">
      <c r="A42" s="257" t="str">
        <f>'Cases by ZCTA'!A42</f>
        <v>02872</v>
      </c>
      <c r="B42" s="258">
        <f>'Cases by ZCTA'!B42</f>
        <v>0</v>
      </c>
      <c r="C42" s="258">
        <f>'Cases by ZCTA'!C42</f>
        <v>0</v>
      </c>
    </row>
    <row r="43" ht="14.25" customHeight="1">
      <c r="A43" s="257" t="str">
        <f>'Cases by ZCTA'!A43</f>
        <v>02873</v>
      </c>
      <c r="B43" s="258">
        <f>'Cases by ZCTA'!B43</f>
        <v>5</v>
      </c>
      <c r="C43" s="258">
        <f>'Cases by ZCTA'!C43</f>
        <v>2632</v>
      </c>
    </row>
    <row r="44" ht="14.25" customHeight="1">
      <c r="A44" s="257" t="str">
        <f>'Cases by ZCTA'!A44</f>
        <v>02874</v>
      </c>
      <c r="B44" s="258">
        <f>'Cases by ZCTA'!B44</f>
        <v>130</v>
      </c>
      <c r="C44" s="258">
        <f>'Cases by ZCTA'!C44</f>
        <v>2181</v>
      </c>
    </row>
    <row r="45" ht="14.25" customHeight="1">
      <c r="A45" s="257" t="str">
        <f>'Cases by ZCTA'!A45</f>
        <v>02875</v>
      </c>
      <c r="B45" s="258">
        <f>'Cases by ZCTA'!B45</f>
        <v>7</v>
      </c>
      <c r="C45" s="258">
        <f>'Cases by ZCTA'!C45</f>
        <v>1282</v>
      </c>
    </row>
    <row r="46" ht="14.25" customHeight="1">
      <c r="A46" s="257" t="str">
        <f>'Cases by ZCTA'!A46</f>
        <v>02876</v>
      </c>
      <c r="B46" s="258">
        <f>'Cases by ZCTA'!B46</f>
        <v>14</v>
      </c>
      <c r="C46" s="258">
        <f>'Cases by ZCTA'!C46</f>
        <v>4811</v>
      </c>
    </row>
    <row r="47" ht="14.25" customHeight="1">
      <c r="A47" s="257" t="str">
        <f>'Cases by ZCTA'!A47</f>
        <v>02878</v>
      </c>
      <c r="B47" s="258">
        <f>'Cases by ZCTA'!B47</f>
        <v>343</v>
      </c>
      <c r="C47" s="258">
        <f>'Cases by ZCTA'!C47</f>
        <v>2169</v>
      </c>
    </row>
    <row r="48" ht="14.25" customHeight="1">
      <c r="A48" s="257" t="str">
        <f>'Cases by ZCTA'!A48</f>
        <v>02879</v>
      </c>
      <c r="B48" s="258">
        <f>'Cases by ZCTA'!B48</f>
        <v>394</v>
      </c>
      <c r="C48" s="258">
        <f>'Cases by ZCTA'!C48</f>
        <v>1920</v>
      </c>
    </row>
    <row r="49" ht="14.25" customHeight="1">
      <c r="A49" s="257" t="str">
        <f>'Cases by ZCTA'!A49</f>
        <v>02881</v>
      </c>
      <c r="B49" s="258">
        <f>'Cases by ZCTA'!B49</f>
        <v>157</v>
      </c>
      <c r="C49" s="258">
        <f>'Cases by ZCTA'!C49</f>
        <v>2004</v>
      </c>
    </row>
    <row r="50" ht="14.25" customHeight="1">
      <c r="A50" s="257" t="str">
        <f>'Cases by ZCTA'!A50</f>
        <v>02882</v>
      </c>
      <c r="B50" s="258">
        <f>'Cases by ZCTA'!B50</f>
        <v>504</v>
      </c>
      <c r="C50" s="258">
        <f>'Cases by ZCTA'!C50</f>
        <v>3613</v>
      </c>
    </row>
    <row r="51" ht="14.25" customHeight="1">
      <c r="A51" s="257" t="str">
        <f>'Cases by ZCTA'!A51</f>
        <v>02885</v>
      </c>
      <c r="B51" s="258">
        <f>'Cases by ZCTA'!B51</f>
        <v>328</v>
      </c>
      <c r="C51" s="258">
        <f>'Cases by ZCTA'!C51</f>
        <v>3135</v>
      </c>
    </row>
    <row r="52" ht="14.25" customHeight="1">
      <c r="A52" s="257" t="str">
        <f>'Cases by ZCTA'!A52</f>
        <v>02886</v>
      </c>
      <c r="B52" s="258">
        <f>'Cases by ZCTA'!B52</f>
        <v>1098</v>
      </c>
      <c r="C52" s="258">
        <f>'Cases by ZCTA'!C52</f>
        <v>3785</v>
      </c>
    </row>
    <row r="53" ht="14.25" customHeight="1">
      <c r="A53" s="257" t="str">
        <f>'Cases by ZCTA'!A53</f>
        <v>02888</v>
      </c>
      <c r="B53" s="258">
        <f>'Cases by ZCTA'!B53</f>
        <v>711</v>
      </c>
      <c r="C53" s="258">
        <f>'Cases by ZCTA'!C53</f>
        <v>3710</v>
      </c>
    </row>
    <row r="54" ht="14.25" customHeight="1">
      <c r="A54" s="257" t="str">
        <f>'Cases by ZCTA'!A54</f>
        <v>02889</v>
      </c>
      <c r="B54" s="258">
        <f>'Cases by ZCTA'!B54</f>
        <v>1175</v>
      </c>
      <c r="C54" s="258">
        <f>'Cases by ZCTA'!C54</f>
        <v>4299</v>
      </c>
    </row>
    <row r="55" ht="14.25" customHeight="1">
      <c r="A55" s="257" t="str">
        <f>'Cases by ZCTA'!A55</f>
        <v>02891</v>
      </c>
      <c r="B55" s="258">
        <f>'Cases by ZCTA'!B55</f>
        <v>369</v>
      </c>
      <c r="C55" s="258">
        <f>'Cases by ZCTA'!C55</f>
        <v>1750</v>
      </c>
    </row>
    <row r="56" ht="14.25" customHeight="1">
      <c r="A56" s="257" t="str">
        <f>'Cases by ZCTA'!A56</f>
        <v>02892</v>
      </c>
      <c r="B56" s="258">
        <f>'Cases by ZCTA'!B56</f>
        <v>125</v>
      </c>
      <c r="C56" s="258">
        <f>'Cases by ZCTA'!C56</f>
        <v>2410</v>
      </c>
    </row>
    <row r="57" ht="14.25" customHeight="1">
      <c r="A57" s="257" t="str">
        <f>'Cases by ZCTA'!A57</f>
        <v>02893</v>
      </c>
      <c r="B57" s="258">
        <f>'Cases by ZCTA'!B57</f>
        <v>1196</v>
      </c>
      <c r="C57" s="258">
        <f>'Cases by ZCTA'!C57</f>
        <v>4102</v>
      </c>
    </row>
    <row r="58" ht="14.25" customHeight="1">
      <c r="A58" s="257" t="str">
        <f>'Cases by ZCTA'!A58</f>
        <v>02894</v>
      </c>
      <c r="B58" s="258">
        <f>'Cases by ZCTA'!B58</f>
        <v>17</v>
      </c>
      <c r="C58" s="258">
        <f>'Cases by ZCTA'!C58</f>
        <v>2522</v>
      </c>
    </row>
    <row r="59" ht="14.25" customHeight="1">
      <c r="A59" s="257" t="str">
        <f>'Cases by ZCTA'!A59</f>
        <v>02895</v>
      </c>
      <c r="B59" s="258">
        <f>'Cases by ZCTA'!B59</f>
        <v>1657</v>
      </c>
      <c r="C59" s="258">
        <f>'Cases by ZCTA'!C59</f>
        <v>3989</v>
      </c>
    </row>
    <row r="60" ht="14.25" customHeight="1">
      <c r="A60" s="257" t="str">
        <f>'Cases by ZCTA'!A60</f>
        <v>02896</v>
      </c>
      <c r="B60" s="258">
        <f>'Cases by ZCTA'!B60</f>
        <v>379</v>
      </c>
      <c r="C60" s="258">
        <f>'Cases by ZCTA'!C60</f>
        <v>3143</v>
      </c>
    </row>
    <row r="61" ht="14.25" customHeight="1">
      <c r="A61" s="257" t="str">
        <f>'Cases by ZCTA'!A61</f>
        <v>02898</v>
      </c>
      <c r="B61" s="258">
        <f>'Cases by ZCTA'!B61</f>
        <v>50</v>
      </c>
      <c r="C61" s="258">
        <f>'Cases by ZCTA'!C61</f>
        <v>3043</v>
      </c>
    </row>
    <row r="62" ht="14.25" customHeight="1">
      <c r="A62" s="257" t="str">
        <f>'Cases by ZCTA'!A62</f>
        <v>02903</v>
      </c>
      <c r="B62" s="258">
        <f>'Cases by ZCTA'!B62</f>
        <v>491</v>
      </c>
      <c r="C62" s="258">
        <f>'Cases by ZCTA'!C62</f>
        <v>4658</v>
      </c>
    </row>
    <row r="63" ht="14.25" customHeight="1">
      <c r="A63" s="257" t="str">
        <f>'Cases by ZCTA'!A63</f>
        <v>02904</v>
      </c>
      <c r="B63" s="258">
        <f>'Cases by ZCTA'!B63</f>
        <v>2273</v>
      </c>
      <c r="C63" s="258">
        <f>'Cases by ZCTA'!C63</f>
        <v>7447</v>
      </c>
    </row>
    <row r="64" ht="14.25" customHeight="1">
      <c r="A64" s="257" t="str">
        <f>'Cases by ZCTA'!A64</f>
        <v>02905</v>
      </c>
      <c r="B64" s="258">
        <f>'Cases by ZCTA'!B64</f>
        <v>1744</v>
      </c>
      <c r="C64" s="258">
        <f>'Cases by ZCTA'!C64</f>
        <v>6842</v>
      </c>
    </row>
    <row r="65" ht="14.25" customHeight="1">
      <c r="A65" s="257" t="str">
        <f>'Cases by ZCTA'!A65</f>
        <v>02906</v>
      </c>
      <c r="B65" s="258">
        <f>'Cases by ZCTA'!B65</f>
        <v>1118</v>
      </c>
      <c r="C65" s="258">
        <f>'Cases by ZCTA'!C65</f>
        <v>3965</v>
      </c>
    </row>
    <row r="66" ht="14.25" customHeight="1">
      <c r="A66" s="257" t="str">
        <f>'Cases by ZCTA'!A66</f>
        <v>02907</v>
      </c>
      <c r="B66" s="258">
        <f>'Cases by ZCTA'!B66</f>
        <v>3278</v>
      </c>
      <c r="C66" s="258">
        <f>'Cases by ZCTA'!C66</f>
        <v>10649</v>
      </c>
    </row>
    <row r="67" ht="14.25" customHeight="1">
      <c r="A67" s="257" t="str">
        <f>'Cases by ZCTA'!A67</f>
        <v>02908</v>
      </c>
      <c r="B67" s="258">
        <f>'Cases by ZCTA'!B67</f>
        <v>3567</v>
      </c>
      <c r="C67" s="258">
        <f>'Cases by ZCTA'!C67</f>
        <v>9500</v>
      </c>
    </row>
    <row r="68" ht="14.25" customHeight="1">
      <c r="A68" s="257" t="str">
        <f>'Cases by ZCTA'!A68</f>
        <v>02909</v>
      </c>
      <c r="B68" s="258">
        <f>'Cases by ZCTA'!B68</f>
        <v>4393</v>
      </c>
      <c r="C68" s="258">
        <f>'Cases by ZCTA'!C68</f>
        <v>10828</v>
      </c>
    </row>
    <row r="69" ht="14.25" customHeight="1">
      <c r="A69" s="257" t="str">
        <f>'Cases by ZCTA'!A69</f>
        <v>02910</v>
      </c>
      <c r="B69" s="258">
        <f>'Cases by ZCTA'!B69</f>
        <v>1150</v>
      </c>
      <c r="C69" s="258">
        <f>'Cases by ZCTA'!C69</f>
        <v>5194</v>
      </c>
    </row>
    <row r="70" ht="14.25" customHeight="1">
      <c r="A70" s="257" t="str">
        <f>'Cases by ZCTA'!A70</f>
        <v>02911</v>
      </c>
      <c r="B70" s="258">
        <f>'Cases by ZCTA'!B70</f>
        <v>778</v>
      </c>
      <c r="C70" s="258">
        <f>'Cases by ZCTA'!C70</f>
        <v>4904</v>
      </c>
    </row>
    <row r="71" ht="14.25" customHeight="1">
      <c r="A71" s="257" t="str">
        <f>'Cases by ZCTA'!A71</f>
        <v>02912</v>
      </c>
      <c r="B71" s="258">
        <f>'Cases by ZCTA'!B71</f>
        <v>20</v>
      </c>
      <c r="C71" s="258">
        <f>'Cases by ZCTA'!C71</f>
        <v>1471</v>
      </c>
    </row>
    <row r="72" ht="14.25" customHeight="1">
      <c r="A72" s="257" t="str">
        <f>'Cases by ZCTA'!A72</f>
        <v>02914</v>
      </c>
      <c r="B72" s="258">
        <f>'Cases by ZCTA'!B72</f>
        <v>1131</v>
      </c>
      <c r="C72" s="258">
        <f>'Cases by ZCTA'!C72</f>
        <v>5235</v>
      </c>
    </row>
    <row r="73" ht="14.25" customHeight="1">
      <c r="A73" s="257" t="str">
        <f>'Cases by ZCTA'!A73</f>
        <v>02915</v>
      </c>
      <c r="B73" s="258">
        <f>'Cases by ZCTA'!B73</f>
        <v>561</v>
      </c>
      <c r="C73" s="258">
        <f>'Cases by ZCTA'!C73</f>
        <v>3370</v>
      </c>
    </row>
    <row r="74" ht="14.25" customHeight="1">
      <c r="A74" s="257" t="str">
        <f>'Cases by ZCTA'!A74</f>
        <v>02916</v>
      </c>
      <c r="B74" s="258">
        <f>'Cases by ZCTA'!B74</f>
        <v>283</v>
      </c>
      <c r="C74" s="258">
        <f>'Cases by ZCTA'!C74</f>
        <v>3118</v>
      </c>
    </row>
    <row r="75" ht="14.25" customHeight="1">
      <c r="A75" s="257" t="str">
        <f>'Cases by ZCTA'!A75</f>
        <v>02917</v>
      </c>
      <c r="B75" s="258">
        <f>'Cases by ZCTA'!B75</f>
        <v>494</v>
      </c>
      <c r="C75" s="258">
        <f>'Cases by ZCTA'!C75</f>
        <v>3579</v>
      </c>
    </row>
    <row r="76" ht="14.25" customHeight="1">
      <c r="A76" s="257" t="str">
        <f>'Cases by ZCTA'!A76</f>
        <v>02919</v>
      </c>
      <c r="B76" s="258">
        <f>'Cases by ZCTA'!B76</f>
        <v>1810</v>
      </c>
      <c r="C76" s="258">
        <f>'Cases by ZCTA'!C76</f>
        <v>6187</v>
      </c>
    </row>
    <row r="77" ht="14.25" customHeight="1">
      <c r="A77" s="257" t="str">
        <f>'Cases by ZCTA'!A77</f>
        <v>02920</v>
      </c>
      <c r="B77" s="258">
        <f>'Cases by ZCTA'!B77</f>
        <v>2751</v>
      </c>
      <c r="C77" s="258">
        <f>'Cases by ZCTA'!C77</f>
        <v>7395</v>
      </c>
    </row>
    <row r="78" ht="14.25" customHeight="1">
      <c r="A78" s="257" t="str">
        <f>'Cases by ZCTA'!A78</f>
        <v>02921</v>
      </c>
      <c r="B78" s="258">
        <f>'Cases by ZCTA'!B78</f>
        <v>640</v>
      </c>
      <c r="C78" s="258">
        <f>'Cases by ZCTA'!C78</f>
        <v>5155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59" t="s">
        <v>1</v>
      </c>
      <c r="C1" s="259" t="s">
        <v>2</v>
      </c>
      <c r="D1" s="259" t="s">
        <v>3</v>
      </c>
      <c r="E1" s="259" t="s">
        <v>4</v>
      </c>
      <c r="F1" s="260" t="s">
        <v>5</v>
      </c>
      <c r="G1" s="260" t="s">
        <v>6</v>
      </c>
      <c r="H1" s="260" t="s">
        <v>7</v>
      </c>
      <c r="I1" s="261" t="s">
        <v>8</v>
      </c>
      <c r="J1" s="262" t="s">
        <v>9</v>
      </c>
      <c r="K1" s="261" t="s">
        <v>10</v>
      </c>
      <c r="L1" s="261" t="s">
        <v>11</v>
      </c>
      <c r="M1" s="261" t="s">
        <v>12</v>
      </c>
      <c r="N1" s="261" t="s">
        <v>13</v>
      </c>
      <c r="O1" s="263" t="s">
        <v>14</v>
      </c>
      <c r="P1" s="263" t="s">
        <v>15</v>
      </c>
      <c r="Q1" s="263" t="s">
        <v>16</v>
      </c>
      <c r="R1" s="263" t="s">
        <v>17</v>
      </c>
      <c r="S1" s="263" t="s">
        <v>18</v>
      </c>
      <c r="T1" s="263" t="s">
        <v>19</v>
      </c>
      <c r="U1" s="263" t="s">
        <v>20</v>
      </c>
      <c r="V1" s="263" t="s">
        <v>21</v>
      </c>
      <c r="W1" s="263" t="s">
        <v>22</v>
      </c>
      <c r="X1" s="263" t="s">
        <v>23</v>
      </c>
      <c r="Y1" s="264" t="s">
        <v>24</v>
      </c>
      <c r="Z1" s="264" t="s">
        <v>25</v>
      </c>
      <c r="AA1" s="265" t="s">
        <v>920</v>
      </c>
      <c r="AB1" s="265" t="s">
        <v>921</v>
      </c>
      <c r="AC1" s="265" t="s">
        <v>922</v>
      </c>
      <c r="AD1" s="265" t="s">
        <v>923</v>
      </c>
    </row>
    <row r="2">
      <c r="A2" s="266">
        <f>Summary!B1</f>
        <v>44173</v>
      </c>
      <c r="B2" s="267">
        <f>Summary!B2</f>
        <v>1138</v>
      </c>
      <c r="C2" s="268">
        <f>Summary!B3</f>
        <v>1154</v>
      </c>
      <c r="D2" s="268">
        <f>Summary!B4</f>
        <v>81512</v>
      </c>
      <c r="E2" s="268">
        <f>Summary!B5</f>
        <v>9283</v>
      </c>
      <c r="F2" s="268">
        <f>Summary!B6</f>
        <v>1581776</v>
      </c>
      <c r="G2" s="268">
        <f>Summary!B7</f>
        <v>10421</v>
      </c>
      <c r="H2" s="268">
        <f>Summary!B8</f>
        <v>1663288</v>
      </c>
      <c r="I2" s="268">
        <f>Summary!B9</f>
        <v>982</v>
      </c>
      <c r="J2" s="268">
        <f>Summary!B10</f>
        <v>1002</v>
      </c>
      <c r="K2" s="268">
        <f>Summary!B11</f>
        <v>67067</v>
      </c>
      <c r="L2" s="268">
        <f>Summary!B12</f>
        <v>2891</v>
      </c>
      <c r="M2" s="268">
        <f>Summary!B13</f>
        <v>493819</v>
      </c>
      <c r="N2" s="268">
        <f>Summary!B14</f>
        <v>560886</v>
      </c>
      <c r="O2" s="268">
        <f>Summary!B15</f>
        <v>60</v>
      </c>
      <c r="P2" s="268">
        <f>Summary!B16</f>
        <v>5133</v>
      </c>
      <c r="Q2" s="268">
        <f>Summary!B17</f>
        <v>48</v>
      </c>
      <c r="R2" s="268">
        <f>Summary!B18</f>
        <v>4167</v>
      </c>
      <c r="S2" s="268">
        <f>Summary!B19</f>
        <v>9</v>
      </c>
      <c r="T2" s="268">
        <f>Summary!B20</f>
        <v>522</v>
      </c>
      <c r="U2" s="268">
        <f>Summary!B21</f>
        <v>444</v>
      </c>
      <c r="V2" s="268">
        <f>Summary!B22</f>
        <v>435</v>
      </c>
      <c r="W2" s="268">
        <f>Summary!B23</f>
        <v>43</v>
      </c>
      <c r="X2" s="268">
        <f>Summary!B24</f>
        <v>25</v>
      </c>
      <c r="Y2" s="268">
        <f>Summary!B25</f>
        <v>22</v>
      </c>
      <c r="Z2" s="268">
        <f>Summary!B26</f>
        <v>1470</v>
      </c>
      <c r="AA2" s="269">
        <f>I2+E2</f>
        <v>10265</v>
      </c>
      <c r="AB2" s="269">
        <f>K2+F2</f>
        <v>1648843</v>
      </c>
      <c r="AC2" s="270">
        <f>K2/H2</f>
        <v>0.04032194064</v>
      </c>
      <c r="AD2" s="270">
        <f>I2/G2</f>
        <v>0.09423279916</v>
      </c>
    </row>
    <row r="3">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c r="A4" s="271"/>
      <c r="B4" s="271"/>
      <c r="C4" s="271"/>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row>
    <row r="5">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row>
    <row r="6">
      <c r="A6" s="271"/>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row>
    <row r="7">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row>
    <row r="8">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row>
    <row r="9">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row>
    <row r="10">
      <c r="A10" s="271"/>
      <c r="B10" s="271"/>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row>
    <row r="11">
      <c r="A11" s="271"/>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row>
    <row r="12">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row>
    <row r="13">
      <c r="A13" s="271"/>
      <c r="B13" s="271"/>
      <c r="C13" s="271"/>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row>
    <row r="14">
      <c r="A14" s="271"/>
      <c r="B14" s="271"/>
      <c r="C14" s="271"/>
      <c r="D14" s="271"/>
      <c r="E14" s="271"/>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row>
    <row r="15">
      <c r="A15" s="271"/>
      <c r="B15" s="271"/>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row>
    <row r="16">
      <c r="A16" s="271"/>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c r="A17" s="271"/>
      <c r="B17" s="271"/>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row>
    <row r="18">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row>
    <row r="19">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row>
    <row r="20">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row>
    <row r="21">
      <c r="A21" s="271"/>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row>
    <row r="22">
      <c r="A22" s="271"/>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row>
    <row r="23">
      <c r="A23" s="271"/>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row>
    <row r="24">
      <c r="A24" s="271"/>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row>
    <row r="25">
      <c r="A25" s="271"/>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row>
    <row r="26">
      <c r="A26" s="271"/>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row>
    <row r="27">
      <c r="A27" s="271"/>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row>
    <row r="28">
      <c r="A28" s="271"/>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row>
    <row r="29">
      <c r="A29" s="271"/>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row>
    <row r="30">
      <c r="A30" s="271"/>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row>
    <row r="31">
      <c r="A31" s="271"/>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row>
    <row r="32">
      <c r="A32" s="271"/>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row>
    <row r="33">
      <c r="A33" s="271"/>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row>
    <row r="34">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row>
    <row r="35">
      <c r="A35" s="271"/>
      <c r="B35" s="271"/>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row>
    <row r="36">
      <c r="A36" s="271"/>
      <c r="B36" s="271"/>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row>
    <row r="37">
      <c r="A37" s="271"/>
      <c r="B37" s="271"/>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row>
    <row r="38">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row>
    <row r="39">
      <c r="A39" s="271"/>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row>
    <row r="40">
      <c r="A40" s="271"/>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row>
    <row r="41">
      <c r="A41" s="271"/>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row>
    <row r="42">
      <c r="A42" s="271"/>
      <c r="B42" s="271"/>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row>
    <row r="43">
      <c r="A43" s="271"/>
      <c r="B43" s="271"/>
      <c r="C43" s="271"/>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1"/>
      <c r="AD43" s="271"/>
    </row>
    <row r="44">
      <c r="A44" s="271"/>
      <c r="B44" s="271"/>
      <c r="C44" s="27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row>
    <row r="45">
      <c r="A45" s="271"/>
      <c r="B45" s="271"/>
      <c r="C45" s="271"/>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row>
    <row r="46">
      <c r="A46" s="271"/>
      <c r="B46" s="271"/>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row>
    <row r="47">
      <c r="A47" s="271"/>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row>
    <row r="48">
      <c r="A48" s="271"/>
      <c r="B48" s="271"/>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row>
    <row r="49">
      <c r="A49" s="271"/>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row>
    <row r="50">
      <c r="A50" s="271"/>
      <c r="B50" s="271"/>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row>
    <row r="51">
      <c r="A51" s="271"/>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row>
    <row r="52">
      <c r="A52" s="271"/>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row>
    <row r="53">
      <c r="A53" s="271"/>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row>
    <row r="54">
      <c r="A54" s="271"/>
      <c r="B54" s="271"/>
      <c r="C54" s="271"/>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row>
    <row r="55">
      <c r="A55" s="271"/>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row>
    <row r="56">
      <c r="A56" s="271"/>
      <c r="B56" s="271"/>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row>
    <row r="57">
      <c r="A57" s="271"/>
      <c r="B57" s="271"/>
      <c r="C57" s="271"/>
      <c r="D57" s="271"/>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row>
    <row r="58">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row>
    <row r="59">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row>
    <row r="60">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row>
    <row r="6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row>
    <row r="62">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row>
    <row r="63">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row>
    <row r="64">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row>
    <row r="65">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row>
    <row r="66">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row>
    <row r="67">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row>
    <row r="68">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row>
    <row r="69">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row>
    <row r="70">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row>
    <row r="7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row>
    <row r="72">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row>
    <row r="73">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row>
    <row r="74">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row>
    <row r="75">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row>
    <row r="76">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row>
    <row r="77">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c r="AC77" s="271"/>
      <c r="AD77" s="271"/>
    </row>
    <row r="78">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row>
    <row r="79">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row>
    <row r="80">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c r="AC80" s="271"/>
      <c r="AD80" s="271"/>
    </row>
    <row r="8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c r="AC81" s="271"/>
      <c r="AD81" s="271"/>
    </row>
    <row r="82">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c r="AC82" s="271"/>
      <c r="AD82" s="271"/>
    </row>
    <row r="83">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c r="AC83" s="271"/>
      <c r="AD83" s="271"/>
    </row>
    <row r="84">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c r="AC84" s="271"/>
      <c r="AD84" s="271"/>
    </row>
    <row r="85">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row>
    <row r="86">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row>
    <row r="87">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row>
    <row r="88">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row>
    <row r="89">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row>
    <row r="90">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row>
    <row r="9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row>
    <row r="92">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row>
    <row r="93">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row>
    <row r="94">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row>
    <row r="95">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row>
    <row r="96">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row>
    <row r="97">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row>
    <row r="98">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row>
    <row r="99">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row>
    <row r="100">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row>
    <row r="101">
      <c r="A101" s="271"/>
      <c r="B101" s="271"/>
      <c r="C101" s="271"/>
      <c r="D101" s="271"/>
      <c r="E101" s="271"/>
      <c r="F101" s="271"/>
      <c r="G101" s="271"/>
      <c r="H101" s="271"/>
      <c r="I101" s="271"/>
      <c r="J101" s="271"/>
      <c r="K101" s="271"/>
      <c r="L101" s="271"/>
      <c r="M101" s="271"/>
      <c r="N101" s="271"/>
      <c r="O101" s="271"/>
      <c r="P101" s="271"/>
      <c r="Q101" s="271"/>
      <c r="R101" s="271"/>
      <c r="S101" s="271"/>
      <c r="T101" s="271"/>
      <c r="U101" s="271"/>
      <c r="V101" s="271"/>
      <c r="W101" s="271"/>
      <c r="X101" s="271"/>
      <c r="Y101" s="271"/>
      <c r="Z101" s="271"/>
      <c r="AA101" s="271"/>
      <c r="AB101" s="271"/>
      <c r="AC101" s="271"/>
      <c r="AD101" s="271"/>
    </row>
    <row r="102">
      <c r="A102" s="271"/>
      <c r="B102" s="271"/>
      <c r="C102" s="271"/>
      <c r="D102" s="271"/>
      <c r="E102" s="271"/>
      <c r="F102" s="271"/>
      <c r="G102" s="271"/>
      <c r="H102" s="271"/>
      <c r="I102" s="271"/>
      <c r="J102" s="271"/>
      <c r="K102" s="271"/>
      <c r="L102" s="271"/>
      <c r="M102" s="271"/>
      <c r="N102" s="271"/>
      <c r="O102" s="271"/>
      <c r="P102" s="271"/>
      <c r="Q102" s="271"/>
      <c r="R102" s="271"/>
      <c r="S102" s="271"/>
      <c r="T102" s="271"/>
      <c r="U102" s="271"/>
      <c r="V102" s="271"/>
      <c r="W102" s="271"/>
      <c r="X102" s="271"/>
      <c r="Y102" s="271"/>
      <c r="Z102" s="271"/>
      <c r="AA102" s="271"/>
      <c r="AB102" s="271"/>
      <c r="AC102" s="271"/>
      <c r="AD102" s="271"/>
    </row>
    <row r="103">
      <c r="A103" s="271"/>
      <c r="B103" s="271"/>
      <c r="C103" s="271"/>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row>
    <row r="104">
      <c r="A104" s="271"/>
      <c r="B104" s="271"/>
      <c r="C104" s="271"/>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row>
    <row r="105">
      <c r="A105" s="271"/>
      <c r="B105" s="271"/>
      <c r="C105" s="271"/>
      <c r="D105" s="271"/>
      <c r="E105" s="271"/>
      <c r="F105" s="271"/>
      <c r="G105" s="271"/>
      <c r="H105" s="271"/>
      <c r="I105" s="271"/>
      <c r="J105" s="271"/>
      <c r="K105" s="271"/>
      <c r="L105" s="271"/>
      <c r="M105" s="271"/>
      <c r="N105" s="271"/>
      <c r="O105" s="271"/>
      <c r="P105" s="271"/>
      <c r="Q105" s="271"/>
      <c r="R105" s="271"/>
      <c r="S105" s="271"/>
      <c r="T105" s="271"/>
      <c r="U105" s="271"/>
      <c r="V105" s="271"/>
      <c r="W105" s="271"/>
      <c r="X105" s="271"/>
      <c r="Y105" s="271"/>
      <c r="Z105" s="271"/>
      <c r="AA105" s="271"/>
      <c r="AB105" s="271"/>
      <c r="AC105" s="271"/>
      <c r="AD105" s="271"/>
    </row>
    <row r="106">
      <c r="A106" s="271"/>
      <c r="B106" s="271"/>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row>
    <row r="107">
      <c r="A107" s="271"/>
      <c r="B107" s="271"/>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row>
    <row r="108">
      <c r="A108" s="271"/>
      <c r="B108" s="271"/>
      <c r="C108" s="271"/>
      <c r="D108" s="271"/>
      <c r="E108" s="271"/>
      <c r="F108" s="271"/>
      <c r="G108" s="271"/>
      <c r="H108" s="271"/>
      <c r="I108" s="271"/>
      <c r="J108" s="271"/>
      <c r="K108" s="271"/>
      <c r="L108" s="271"/>
      <c r="M108" s="271"/>
      <c r="N108" s="271"/>
      <c r="O108" s="271"/>
      <c r="P108" s="271"/>
      <c r="Q108" s="271"/>
      <c r="R108" s="271"/>
      <c r="S108" s="271"/>
      <c r="T108" s="271"/>
      <c r="U108" s="271"/>
      <c r="V108" s="271"/>
      <c r="W108" s="271"/>
      <c r="X108" s="271"/>
      <c r="Y108" s="271"/>
      <c r="Z108" s="271"/>
      <c r="AA108" s="271"/>
      <c r="AB108" s="271"/>
      <c r="AC108" s="271"/>
      <c r="AD108" s="271"/>
    </row>
    <row r="109">
      <c r="A109" s="271"/>
      <c r="B109" s="271"/>
      <c r="C109" s="271"/>
      <c r="D109" s="271"/>
      <c r="E109" s="271"/>
      <c r="F109" s="271"/>
      <c r="G109" s="271"/>
      <c r="H109" s="271"/>
      <c r="I109" s="271"/>
      <c r="J109" s="271"/>
      <c r="K109" s="271"/>
      <c r="L109" s="271"/>
      <c r="M109" s="271"/>
      <c r="N109" s="271"/>
      <c r="O109" s="271"/>
      <c r="P109" s="271"/>
      <c r="Q109" s="271"/>
      <c r="R109" s="271"/>
      <c r="S109" s="271"/>
      <c r="T109" s="271"/>
      <c r="U109" s="271"/>
      <c r="V109" s="271"/>
      <c r="W109" s="271"/>
      <c r="X109" s="271"/>
      <c r="Y109" s="271"/>
      <c r="Z109" s="271"/>
      <c r="AA109" s="271"/>
      <c r="AB109" s="271"/>
      <c r="AC109" s="271"/>
      <c r="AD109" s="271"/>
    </row>
    <row r="110">
      <c r="A110" s="271"/>
      <c r="B110" s="271"/>
      <c r="C110" s="271"/>
      <c r="D110" s="271"/>
      <c r="E110" s="271"/>
      <c r="F110" s="271"/>
      <c r="G110" s="271"/>
      <c r="H110" s="271"/>
      <c r="I110" s="271"/>
      <c r="J110" s="271"/>
      <c r="K110" s="271"/>
      <c r="L110" s="271"/>
      <c r="M110" s="271"/>
      <c r="N110" s="271"/>
      <c r="O110" s="271"/>
      <c r="P110" s="271"/>
      <c r="Q110" s="271"/>
      <c r="R110" s="271"/>
      <c r="S110" s="271"/>
      <c r="T110" s="271"/>
      <c r="U110" s="271"/>
      <c r="V110" s="271"/>
      <c r="W110" s="271"/>
      <c r="X110" s="271"/>
      <c r="Y110" s="271"/>
      <c r="Z110" s="271"/>
      <c r="AA110" s="271"/>
      <c r="AB110" s="271"/>
      <c r="AC110" s="271"/>
      <c r="AD110" s="271"/>
    </row>
    <row r="111">
      <c r="A111" s="271"/>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row>
    <row r="112">
      <c r="A112" s="271"/>
      <c r="B112" s="271"/>
      <c r="C112" s="271"/>
      <c r="D112" s="271"/>
      <c r="E112" s="271"/>
      <c r="F112" s="271"/>
      <c r="G112" s="271"/>
      <c r="H112" s="271"/>
      <c r="I112" s="271"/>
      <c r="J112" s="271"/>
      <c r="K112" s="271"/>
      <c r="L112" s="271"/>
      <c r="M112" s="271"/>
      <c r="N112" s="271"/>
      <c r="O112" s="271"/>
      <c r="P112" s="271"/>
      <c r="Q112" s="271"/>
      <c r="R112" s="271"/>
      <c r="S112" s="271"/>
      <c r="T112" s="271"/>
      <c r="U112" s="271"/>
      <c r="V112" s="271"/>
      <c r="W112" s="271"/>
      <c r="X112" s="271"/>
      <c r="Y112" s="271"/>
      <c r="Z112" s="271"/>
      <c r="AA112" s="271"/>
      <c r="AB112" s="271"/>
      <c r="AC112" s="271"/>
      <c r="AD112" s="271"/>
    </row>
    <row r="113">
      <c r="A113" s="271"/>
      <c r="B113" s="271"/>
      <c r="C113" s="271"/>
      <c r="D113" s="271"/>
      <c r="E113" s="271"/>
      <c r="F113" s="271"/>
      <c r="G113" s="271"/>
      <c r="H113" s="271"/>
      <c r="I113" s="271"/>
      <c r="J113" s="271"/>
      <c r="K113" s="271"/>
      <c r="L113" s="271"/>
      <c r="M113" s="271"/>
      <c r="N113" s="271"/>
      <c r="O113" s="271"/>
      <c r="P113" s="271"/>
      <c r="Q113" s="271"/>
      <c r="R113" s="271"/>
      <c r="S113" s="271"/>
      <c r="T113" s="271"/>
      <c r="U113" s="271"/>
      <c r="V113" s="271"/>
      <c r="W113" s="271"/>
      <c r="X113" s="271"/>
      <c r="Y113" s="271"/>
      <c r="Z113" s="271"/>
      <c r="AA113" s="271"/>
      <c r="AB113" s="271"/>
      <c r="AC113" s="271"/>
      <c r="AD113" s="271"/>
    </row>
    <row r="114">
      <c r="A114" s="271"/>
      <c r="B114" s="271"/>
      <c r="C114" s="271"/>
      <c r="D114" s="271"/>
      <c r="E114" s="271"/>
      <c r="F114" s="271"/>
      <c r="G114" s="271"/>
      <c r="H114" s="271"/>
      <c r="I114" s="271"/>
      <c r="J114" s="271"/>
      <c r="K114" s="271"/>
      <c r="L114" s="271"/>
      <c r="M114" s="271"/>
      <c r="N114" s="271"/>
      <c r="O114" s="271"/>
      <c r="P114" s="271"/>
      <c r="Q114" s="271"/>
      <c r="R114" s="271"/>
      <c r="S114" s="271"/>
      <c r="T114" s="271"/>
      <c r="U114" s="271"/>
      <c r="V114" s="271"/>
      <c r="W114" s="271"/>
      <c r="X114" s="271"/>
      <c r="Y114" s="271"/>
      <c r="Z114" s="271"/>
      <c r="AA114" s="271"/>
      <c r="AB114" s="271"/>
      <c r="AC114" s="271"/>
      <c r="AD114" s="271"/>
    </row>
    <row r="115">
      <c r="A115" s="271"/>
      <c r="B115" s="271"/>
      <c r="C115" s="271"/>
      <c r="D115" s="271"/>
      <c r="E115" s="271"/>
      <c r="F115" s="271"/>
      <c r="G115" s="271"/>
      <c r="H115" s="271"/>
      <c r="I115" s="271"/>
      <c r="J115" s="271"/>
      <c r="K115" s="271"/>
      <c r="L115" s="271"/>
      <c r="M115" s="271"/>
      <c r="N115" s="271"/>
      <c r="O115" s="271"/>
      <c r="P115" s="271"/>
      <c r="Q115" s="271"/>
      <c r="R115" s="271"/>
      <c r="S115" s="271"/>
      <c r="T115" s="271"/>
      <c r="U115" s="271"/>
      <c r="V115" s="271"/>
      <c r="W115" s="271"/>
      <c r="X115" s="271"/>
      <c r="Y115" s="271"/>
      <c r="Z115" s="271"/>
      <c r="AA115" s="271"/>
      <c r="AB115" s="271"/>
      <c r="AC115" s="271"/>
      <c r="AD115" s="271"/>
    </row>
    <row r="116">
      <c r="A116" s="271"/>
      <c r="B116" s="271"/>
      <c r="C116" s="271"/>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row>
    <row r="117">
      <c r="A117" s="271"/>
      <c r="B117" s="271"/>
      <c r="C117" s="271"/>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c r="Z117" s="271"/>
      <c r="AA117" s="271"/>
      <c r="AB117" s="271"/>
      <c r="AC117" s="271"/>
      <c r="AD117" s="271"/>
    </row>
    <row r="118">
      <c r="A118" s="271"/>
      <c r="B118" s="271"/>
      <c r="C118" s="271"/>
      <c r="D118" s="271"/>
      <c r="E118" s="271"/>
      <c r="F118" s="271"/>
      <c r="G118" s="271"/>
      <c r="H118" s="271"/>
      <c r="I118" s="271"/>
      <c r="J118" s="271"/>
      <c r="K118" s="271"/>
      <c r="L118" s="271"/>
      <c r="M118" s="271"/>
      <c r="N118" s="271"/>
      <c r="O118" s="271"/>
      <c r="P118" s="271"/>
      <c r="Q118" s="271"/>
      <c r="R118" s="271"/>
      <c r="S118" s="271"/>
      <c r="T118" s="271"/>
      <c r="U118" s="271"/>
      <c r="V118" s="271"/>
      <c r="W118" s="271"/>
      <c r="X118" s="271"/>
      <c r="Y118" s="271"/>
      <c r="Z118" s="271"/>
      <c r="AA118" s="271"/>
      <c r="AB118" s="271"/>
      <c r="AC118" s="271"/>
      <c r="AD118" s="271"/>
    </row>
    <row r="119">
      <c r="A119" s="271"/>
      <c r="B119" s="271"/>
      <c r="C119" s="271"/>
      <c r="D119" s="271"/>
      <c r="E119" s="271"/>
      <c r="F119" s="271"/>
      <c r="G119" s="271"/>
      <c r="H119" s="271"/>
      <c r="I119" s="271"/>
      <c r="J119" s="271"/>
      <c r="K119" s="271"/>
      <c r="L119" s="271"/>
      <c r="M119" s="271"/>
      <c r="N119" s="271"/>
      <c r="O119" s="271"/>
      <c r="P119" s="271"/>
      <c r="Q119" s="271"/>
      <c r="R119" s="271"/>
      <c r="S119" s="271"/>
      <c r="T119" s="271"/>
      <c r="U119" s="271"/>
      <c r="V119" s="271"/>
      <c r="W119" s="271"/>
      <c r="X119" s="271"/>
      <c r="Y119" s="271"/>
      <c r="Z119" s="271"/>
      <c r="AA119" s="271"/>
      <c r="AB119" s="271"/>
      <c r="AC119" s="271"/>
      <c r="AD119" s="271"/>
    </row>
    <row r="120">
      <c r="A120" s="271"/>
      <c r="B120" s="271"/>
      <c r="C120" s="271"/>
      <c r="D120" s="271"/>
      <c r="E120" s="271"/>
      <c r="F120" s="271"/>
      <c r="G120" s="271"/>
      <c r="H120" s="271"/>
      <c r="I120" s="271"/>
      <c r="J120" s="271"/>
      <c r="K120" s="271"/>
      <c r="L120" s="271"/>
      <c r="M120" s="271"/>
      <c r="N120" s="271"/>
      <c r="O120" s="271"/>
      <c r="P120" s="271"/>
      <c r="Q120" s="271"/>
      <c r="R120" s="271"/>
      <c r="S120" s="271"/>
      <c r="T120" s="271"/>
      <c r="U120" s="271"/>
      <c r="V120" s="271"/>
      <c r="W120" s="271"/>
      <c r="X120" s="271"/>
      <c r="Y120" s="271"/>
      <c r="Z120" s="271"/>
      <c r="AA120" s="271"/>
      <c r="AB120" s="271"/>
      <c r="AC120" s="271"/>
      <c r="AD120" s="271"/>
    </row>
    <row r="121">
      <c r="A121" s="271"/>
      <c r="B121" s="271"/>
      <c r="C121" s="271"/>
      <c r="D121" s="271"/>
      <c r="E121" s="271"/>
      <c r="F121" s="271"/>
      <c r="G121" s="271"/>
      <c r="H121" s="271"/>
      <c r="I121" s="271"/>
      <c r="J121" s="271"/>
      <c r="K121" s="271"/>
      <c r="L121" s="271"/>
      <c r="M121" s="271"/>
      <c r="N121" s="271"/>
      <c r="O121" s="271"/>
      <c r="P121" s="271"/>
      <c r="Q121" s="271"/>
      <c r="R121" s="271"/>
      <c r="S121" s="271"/>
      <c r="T121" s="271"/>
      <c r="U121" s="271"/>
      <c r="V121" s="271"/>
      <c r="W121" s="271"/>
      <c r="X121" s="271"/>
      <c r="Y121" s="271"/>
      <c r="Z121" s="271"/>
      <c r="AA121" s="271"/>
      <c r="AB121" s="271"/>
      <c r="AC121" s="271"/>
      <c r="AD121" s="271"/>
    </row>
    <row r="122">
      <c r="A122" s="271"/>
      <c r="B122" s="271"/>
      <c r="C122" s="271"/>
      <c r="D122" s="271"/>
      <c r="E122" s="271"/>
      <c r="F122" s="271"/>
      <c r="G122" s="271"/>
      <c r="H122" s="271"/>
      <c r="I122" s="271"/>
      <c r="J122" s="271"/>
      <c r="K122" s="271"/>
      <c r="L122" s="271"/>
      <c r="M122" s="271"/>
      <c r="N122" s="271"/>
      <c r="O122" s="271"/>
      <c r="P122" s="271"/>
      <c r="Q122" s="271"/>
      <c r="R122" s="271"/>
      <c r="S122" s="271"/>
      <c r="T122" s="271"/>
      <c r="U122" s="271"/>
      <c r="V122" s="271"/>
      <c r="W122" s="271"/>
      <c r="X122" s="271"/>
      <c r="Y122" s="271"/>
      <c r="Z122" s="271"/>
      <c r="AA122" s="271"/>
      <c r="AB122" s="271"/>
      <c r="AC122" s="271"/>
      <c r="AD122" s="271"/>
    </row>
    <row r="123">
      <c r="A123" s="271"/>
      <c r="B123" s="271"/>
      <c r="C123" s="271"/>
      <c r="D123" s="271"/>
      <c r="E123" s="271"/>
      <c r="F123" s="271"/>
      <c r="G123" s="271"/>
      <c r="H123" s="271"/>
      <c r="I123" s="271"/>
      <c r="J123" s="271"/>
      <c r="K123" s="271"/>
      <c r="L123" s="271"/>
      <c r="M123" s="271"/>
      <c r="N123" s="271"/>
      <c r="O123" s="271"/>
      <c r="P123" s="271"/>
      <c r="Q123" s="271"/>
      <c r="R123" s="271"/>
      <c r="S123" s="271"/>
      <c r="T123" s="271"/>
      <c r="U123" s="271"/>
      <c r="V123" s="271"/>
      <c r="W123" s="271"/>
      <c r="X123" s="271"/>
      <c r="Y123" s="271"/>
      <c r="Z123" s="271"/>
      <c r="AA123" s="271"/>
      <c r="AB123" s="271"/>
      <c r="AC123" s="271"/>
      <c r="AD123" s="271"/>
    </row>
    <row r="124">
      <c r="A124" s="271"/>
      <c r="B124" s="271"/>
      <c r="C124" s="271"/>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row>
    <row r="125">
      <c r="A125" s="271"/>
      <c r="B125" s="271"/>
      <c r="C125" s="271"/>
      <c r="D125" s="271"/>
      <c r="E125" s="271"/>
      <c r="F125" s="271"/>
      <c r="G125" s="271"/>
      <c r="H125" s="271"/>
      <c r="I125" s="271"/>
      <c r="J125" s="271"/>
      <c r="K125" s="271"/>
      <c r="L125" s="271"/>
      <c r="M125" s="271"/>
      <c r="N125" s="271"/>
      <c r="O125" s="271"/>
      <c r="P125" s="271"/>
      <c r="Q125" s="271"/>
      <c r="R125" s="271"/>
      <c r="S125" s="271"/>
      <c r="T125" s="271"/>
      <c r="U125" s="271"/>
      <c r="V125" s="271"/>
      <c r="W125" s="271"/>
      <c r="X125" s="271"/>
      <c r="Y125" s="271"/>
      <c r="Z125" s="271"/>
      <c r="AA125" s="271"/>
      <c r="AB125" s="271"/>
      <c r="AC125" s="271"/>
      <c r="AD125" s="271"/>
    </row>
    <row r="126">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row>
    <row r="127">
      <c r="A127" s="271"/>
      <c r="B127" s="271"/>
      <c r="C127" s="271"/>
      <c r="D127" s="271"/>
      <c r="E127" s="271"/>
      <c r="F127" s="271"/>
      <c r="G127" s="271"/>
      <c r="H127" s="271"/>
      <c r="I127" s="271"/>
      <c r="J127" s="271"/>
      <c r="K127" s="271"/>
      <c r="L127" s="271"/>
      <c r="M127" s="271"/>
      <c r="N127" s="271"/>
      <c r="O127" s="271"/>
      <c r="P127" s="271"/>
      <c r="Q127" s="271"/>
      <c r="R127" s="271"/>
      <c r="S127" s="271"/>
      <c r="T127" s="271"/>
      <c r="U127" s="271"/>
      <c r="V127" s="271"/>
      <c r="W127" s="271"/>
      <c r="X127" s="271"/>
      <c r="Y127" s="271"/>
      <c r="Z127" s="271"/>
      <c r="AA127" s="271"/>
      <c r="AB127" s="271"/>
      <c r="AC127" s="271"/>
      <c r="AD127" s="271"/>
    </row>
    <row r="128">
      <c r="A128" s="271"/>
      <c r="B128" s="271"/>
      <c r="C128" s="271"/>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row>
    <row r="129">
      <c r="A129" s="271"/>
      <c r="B129" s="271"/>
      <c r="C129" s="271"/>
      <c r="D129" s="271"/>
      <c r="E129" s="271"/>
      <c r="F129" s="271"/>
      <c r="G129" s="271"/>
      <c r="H129" s="271"/>
      <c r="I129" s="271"/>
      <c r="J129" s="271"/>
      <c r="K129" s="271"/>
      <c r="L129" s="271"/>
      <c r="M129" s="271"/>
      <c r="N129" s="271"/>
      <c r="O129" s="271"/>
      <c r="P129" s="271"/>
      <c r="Q129" s="271"/>
      <c r="R129" s="271"/>
      <c r="S129" s="271"/>
      <c r="T129" s="271"/>
      <c r="U129" s="271"/>
      <c r="V129" s="271"/>
      <c r="W129" s="271"/>
      <c r="X129" s="271"/>
      <c r="Y129" s="271"/>
      <c r="Z129" s="271"/>
      <c r="AA129" s="271"/>
      <c r="AB129" s="271"/>
      <c r="AC129" s="271"/>
      <c r="AD129" s="271"/>
    </row>
    <row r="130">
      <c r="A130" s="271"/>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row>
    <row r="131">
      <c r="A131" s="271"/>
      <c r="B131" s="271"/>
      <c r="C131" s="271"/>
      <c r="D131" s="271"/>
      <c r="E131" s="271"/>
      <c r="F131" s="271"/>
      <c r="G131" s="271"/>
      <c r="H131" s="271"/>
      <c r="I131" s="271"/>
      <c r="J131" s="271"/>
      <c r="K131" s="271"/>
      <c r="L131" s="271"/>
      <c r="M131" s="271"/>
      <c r="N131" s="271"/>
      <c r="O131" s="271"/>
      <c r="P131" s="271"/>
      <c r="Q131" s="271"/>
      <c r="R131" s="271"/>
      <c r="S131" s="271"/>
      <c r="T131" s="271"/>
      <c r="U131" s="271"/>
      <c r="V131" s="271"/>
      <c r="W131" s="271"/>
      <c r="X131" s="271"/>
      <c r="Y131" s="271"/>
      <c r="Z131" s="271"/>
      <c r="AA131" s="271"/>
      <c r="AB131" s="271"/>
      <c r="AC131" s="271"/>
      <c r="AD131" s="271"/>
    </row>
    <row r="132">
      <c r="A132" s="271"/>
      <c r="B132" s="271"/>
      <c r="C132" s="271"/>
      <c r="D132" s="271"/>
      <c r="E132" s="271"/>
      <c r="F132" s="271"/>
      <c r="G132" s="271"/>
      <c r="H132" s="271"/>
      <c r="I132" s="271"/>
      <c r="J132" s="271"/>
      <c r="K132" s="271"/>
      <c r="L132" s="271"/>
      <c r="M132" s="271"/>
      <c r="N132" s="271"/>
      <c r="O132" s="271"/>
      <c r="P132" s="271"/>
      <c r="Q132" s="271"/>
      <c r="R132" s="271"/>
      <c r="S132" s="271"/>
      <c r="T132" s="271"/>
      <c r="U132" s="271"/>
      <c r="V132" s="271"/>
      <c r="W132" s="271"/>
      <c r="X132" s="271"/>
      <c r="Y132" s="271"/>
      <c r="Z132" s="271"/>
      <c r="AA132" s="271"/>
      <c r="AB132" s="271"/>
      <c r="AC132" s="271"/>
      <c r="AD132" s="271"/>
    </row>
    <row r="133">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1"/>
      <c r="W133" s="271"/>
      <c r="X133" s="271"/>
      <c r="Y133" s="271"/>
      <c r="Z133" s="271"/>
      <c r="AA133" s="271"/>
      <c r="AB133" s="271"/>
      <c r="AC133" s="271"/>
      <c r="AD133" s="271"/>
    </row>
    <row r="134">
      <c r="A134" s="271"/>
      <c r="B134" s="271"/>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c r="AA134" s="271"/>
      <c r="AB134" s="271"/>
      <c r="AC134" s="271"/>
      <c r="AD134" s="271"/>
    </row>
    <row r="135">
      <c r="A135" s="271"/>
      <c r="B135" s="271"/>
      <c r="C135" s="271"/>
      <c r="D135" s="271"/>
      <c r="E135" s="271"/>
      <c r="F135" s="271"/>
      <c r="G135" s="271"/>
      <c r="H135" s="271"/>
      <c r="I135" s="271"/>
      <c r="J135" s="271"/>
      <c r="K135" s="271"/>
      <c r="L135" s="271"/>
      <c r="M135" s="271"/>
      <c r="N135" s="271"/>
      <c r="O135" s="271"/>
      <c r="P135" s="271"/>
      <c r="Q135" s="271"/>
      <c r="R135" s="271"/>
      <c r="S135" s="271"/>
      <c r="T135" s="271"/>
      <c r="U135" s="271"/>
      <c r="V135" s="271"/>
      <c r="W135" s="271"/>
      <c r="X135" s="271"/>
      <c r="Y135" s="271"/>
      <c r="Z135" s="271"/>
      <c r="AA135" s="271"/>
      <c r="AB135" s="271"/>
      <c r="AC135" s="271"/>
      <c r="AD135" s="271"/>
    </row>
    <row r="136">
      <c r="A136" s="271"/>
      <c r="B136" s="271"/>
      <c r="C136" s="271"/>
      <c r="D136" s="271"/>
      <c r="E136" s="271"/>
      <c r="F136" s="271"/>
      <c r="G136" s="271"/>
      <c r="H136" s="271"/>
      <c r="I136" s="271"/>
      <c r="J136" s="271"/>
      <c r="K136" s="271"/>
      <c r="L136" s="271"/>
      <c r="M136" s="271"/>
      <c r="N136" s="271"/>
      <c r="O136" s="271"/>
      <c r="P136" s="271"/>
      <c r="Q136" s="271"/>
      <c r="R136" s="271"/>
      <c r="S136" s="271"/>
      <c r="T136" s="271"/>
      <c r="U136" s="271"/>
      <c r="V136" s="271"/>
      <c r="W136" s="271"/>
      <c r="X136" s="271"/>
      <c r="Y136" s="271"/>
      <c r="Z136" s="271"/>
      <c r="AA136" s="271"/>
      <c r="AB136" s="271"/>
      <c r="AC136" s="271"/>
      <c r="AD136" s="271"/>
    </row>
    <row r="137">
      <c r="A137" s="271"/>
      <c r="B137" s="271"/>
      <c r="C137" s="271"/>
      <c r="D137" s="271"/>
      <c r="E137" s="271"/>
      <c r="F137" s="271"/>
      <c r="G137" s="271"/>
      <c r="H137" s="271"/>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row>
    <row r="138">
      <c r="A138" s="271"/>
      <c r="B138" s="271"/>
      <c r="C138" s="271"/>
      <c r="D138" s="271"/>
      <c r="E138" s="271"/>
      <c r="F138" s="271"/>
      <c r="G138" s="271"/>
      <c r="H138" s="271"/>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row>
    <row r="139">
      <c r="A139" s="271"/>
      <c r="B139" s="271"/>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row>
    <row r="140">
      <c r="A140" s="271"/>
      <c r="B140" s="271"/>
      <c r="C140" s="271"/>
      <c r="D140" s="271"/>
      <c r="E140" s="271"/>
      <c r="F140" s="271"/>
      <c r="G140" s="271"/>
      <c r="H140" s="271"/>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row>
    <row r="141">
      <c r="A141" s="271"/>
      <c r="B141" s="271"/>
      <c r="C141" s="271"/>
      <c r="D141" s="271"/>
      <c r="E141" s="271"/>
      <c r="F141" s="271"/>
      <c r="G141" s="271"/>
      <c r="H141" s="271"/>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row>
    <row r="142">
      <c r="A142" s="271"/>
      <c r="B142" s="271"/>
      <c r="C142" s="271"/>
      <c r="D142" s="271"/>
      <c r="E142" s="271"/>
      <c r="F142" s="271"/>
      <c r="G142" s="271"/>
      <c r="H142" s="271"/>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row>
    <row r="143">
      <c r="A143" s="271"/>
      <c r="B143" s="271"/>
      <c r="C143" s="271"/>
      <c r="D143" s="271"/>
      <c r="E143" s="271"/>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row>
    <row r="144">
      <c r="A144" s="271"/>
      <c r="B144" s="271"/>
      <c r="C144" s="271"/>
      <c r="D144" s="271"/>
      <c r="E144" s="271"/>
      <c r="F144" s="271"/>
      <c r="G144" s="271"/>
      <c r="H144" s="271"/>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row>
    <row r="145">
      <c r="A145" s="271"/>
      <c r="B145" s="271"/>
      <c r="C145" s="271"/>
      <c r="D145" s="271"/>
      <c r="E145" s="271"/>
      <c r="F145" s="271"/>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row>
    <row r="146">
      <c r="A146" s="271"/>
      <c r="B146" s="271"/>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row>
    <row r="147">
      <c r="A147" s="271"/>
      <c r="B147" s="271"/>
      <c r="C147" s="271"/>
      <c r="D147" s="271"/>
      <c r="E147" s="271"/>
      <c r="F147" s="271"/>
      <c r="G147" s="271"/>
      <c r="H147" s="271"/>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row>
    <row r="148">
      <c r="A148" s="271"/>
      <c r="B148" s="271"/>
      <c r="C148" s="271"/>
      <c r="D148" s="271"/>
      <c r="E148" s="271"/>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row>
    <row r="149">
      <c r="A149" s="271"/>
      <c r="B149" s="271"/>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row>
    <row r="150">
      <c r="A150" s="271"/>
      <c r="B150" s="271"/>
      <c r="C150" s="271"/>
      <c r="D150" s="271"/>
      <c r="E150" s="271"/>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row>
    <row r="151">
      <c r="A151" s="271"/>
      <c r="B151" s="271"/>
      <c r="C151" s="271"/>
      <c r="D151" s="271"/>
      <c r="E151" s="271"/>
      <c r="F151" s="271"/>
      <c r="G151" s="271"/>
      <c r="H151" s="271"/>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row>
    <row r="152">
      <c r="A152" s="271"/>
      <c r="B152" s="271"/>
      <c r="C152" s="271"/>
      <c r="D152" s="271"/>
      <c r="E152" s="271"/>
      <c r="F152" s="271"/>
      <c r="G152" s="271"/>
      <c r="H152" s="271"/>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row>
    <row r="153">
      <c r="A153" s="271"/>
      <c r="B153" s="271"/>
      <c r="C153" s="271"/>
      <c r="D153" s="271"/>
      <c r="E153" s="271"/>
      <c r="F153" s="271"/>
      <c r="G153" s="271"/>
      <c r="H153" s="271"/>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row>
    <row r="154">
      <c r="A154" s="271"/>
      <c r="B154" s="271"/>
      <c r="C154" s="271"/>
      <c r="D154" s="271"/>
      <c r="E154" s="271"/>
      <c r="F154" s="271"/>
      <c r="G154" s="271"/>
      <c r="H154" s="271"/>
      <c r="I154" s="271"/>
      <c r="J154" s="271"/>
      <c r="K154" s="271"/>
      <c r="L154" s="271"/>
      <c r="M154" s="271"/>
      <c r="N154" s="271"/>
      <c r="O154" s="271"/>
      <c r="P154" s="271"/>
      <c r="Q154" s="271"/>
      <c r="R154" s="271"/>
      <c r="S154" s="271"/>
      <c r="T154" s="271"/>
      <c r="U154" s="271"/>
      <c r="V154" s="271"/>
      <c r="W154" s="271"/>
      <c r="X154" s="271"/>
      <c r="Y154" s="271"/>
      <c r="Z154" s="271"/>
      <c r="AA154" s="271"/>
      <c r="AB154" s="271"/>
      <c r="AC154" s="271"/>
      <c r="AD154" s="271"/>
    </row>
    <row r="155">
      <c r="A155" s="271"/>
      <c r="B155" s="271"/>
      <c r="C155" s="271"/>
      <c r="D155" s="271"/>
      <c r="E155" s="271"/>
      <c r="F155" s="271"/>
      <c r="G155" s="271"/>
      <c r="H155" s="271"/>
      <c r="I155" s="271"/>
      <c r="J155" s="271"/>
      <c r="K155" s="271"/>
      <c r="L155" s="271"/>
      <c r="M155" s="271"/>
      <c r="N155" s="271"/>
      <c r="O155" s="271"/>
      <c r="P155" s="271"/>
      <c r="Q155" s="271"/>
      <c r="R155" s="271"/>
      <c r="S155" s="271"/>
      <c r="T155" s="271"/>
      <c r="U155" s="271"/>
      <c r="V155" s="271"/>
      <c r="W155" s="271"/>
      <c r="X155" s="271"/>
      <c r="Y155" s="271"/>
      <c r="Z155" s="271"/>
      <c r="AA155" s="271"/>
      <c r="AB155" s="271"/>
      <c r="AC155" s="271"/>
      <c r="AD155" s="271"/>
    </row>
    <row r="156">
      <c r="A156" s="271"/>
      <c r="B156" s="271"/>
      <c r="C156" s="271"/>
      <c r="D156" s="271"/>
      <c r="E156" s="271"/>
      <c r="F156" s="271"/>
      <c r="G156" s="271"/>
      <c r="H156" s="271"/>
      <c r="I156" s="271"/>
      <c r="J156" s="271"/>
      <c r="K156" s="271"/>
      <c r="L156" s="271"/>
      <c r="M156" s="271"/>
      <c r="N156" s="271"/>
      <c r="O156" s="271"/>
      <c r="P156" s="271"/>
      <c r="Q156" s="271"/>
      <c r="R156" s="271"/>
      <c r="S156" s="271"/>
      <c r="T156" s="271"/>
      <c r="U156" s="271"/>
      <c r="V156" s="271"/>
      <c r="W156" s="271"/>
      <c r="X156" s="271"/>
      <c r="Y156" s="271"/>
      <c r="Z156" s="271"/>
      <c r="AA156" s="271"/>
      <c r="AB156" s="271"/>
      <c r="AC156" s="271"/>
      <c r="AD156" s="271"/>
    </row>
    <row r="157">
      <c r="A157" s="271"/>
      <c r="B157" s="271"/>
      <c r="C157" s="271"/>
      <c r="D157" s="271"/>
      <c r="E157" s="271"/>
      <c r="F157" s="271"/>
      <c r="G157" s="271"/>
      <c r="H157" s="271"/>
      <c r="I157" s="271"/>
      <c r="J157" s="271"/>
      <c r="K157" s="271"/>
      <c r="L157" s="271"/>
      <c r="M157" s="271"/>
      <c r="N157" s="271"/>
      <c r="O157" s="271"/>
      <c r="P157" s="271"/>
      <c r="Q157" s="271"/>
      <c r="R157" s="271"/>
      <c r="S157" s="271"/>
      <c r="T157" s="271"/>
      <c r="U157" s="271"/>
      <c r="V157" s="271"/>
      <c r="W157" s="271"/>
      <c r="X157" s="271"/>
      <c r="Y157" s="271"/>
      <c r="Z157" s="271"/>
      <c r="AA157" s="271"/>
      <c r="AB157" s="271"/>
      <c r="AC157" s="271"/>
      <c r="AD157" s="271"/>
    </row>
    <row r="158">
      <c r="A158" s="271"/>
      <c r="B158" s="271"/>
      <c r="C158" s="271"/>
      <c r="D158" s="271"/>
      <c r="E158" s="271"/>
      <c r="F158" s="271"/>
      <c r="G158" s="271"/>
      <c r="H158" s="271"/>
      <c r="I158" s="271"/>
      <c r="J158" s="271"/>
      <c r="K158" s="271"/>
      <c r="L158" s="271"/>
      <c r="M158" s="271"/>
      <c r="N158" s="271"/>
      <c r="O158" s="271"/>
      <c r="P158" s="271"/>
      <c r="Q158" s="271"/>
      <c r="R158" s="271"/>
      <c r="S158" s="271"/>
      <c r="T158" s="271"/>
      <c r="U158" s="271"/>
      <c r="V158" s="271"/>
      <c r="W158" s="271"/>
      <c r="X158" s="271"/>
      <c r="Y158" s="271"/>
      <c r="Z158" s="271"/>
      <c r="AA158" s="271"/>
      <c r="AB158" s="271"/>
      <c r="AC158" s="271"/>
      <c r="AD158" s="271"/>
    </row>
    <row r="159">
      <c r="A159" s="271"/>
      <c r="B159" s="271"/>
      <c r="C159" s="271"/>
      <c r="D159" s="271"/>
      <c r="E159" s="271"/>
      <c r="F159" s="271"/>
      <c r="G159" s="271"/>
      <c r="H159" s="271"/>
      <c r="I159" s="271"/>
      <c r="J159" s="271"/>
      <c r="K159" s="271"/>
      <c r="L159" s="271"/>
      <c r="M159" s="271"/>
      <c r="N159" s="271"/>
      <c r="O159" s="271"/>
      <c r="P159" s="271"/>
      <c r="Q159" s="271"/>
      <c r="R159" s="271"/>
      <c r="S159" s="271"/>
      <c r="T159" s="271"/>
      <c r="U159" s="271"/>
      <c r="V159" s="271"/>
      <c r="W159" s="271"/>
      <c r="X159" s="271"/>
      <c r="Y159" s="271"/>
      <c r="Z159" s="271"/>
      <c r="AA159" s="271"/>
      <c r="AB159" s="271"/>
      <c r="AC159" s="271"/>
      <c r="AD159" s="271"/>
    </row>
    <row r="160">
      <c r="A160" s="271"/>
      <c r="B160" s="271"/>
      <c r="C160" s="271"/>
      <c r="D160" s="271"/>
      <c r="E160" s="271"/>
      <c r="F160" s="271"/>
      <c r="G160" s="271"/>
      <c r="H160" s="271"/>
      <c r="I160" s="271"/>
      <c r="J160" s="271"/>
      <c r="K160" s="271"/>
      <c r="L160" s="271"/>
      <c r="M160" s="271"/>
      <c r="N160" s="271"/>
      <c r="O160" s="271"/>
      <c r="P160" s="271"/>
      <c r="Q160" s="271"/>
      <c r="R160" s="271"/>
      <c r="S160" s="271"/>
      <c r="T160" s="271"/>
      <c r="U160" s="271"/>
      <c r="V160" s="271"/>
      <c r="W160" s="271"/>
      <c r="X160" s="271"/>
      <c r="Y160" s="271"/>
      <c r="Z160" s="271"/>
      <c r="AA160" s="271"/>
      <c r="AB160" s="271"/>
      <c r="AC160" s="271"/>
      <c r="AD160" s="271"/>
    </row>
    <row r="161">
      <c r="A161" s="271"/>
      <c r="B161" s="271"/>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row>
    <row r="162">
      <c r="A162" s="271"/>
      <c r="B162" s="271"/>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row>
    <row r="163">
      <c r="A163" s="271"/>
      <c r="B163" s="271"/>
      <c r="C163" s="271"/>
      <c r="D163" s="271"/>
      <c r="E163" s="271"/>
      <c r="F163" s="271"/>
      <c r="G163" s="271"/>
      <c r="H163" s="271"/>
      <c r="I163" s="271"/>
      <c r="J163" s="271"/>
      <c r="K163" s="271"/>
      <c r="L163" s="271"/>
      <c r="M163" s="271"/>
      <c r="N163" s="271"/>
      <c r="O163" s="271"/>
      <c r="P163" s="271"/>
      <c r="Q163" s="271"/>
      <c r="R163" s="271"/>
      <c r="S163" s="271"/>
      <c r="T163" s="271"/>
      <c r="U163" s="271"/>
      <c r="V163" s="271"/>
      <c r="W163" s="271"/>
      <c r="X163" s="271"/>
      <c r="Y163" s="271"/>
      <c r="Z163" s="271"/>
      <c r="AA163" s="271"/>
      <c r="AB163" s="271"/>
      <c r="AC163" s="271"/>
      <c r="AD163" s="271"/>
    </row>
    <row r="164">
      <c r="A164" s="271"/>
      <c r="B164" s="271"/>
      <c r="C164" s="271"/>
      <c r="D164" s="271"/>
      <c r="E164" s="271"/>
      <c r="F164" s="271"/>
      <c r="G164" s="271"/>
      <c r="H164" s="271"/>
      <c r="I164" s="271"/>
      <c r="J164" s="271"/>
      <c r="K164" s="271"/>
      <c r="L164" s="271"/>
      <c r="M164" s="271"/>
      <c r="N164" s="271"/>
      <c r="O164" s="271"/>
      <c r="P164" s="271"/>
      <c r="Q164" s="271"/>
      <c r="R164" s="271"/>
      <c r="S164" s="271"/>
      <c r="T164" s="271"/>
      <c r="U164" s="271"/>
      <c r="V164" s="271"/>
      <c r="W164" s="271"/>
      <c r="X164" s="271"/>
      <c r="Y164" s="271"/>
      <c r="Z164" s="271"/>
      <c r="AA164" s="271"/>
      <c r="AB164" s="271"/>
      <c r="AC164" s="271"/>
      <c r="AD164" s="271"/>
    </row>
    <row r="165">
      <c r="A165" s="271"/>
      <c r="B165" s="271"/>
      <c r="C165" s="271"/>
      <c r="D165" s="271"/>
      <c r="E165" s="271"/>
      <c r="F165" s="271"/>
      <c r="G165" s="271"/>
      <c r="H165" s="271"/>
      <c r="I165" s="271"/>
      <c r="J165" s="271"/>
      <c r="K165" s="271"/>
      <c r="L165" s="271"/>
      <c r="M165" s="271"/>
      <c r="N165" s="271"/>
      <c r="O165" s="271"/>
      <c r="P165" s="271"/>
      <c r="Q165" s="271"/>
      <c r="R165" s="271"/>
      <c r="S165" s="271"/>
      <c r="T165" s="271"/>
      <c r="U165" s="271"/>
      <c r="V165" s="271"/>
      <c r="W165" s="271"/>
      <c r="X165" s="271"/>
      <c r="Y165" s="271"/>
      <c r="Z165" s="271"/>
      <c r="AA165" s="271"/>
      <c r="AB165" s="271"/>
      <c r="AC165" s="271"/>
      <c r="AD165" s="271"/>
    </row>
    <row r="166">
      <c r="A166" s="271"/>
      <c r="B166" s="271"/>
      <c r="C166" s="271"/>
      <c r="D166" s="271"/>
      <c r="E166" s="271"/>
      <c r="F166" s="271"/>
      <c r="G166" s="271"/>
      <c r="H166" s="271"/>
      <c r="I166" s="271"/>
      <c r="J166" s="271"/>
      <c r="K166" s="271"/>
      <c r="L166" s="271"/>
      <c r="M166" s="271"/>
      <c r="N166" s="271"/>
      <c r="O166" s="271"/>
      <c r="P166" s="271"/>
      <c r="Q166" s="271"/>
      <c r="R166" s="271"/>
      <c r="S166" s="271"/>
      <c r="T166" s="271"/>
      <c r="U166" s="271"/>
      <c r="V166" s="271"/>
      <c r="W166" s="271"/>
      <c r="X166" s="271"/>
      <c r="Y166" s="271"/>
      <c r="Z166" s="271"/>
      <c r="AA166" s="271"/>
      <c r="AB166" s="271"/>
      <c r="AC166" s="271"/>
      <c r="AD166" s="271"/>
    </row>
    <row r="167">
      <c r="A167" s="271"/>
      <c r="B167" s="271"/>
      <c r="C167" s="271"/>
      <c r="D167" s="271"/>
      <c r="E167" s="271"/>
      <c r="F167" s="271"/>
      <c r="G167" s="271"/>
      <c r="H167" s="271"/>
      <c r="I167" s="271"/>
      <c r="J167" s="271"/>
      <c r="K167" s="271"/>
      <c r="L167" s="271"/>
      <c r="M167" s="271"/>
      <c r="N167" s="271"/>
      <c r="O167" s="271"/>
      <c r="P167" s="271"/>
      <c r="Q167" s="271"/>
      <c r="R167" s="271"/>
      <c r="S167" s="271"/>
      <c r="T167" s="271"/>
      <c r="U167" s="271"/>
      <c r="V167" s="271"/>
      <c r="W167" s="271"/>
      <c r="X167" s="271"/>
      <c r="Y167" s="271"/>
      <c r="Z167" s="271"/>
      <c r="AA167" s="271"/>
      <c r="AB167" s="271"/>
      <c r="AC167" s="271"/>
      <c r="AD167" s="271"/>
    </row>
    <row r="168">
      <c r="A168" s="271"/>
      <c r="B168" s="271"/>
      <c r="C168" s="271"/>
      <c r="D168" s="271"/>
      <c r="E168" s="271"/>
      <c r="F168" s="271"/>
      <c r="G168" s="271"/>
      <c r="H168" s="271"/>
      <c r="I168" s="271"/>
      <c r="J168" s="271"/>
      <c r="K168" s="271"/>
      <c r="L168" s="271"/>
      <c r="M168" s="271"/>
      <c r="N168" s="271"/>
      <c r="O168" s="271"/>
      <c r="P168" s="271"/>
      <c r="Q168" s="271"/>
      <c r="R168" s="271"/>
      <c r="S168" s="271"/>
      <c r="T168" s="271"/>
      <c r="U168" s="271"/>
      <c r="V168" s="271"/>
      <c r="W168" s="271"/>
      <c r="X168" s="271"/>
      <c r="Y168" s="271"/>
      <c r="Z168" s="271"/>
      <c r="AA168" s="271"/>
      <c r="AB168" s="271"/>
      <c r="AC168" s="271"/>
      <c r="AD168" s="271"/>
    </row>
    <row r="169">
      <c r="A169" s="271"/>
      <c r="B169" s="271"/>
      <c r="C169" s="271"/>
      <c r="D169" s="271"/>
      <c r="E169" s="271"/>
      <c r="F169" s="271"/>
      <c r="G169" s="271"/>
      <c r="H169" s="271"/>
      <c r="I169" s="271"/>
      <c r="J169" s="271"/>
      <c r="K169" s="271"/>
      <c r="L169" s="271"/>
      <c r="M169" s="271"/>
      <c r="N169" s="271"/>
      <c r="O169" s="271"/>
      <c r="P169" s="271"/>
      <c r="Q169" s="271"/>
      <c r="R169" s="271"/>
      <c r="S169" s="271"/>
      <c r="T169" s="271"/>
      <c r="U169" s="271"/>
      <c r="V169" s="271"/>
      <c r="W169" s="271"/>
      <c r="X169" s="271"/>
      <c r="Y169" s="271"/>
      <c r="Z169" s="271"/>
      <c r="AA169" s="271"/>
      <c r="AB169" s="271"/>
      <c r="AC169" s="271"/>
      <c r="AD169" s="271"/>
    </row>
    <row r="170">
      <c r="A170" s="271"/>
      <c r="B170" s="271"/>
      <c r="C170" s="271"/>
      <c r="D170" s="271"/>
      <c r="E170" s="271"/>
      <c r="F170" s="271"/>
      <c r="G170" s="271"/>
      <c r="H170" s="271"/>
      <c r="I170" s="271"/>
      <c r="J170" s="271"/>
      <c r="K170" s="271"/>
      <c r="L170" s="271"/>
      <c r="M170" s="271"/>
      <c r="N170" s="271"/>
      <c r="O170" s="271"/>
      <c r="P170" s="271"/>
      <c r="Q170" s="271"/>
      <c r="R170" s="271"/>
      <c r="S170" s="271"/>
      <c r="T170" s="271"/>
      <c r="U170" s="271"/>
      <c r="V170" s="271"/>
      <c r="W170" s="271"/>
      <c r="X170" s="271"/>
      <c r="Y170" s="271"/>
      <c r="Z170" s="271"/>
      <c r="AA170" s="271"/>
      <c r="AB170" s="271"/>
      <c r="AC170" s="271"/>
      <c r="AD170" s="271"/>
    </row>
    <row r="171">
      <c r="A171" s="271"/>
      <c r="B171" s="271"/>
      <c r="C171" s="271"/>
      <c r="D171" s="271"/>
      <c r="E171" s="271"/>
      <c r="F171" s="271"/>
      <c r="G171" s="271"/>
      <c r="H171" s="271"/>
      <c r="I171" s="271"/>
      <c r="J171" s="271"/>
      <c r="K171" s="271"/>
      <c r="L171" s="271"/>
      <c r="M171" s="271"/>
      <c r="N171" s="271"/>
      <c r="O171" s="271"/>
      <c r="P171" s="271"/>
      <c r="Q171" s="271"/>
      <c r="R171" s="271"/>
      <c r="S171" s="271"/>
      <c r="T171" s="271"/>
      <c r="U171" s="271"/>
      <c r="V171" s="271"/>
      <c r="W171" s="271"/>
      <c r="X171" s="271"/>
      <c r="Y171" s="271"/>
      <c r="Z171" s="271"/>
      <c r="AA171" s="271"/>
      <c r="AB171" s="271"/>
      <c r="AC171" s="271"/>
      <c r="AD171" s="271"/>
    </row>
    <row r="172">
      <c r="A172" s="271"/>
      <c r="B172" s="271"/>
      <c r="C172" s="271"/>
      <c r="D172" s="271"/>
      <c r="E172" s="271"/>
      <c r="F172" s="271"/>
      <c r="G172" s="271"/>
      <c r="H172" s="271"/>
      <c r="I172" s="271"/>
      <c r="J172" s="271"/>
      <c r="K172" s="271"/>
      <c r="L172" s="271"/>
      <c r="M172" s="271"/>
      <c r="N172" s="271"/>
      <c r="O172" s="271"/>
      <c r="P172" s="271"/>
      <c r="Q172" s="271"/>
      <c r="R172" s="271"/>
      <c r="S172" s="271"/>
      <c r="T172" s="271"/>
      <c r="U172" s="271"/>
      <c r="V172" s="271"/>
      <c r="W172" s="271"/>
      <c r="X172" s="271"/>
      <c r="Y172" s="271"/>
      <c r="Z172" s="271"/>
      <c r="AA172" s="271"/>
      <c r="AB172" s="271"/>
      <c r="AC172" s="271"/>
      <c r="AD172" s="271"/>
    </row>
    <row r="173">
      <c r="A173" s="271"/>
      <c r="B173" s="271"/>
      <c r="C173" s="271"/>
      <c r="D173" s="271"/>
      <c r="E173" s="271"/>
      <c r="F173" s="271"/>
      <c r="G173" s="271"/>
      <c r="H173" s="271"/>
      <c r="I173" s="271"/>
      <c r="J173" s="271"/>
      <c r="K173" s="271"/>
      <c r="L173" s="271"/>
      <c r="M173" s="271"/>
      <c r="N173" s="271"/>
      <c r="O173" s="271"/>
      <c r="P173" s="271"/>
      <c r="Q173" s="271"/>
      <c r="R173" s="271"/>
      <c r="S173" s="271"/>
      <c r="T173" s="271"/>
      <c r="U173" s="271"/>
      <c r="V173" s="271"/>
      <c r="W173" s="271"/>
      <c r="X173" s="271"/>
      <c r="Y173" s="271"/>
      <c r="Z173" s="271"/>
      <c r="AA173" s="271"/>
      <c r="AB173" s="271"/>
      <c r="AC173" s="271"/>
      <c r="AD173" s="271"/>
    </row>
    <row r="174">
      <c r="A174" s="271"/>
      <c r="B174" s="271"/>
      <c r="C174" s="271"/>
      <c r="D174" s="271"/>
      <c r="E174" s="271"/>
      <c r="F174" s="271"/>
      <c r="G174" s="271"/>
      <c r="H174" s="271"/>
      <c r="I174" s="271"/>
      <c r="J174" s="271"/>
      <c r="K174" s="271"/>
      <c r="L174" s="271"/>
      <c r="M174" s="271"/>
      <c r="N174" s="271"/>
      <c r="O174" s="271"/>
      <c r="P174" s="271"/>
      <c r="Q174" s="271"/>
      <c r="R174" s="271"/>
      <c r="S174" s="271"/>
      <c r="T174" s="271"/>
      <c r="U174" s="271"/>
      <c r="V174" s="271"/>
      <c r="W174" s="271"/>
      <c r="X174" s="271"/>
      <c r="Y174" s="271"/>
      <c r="Z174" s="271"/>
      <c r="AA174" s="271"/>
      <c r="AB174" s="271"/>
      <c r="AC174" s="271"/>
      <c r="AD174" s="271"/>
    </row>
    <row r="175">
      <c r="A175" s="271"/>
      <c r="B175" s="271"/>
      <c r="C175" s="271"/>
      <c r="D175" s="271"/>
      <c r="E175" s="271"/>
      <c r="F175" s="271"/>
      <c r="G175" s="271"/>
      <c r="H175" s="271"/>
      <c r="I175" s="271"/>
      <c r="J175" s="271"/>
      <c r="K175" s="271"/>
      <c r="L175" s="271"/>
      <c r="M175" s="271"/>
      <c r="N175" s="271"/>
      <c r="O175" s="271"/>
      <c r="P175" s="271"/>
      <c r="Q175" s="271"/>
      <c r="R175" s="271"/>
      <c r="S175" s="271"/>
      <c r="T175" s="271"/>
      <c r="U175" s="271"/>
      <c r="V175" s="271"/>
      <c r="W175" s="271"/>
      <c r="X175" s="271"/>
      <c r="Y175" s="271"/>
      <c r="Z175" s="271"/>
      <c r="AA175" s="271"/>
      <c r="AB175" s="271"/>
      <c r="AC175" s="271"/>
      <c r="AD175" s="271"/>
    </row>
    <row r="176">
      <c r="A176" s="271"/>
      <c r="B176" s="271"/>
      <c r="C176" s="271"/>
      <c r="D176" s="271"/>
      <c r="E176" s="271"/>
      <c r="F176" s="271"/>
      <c r="G176" s="271"/>
      <c r="H176" s="271"/>
      <c r="I176" s="271"/>
      <c r="J176" s="271"/>
      <c r="K176" s="271"/>
      <c r="L176" s="271"/>
      <c r="M176" s="271"/>
      <c r="N176" s="271"/>
      <c r="O176" s="271"/>
      <c r="P176" s="271"/>
      <c r="Q176" s="271"/>
      <c r="R176" s="271"/>
      <c r="S176" s="271"/>
      <c r="T176" s="271"/>
      <c r="U176" s="271"/>
      <c r="V176" s="271"/>
      <c r="W176" s="271"/>
      <c r="X176" s="271"/>
      <c r="Y176" s="271"/>
      <c r="Z176" s="271"/>
      <c r="AA176" s="271"/>
      <c r="AB176" s="271"/>
      <c r="AC176" s="271"/>
      <c r="AD176" s="271"/>
    </row>
    <row r="177">
      <c r="A177" s="271"/>
      <c r="B177" s="271"/>
      <c r="C177" s="271"/>
      <c r="D177" s="271"/>
      <c r="E177" s="271"/>
      <c r="F177" s="271"/>
      <c r="G177" s="271"/>
      <c r="H177" s="271"/>
      <c r="I177" s="271"/>
      <c r="J177" s="271"/>
      <c r="K177" s="271"/>
      <c r="L177" s="271"/>
      <c r="M177" s="271"/>
      <c r="N177" s="271"/>
      <c r="O177" s="271"/>
      <c r="P177" s="271"/>
      <c r="Q177" s="271"/>
      <c r="R177" s="271"/>
      <c r="S177" s="271"/>
      <c r="T177" s="271"/>
      <c r="U177" s="271"/>
      <c r="V177" s="271"/>
      <c r="W177" s="271"/>
      <c r="X177" s="271"/>
      <c r="Y177" s="271"/>
      <c r="Z177" s="271"/>
      <c r="AA177" s="271"/>
      <c r="AB177" s="271"/>
      <c r="AC177" s="271"/>
      <c r="AD177" s="271"/>
    </row>
    <row r="178">
      <c r="A178" s="271"/>
      <c r="B178" s="271"/>
      <c r="C178" s="271"/>
      <c r="D178" s="271"/>
      <c r="E178" s="271"/>
      <c r="F178" s="271"/>
      <c r="G178" s="271"/>
      <c r="H178" s="271"/>
      <c r="I178" s="271"/>
      <c r="J178" s="271"/>
      <c r="K178" s="271"/>
      <c r="L178" s="271"/>
      <c r="M178" s="271"/>
      <c r="N178" s="271"/>
      <c r="O178" s="271"/>
      <c r="P178" s="271"/>
      <c r="Q178" s="271"/>
      <c r="R178" s="271"/>
      <c r="S178" s="271"/>
      <c r="T178" s="271"/>
      <c r="U178" s="271"/>
      <c r="V178" s="271"/>
      <c r="W178" s="271"/>
      <c r="X178" s="271"/>
      <c r="Y178" s="271"/>
      <c r="Z178" s="271"/>
      <c r="AA178" s="271"/>
      <c r="AB178" s="271"/>
      <c r="AC178" s="271"/>
      <c r="AD178" s="271"/>
    </row>
    <row r="179">
      <c r="A179" s="271"/>
      <c r="B179" s="271"/>
      <c r="C179" s="271"/>
      <c r="D179" s="271"/>
      <c r="E179" s="271"/>
      <c r="F179" s="271"/>
      <c r="G179" s="271"/>
      <c r="H179" s="271"/>
      <c r="I179" s="271"/>
      <c r="J179" s="271"/>
      <c r="K179" s="271"/>
      <c r="L179" s="271"/>
      <c r="M179" s="271"/>
      <c r="N179" s="271"/>
      <c r="O179" s="271"/>
      <c r="P179" s="271"/>
      <c r="Q179" s="271"/>
      <c r="R179" s="271"/>
      <c r="S179" s="271"/>
      <c r="T179" s="271"/>
      <c r="U179" s="271"/>
      <c r="V179" s="271"/>
      <c r="W179" s="271"/>
      <c r="X179" s="271"/>
      <c r="Y179" s="271"/>
      <c r="Z179" s="271"/>
      <c r="AA179" s="271"/>
      <c r="AB179" s="271"/>
      <c r="AC179" s="271"/>
      <c r="AD179" s="271"/>
    </row>
    <row r="180">
      <c r="A180" s="271"/>
      <c r="B180" s="271"/>
      <c r="C180" s="271"/>
      <c r="D180" s="271"/>
      <c r="E180" s="271"/>
      <c r="F180" s="271"/>
      <c r="G180" s="271"/>
      <c r="H180" s="271"/>
      <c r="I180" s="271"/>
      <c r="J180" s="271"/>
      <c r="K180" s="271"/>
      <c r="L180" s="271"/>
      <c r="M180" s="271"/>
      <c r="N180" s="271"/>
      <c r="O180" s="271"/>
      <c r="P180" s="271"/>
      <c r="Q180" s="271"/>
      <c r="R180" s="271"/>
      <c r="S180" s="271"/>
      <c r="T180" s="271"/>
      <c r="U180" s="271"/>
      <c r="V180" s="271"/>
      <c r="W180" s="271"/>
      <c r="X180" s="271"/>
      <c r="Y180" s="271"/>
      <c r="Z180" s="271"/>
      <c r="AA180" s="271"/>
      <c r="AB180" s="271"/>
      <c r="AC180" s="271"/>
      <c r="AD180" s="271"/>
    </row>
    <row r="181">
      <c r="A181" s="271"/>
      <c r="B181" s="271"/>
      <c r="C181" s="271"/>
      <c r="D181" s="271"/>
      <c r="E181" s="271"/>
      <c r="F181" s="271"/>
      <c r="G181" s="271"/>
      <c r="H181" s="271"/>
      <c r="I181" s="271"/>
      <c r="J181" s="271"/>
      <c r="K181" s="271"/>
      <c r="L181" s="271"/>
      <c r="M181" s="271"/>
      <c r="N181" s="271"/>
      <c r="O181" s="271"/>
      <c r="P181" s="271"/>
      <c r="Q181" s="271"/>
      <c r="R181" s="271"/>
      <c r="S181" s="271"/>
      <c r="T181" s="271"/>
      <c r="U181" s="271"/>
      <c r="V181" s="271"/>
      <c r="W181" s="271"/>
      <c r="X181" s="271"/>
      <c r="Y181" s="271"/>
      <c r="Z181" s="271"/>
      <c r="AA181" s="271"/>
      <c r="AB181" s="271"/>
      <c r="AC181" s="271"/>
      <c r="AD181" s="271"/>
    </row>
    <row r="182">
      <c r="A182" s="271"/>
      <c r="B182" s="271"/>
      <c r="C182" s="271"/>
      <c r="D182" s="271"/>
      <c r="E182" s="271"/>
      <c r="F182" s="271"/>
      <c r="G182" s="271"/>
      <c r="H182" s="271"/>
      <c r="I182" s="271"/>
      <c r="J182" s="271"/>
      <c r="K182" s="271"/>
      <c r="L182" s="271"/>
      <c r="M182" s="271"/>
      <c r="N182" s="271"/>
      <c r="O182" s="271"/>
      <c r="P182" s="271"/>
      <c r="Q182" s="271"/>
      <c r="R182" s="271"/>
      <c r="S182" s="271"/>
      <c r="T182" s="271"/>
      <c r="U182" s="271"/>
      <c r="V182" s="271"/>
      <c r="W182" s="271"/>
      <c r="X182" s="271"/>
      <c r="Y182" s="271"/>
      <c r="Z182" s="271"/>
      <c r="AA182" s="271"/>
      <c r="AB182" s="271"/>
      <c r="AC182" s="271"/>
      <c r="AD182" s="271"/>
    </row>
    <row r="183">
      <c r="A183" s="271"/>
      <c r="B183" s="271"/>
      <c r="C183" s="271"/>
      <c r="D183" s="271"/>
      <c r="E183" s="271"/>
      <c r="F183" s="271"/>
      <c r="G183" s="271"/>
      <c r="H183" s="271"/>
      <c r="I183" s="271"/>
      <c r="J183" s="271"/>
      <c r="K183" s="271"/>
      <c r="L183" s="271"/>
      <c r="M183" s="271"/>
      <c r="N183" s="271"/>
      <c r="O183" s="271"/>
      <c r="P183" s="271"/>
      <c r="Q183" s="271"/>
      <c r="R183" s="271"/>
      <c r="S183" s="271"/>
      <c r="T183" s="271"/>
      <c r="U183" s="271"/>
      <c r="V183" s="271"/>
      <c r="W183" s="271"/>
      <c r="X183" s="271"/>
      <c r="Y183" s="271"/>
      <c r="Z183" s="271"/>
      <c r="AA183" s="271"/>
      <c r="AB183" s="271"/>
      <c r="AC183" s="271"/>
      <c r="AD183" s="271"/>
    </row>
    <row r="184">
      <c r="A184" s="271"/>
      <c r="B184" s="271"/>
      <c r="C184" s="271"/>
      <c r="D184" s="271"/>
      <c r="E184" s="271"/>
      <c r="F184" s="271"/>
      <c r="G184" s="271"/>
      <c r="H184" s="271"/>
      <c r="I184" s="271"/>
      <c r="J184" s="271"/>
      <c r="K184" s="271"/>
      <c r="L184" s="271"/>
      <c r="M184" s="271"/>
      <c r="N184" s="271"/>
      <c r="O184" s="271"/>
      <c r="P184" s="271"/>
      <c r="Q184" s="271"/>
      <c r="R184" s="271"/>
      <c r="S184" s="271"/>
      <c r="T184" s="271"/>
      <c r="U184" s="271"/>
      <c r="V184" s="271"/>
      <c r="W184" s="271"/>
      <c r="X184" s="271"/>
      <c r="Y184" s="271"/>
      <c r="Z184" s="271"/>
      <c r="AA184" s="271"/>
      <c r="AB184" s="271"/>
      <c r="AC184" s="271"/>
      <c r="AD184" s="271"/>
    </row>
    <row r="185">
      <c r="A185" s="271"/>
      <c r="B185" s="271"/>
      <c r="C185" s="271"/>
      <c r="D185" s="271"/>
      <c r="E185" s="271"/>
      <c r="F185" s="271"/>
      <c r="G185" s="271"/>
      <c r="H185" s="271"/>
      <c r="I185" s="271"/>
      <c r="J185" s="271"/>
      <c r="K185" s="271"/>
      <c r="L185" s="271"/>
      <c r="M185" s="271"/>
      <c r="N185" s="271"/>
      <c r="O185" s="271"/>
      <c r="P185" s="271"/>
      <c r="Q185" s="271"/>
      <c r="R185" s="271"/>
      <c r="S185" s="271"/>
      <c r="T185" s="271"/>
      <c r="U185" s="271"/>
      <c r="V185" s="271"/>
      <c r="W185" s="271"/>
      <c r="X185" s="271"/>
      <c r="Y185" s="271"/>
      <c r="Z185" s="271"/>
      <c r="AA185" s="271"/>
      <c r="AB185" s="271"/>
      <c r="AC185" s="271"/>
      <c r="AD185" s="271"/>
    </row>
    <row r="186">
      <c r="A186" s="271"/>
      <c r="B186" s="271"/>
      <c r="C186" s="271"/>
      <c r="D186" s="271"/>
      <c r="E186" s="271"/>
      <c r="F186" s="271"/>
      <c r="G186" s="271"/>
      <c r="H186" s="271"/>
      <c r="I186" s="271"/>
      <c r="J186" s="271"/>
      <c r="K186" s="271"/>
      <c r="L186" s="271"/>
      <c r="M186" s="271"/>
      <c r="N186" s="271"/>
      <c r="O186" s="271"/>
      <c r="P186" s="271"/>
      <c r="Q186" s="271"/>
      <c r="R186" s="271"/>
      <c r="S186" s="271"/>
      <c r="T186" s="271"/>
      <c r="U186" s="271"/>
      <c r="V186" s="271"/>
      <c r="W186" s="271"/>
      <c r="X186" s="271"/>
      <c r="Y186" s="271"/>
      <c r="Z186" s="271"/>
      <c r="AA186" s="271"/>
      <c r="AB186" s="271"/>
      <c r="AC186" s="271"/>
      <c r="AD186" s="271"/>
    </row>
    <row r="187">
      <c r="A187" s="271"/>
      <c r="B187" s="271"/>
      <c r="C187" s="271"/>
      <c r="D187" s="271"/>
      <c r="E187" s="271"/>
      <c r="F187" s="271"/>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row>
    <row r="188">
      <c r="A188" s="271"/>
      <c r="B188" s="271"/>
      <c r="C188" s="271"/>
      <c r="D188" s="271"/>
      <c r="E188" s="271"/>
      <c r="F188" s="271"/>
      <c r="G188" s="271"/>
      <c r="H188" s="271"/>
      <c r="I188" s="271"/>
      <c r="J188" s="271"/>
      <c r="K188" s="271"/>
      <c r="L188" s="271"/>
      <c r="M188" s="271"/>
      <c r="N188" s="271"/>
      <c r="O188" s="271"/>
      <c r="P188" s="271"/>
      <c r="Q188" s="271"/>
      <c r="R188" s="271"/>
      <c r="S188" s="271"/>
      <c r="T188" s="271"/>
      <c r="U188" s="271"/>
      <c r="V188" s="271"/>
      <c r="W188" s="271"/>
      <c r="X188" s="271"/>
      <c r="Y188" s="271"/>
      <c r="Z188" s="271"/>
      <c r="AA188" s="271"/>
      <c r="AB188" s="271"/>
      <c r="AC188" s="271"/>
      <c r="AD188" s="271"/>
    </row>
    <row r="189">
      <c r="A189" s="271"/>
      <c r="B189" s="271"/>
      <c r="C189" s="271"/>
      <c r="D189" s="271"/>
      <c r="E189" s="271"/>
      <c r="F189" s="271"/>
      <c r="G189" s="271"/>
      <c r="H189" s="271"/>
      <c r="I189" s="271"/>
      <c r="J189" s="271"/>
      <c r="K189" s="271"/>
      <c r="L189" s="271"/>
      <c r="M189" s="271"/>
      <c r="N189" s="271"/>
      <c r="O189" s="271"/>
      <c r="P189" s="271"/>
      <c r="Q189" s="271"/>
      <c r="R189" s="271"/>
      <c r="S189" s="271"/>
      <c r="T189" s="271"/>
      <c r="U189" s="271"/>
      <c r="V189" s="271"/>
      <c r="W189" s="271"/>
      <c r="X189" s="271"/>
      <c r="Y189" s="271"/>
      <c r="Z189" s="271"/>
      <c r="AA189" s="271"/>
      <c r="AB189" s="271"/>
      <c r="AC189" s="271"/>
      <c r="AD189" s="271"/>
    </row>
    <row r="190">
      <c r="A190" s="271"/>
      <c r="B190" s="271"/>
      <c r="C190" s="271"/>
      <c r="D190" s="271"/>
      <c r="E190" s="271"/>
      <c r="F190" s="271"/>
      <c r="G190" s="271"/>
      <c r="H190" s="271"/>
      <c r="I190" s="271"/>
      <c r="J190" s="271"/>
      <c r="K190" s="271"/>
      <c r="L190" s="271"/>
      <c r="M190" s="271"/>
      <c r="N190" s="271"/>
      <c r="O190" s="271"/>
      <c r="P190" s="271"/>
      <c r="Q190" s="271"/>
      <c r="R190" s="271"/>
      <c r="S190" s="271"/>
      <c r="T190" s="271"/>
      <c r="U190" s="271"/>
      <c r="V190" s="271"/>
      <c r="W190" s="271"/>
      <c r="X190" s="271"/>
      <c r="Y190" s="271"/>
      <c r="Z190" s="271"/>
      <c r="AA190" s="271"/>
      <c r="AB190" s="271"/>
      <c r="AC190" s="271"/>
      <c r="AD190" s="271"/>
    </row>
    <row r="191">
      <c r="A191" s="271"/>
      <c r="B191" s="271"/>
      <c r="C191" s="271"/>
      <c r="D191" s="271"/>
      <c r="E191" s="271"/>
      <c r="F191" s="271"/>
      <c r="G191" s="271"/>
      <c r="H191" s="271"/>
      <c r="I191" s="271"/>
      <c r="J191" s="271"/>
      <c r="K191" s="271"/>
      <c r="L191" s="271"/>
      <c r="M191" s="271"/>
      <c r="N191" s="271"/>
      <c r="O191" s="271"/>
      <c r="P191" s="271"/>
      <c r="Q191" s="271"/>
      <c r="R191" s="271"/>
      <c r="S191" s="271"/>
      <c r="T191" s="271"/>
      <c r="U191" s="271"/>
      <c r="V191" s="271"/>
      <c r="W191" s="271"/>
      <c r="X191" s="271"/>
      <c r="Y191" s="271"/>
      <c r="Z191" s="271"/>
      <c r="AA191" s="271"/>
      <c r="AB191" s="271"/>
      <c r="AC191" s="271"/>
      <c r="AD191" s="271"/>
    </row>
    <row r="192">
      <c r="A192" s="271"/>
      <c r="B192" s="271"/>
      <c r="C192" s="271"/>
      <c r="D192" s="271"/>
      <c r="E192" s="271"/>
      <c r="F192" s="271"/>
      <c r="G192" s="271"/>
      <c r="H192" s="271"/>
      <c r="I192" s="271"/>
      <c r="J192" s="271"/>
      <c r="K192" s="271"/>
      <c r="L192" s="271"/>
      <c r="M192" s="271"/>
      <c r="N192" s="271"/>
      <c r="O192" s="271"/>
      <c r="P192" s="271"/>
      <c r="Q192" s="271"/>
      <c r="R192" s="271"/>
      <c r="S192" s="271"/>
      <c r="T192" s="271"/>
      <c r="U192" s="271"/>
      <c r="V192" s="271"/>
      <c r="W192" s="271"/>
      <c r="X192" s="271"/>
      <c r="Y192" s="271"/>
      <c r="Z192" s="271"/>
      <c r="AA192" s="271"/>
      <c r="AB192" s="271"/>
      <c r="AC192" s="271"/>
      <c r="AD192" s="271"/>
    </row>
    <row r="193">
      <c r="A193" s="271"/>
      <c r="B193" s="271"/>
      <c r="C193" s="271"/>
      <c r="D193" s="271"/>
      <c r="E193" s="271"/>
      <c r="F193" s="271"/>
      <c r="G193" s="271"/>
      <c r="H193" s="271"/>
      <c r="I193" s="271"/>
      <c r="J193" s="271"/>
      <c r="K193" s="271"/>
      <c r="L193" s="271"/>
      <c r="M193" s="271"/>
      <c r="N193" s="271"/>
      <c r="O193" s="271"/>
      <c r="P193" s="271"/>
      <c r="Q193" s="271"/>
      <c r="R193" s="271"/>
      <c r="S193" s="271"/>
      <c r="T193" s="271"/>
      <c r="U193" s="271"/>
      <c r="V193" s="271"/>
      <c r="W193" s="271"/>
      <c r="X193" s="271"/>
      <c r="Y193" s="271"/>
      <c r="Z193" s="271"/>
      <c r="AA193" s="271"/>
      <c r="AB193" s="271"/>
      <c r="AC193" s="271"/>
      <c r="AD193" s="271"/>
    </row>
    <row r="194">
      <c r="A194" s="271"/>
      <c r="B194" s="271"/>
      <c r="C194" s="271"/>
      <c r="D194" s="271"/>
      <c r="E194" s="271"/>
      <c r="F194" s="271"/>
      <c r="G194" s="271"/>
      <c r="H194" s="271"/>
      <c r="I194" s="271"/>
      <c r="J194" s="271"/>
      <c r="K194" s="271"/>
      <c r="L194" s="271"/>
      <c r="M194" s="271"/>
      <c r="N194" s="271"/>
      <c r="O194" s="271"/>
      <c r="P194" s="271"/>
      <c r="Q194" s="271"/>
      <c r="R194" s="271"/>
      <c r="S194" s="271"/>
      <c r="T194" s="271"/>
      <c r="U194" s="271"/>
      <c r="V194" s="271"/>
      <c r="W194" s="271"/>
      <c r="X194" s="271"/>
      <c r="Y194" s="271"/>
      <c r="Z194" s="271"/>
      <c r="AA194" s="271"/>
      <c r="AB194" s="271"/>
      <c r="AC194" s="271"/>
      <c r="AD194" s="271"/>
    </row>
    <row r="195">
      <c r="A195" s="271"/>
      <c r="B195" s="271"/>
      <c r="C195" s="271"/>
      <c r="D195" s="271"/>
      <c r="E195" s="271"/>
      <c r="F195" s="271"/>
      <c r="G195" s="271"/>
      <c r="H195" s="271"/>
      <c r="I195" s="271"/>
      <c r="J195" s="271"/>
      <c r="K195" s="271"/>
      <c r="L195" s="271"/>
      <c r="M195" s="271"/>
      <c r="N195" s="271"/>
      <c r="O195" s="271"/>
      <c r="P195" s="271"/>
      <c r="Q195" s="271"/>
      <c r="R195" s="271"/>
      <c r="S195" s="271"/>
      <c r="T195" s="271"/>
      <c r="U195" s="271"/>
      <c r="V195" s="271"/>
      <c r="W195" s="271"/>
      <c r="X195" s="271"/>
      <c r="Y195" s="271"/>
      <c r="Z195" s="271"/>
      <c r="AA195" s="271"/>
      <c r="AB195" s="271"/>
      <c r="AC195" s="271"/>
      <c r="AD195" s="271"/>
    </row>
    <row r="196">
      <c r="A196" s="271"/>
      <c r="B196" s="271"/>
      <c r="C196" s="271"/>
      <c r="D196" s="271"/>
      <c r="E196" s="271"/>
      <c r="F196" s="271"/>
      <c r="G196" s="271"/>
      <c r="H196" s="271"/>
      <c r="I196" s="271"/>
      <c r="J196" s="271"/>
      <c r="K196" s="271"/>
      <c r="L196" s="271"/>
      <c r="M196" s="271"/>
      <c r="N196" s="271"/>
      <c r="O196" s="271"/>
      <c r="P196" s="271"/>
      <c r="Q196" s="271"/>
      <c r="R196" s="271"/>
      <c r="S196" s="271"/>
      <c r="T196" s="271"/>
      <c r="U196" s="271"/>
      <c r="V196" s="271"/>
      <c r="W196" s="271"/>
      <c r="X196" s="271"/>
      <c r="Y196" s="271"/>
      <c r="Z196" s="271"/>
      <c r="AA196" s="271"/>
      <c r="AB196" s="271"/>
      <c r="AC196" s="271"/>
      <c r="AD196" s="271"/>
    </row>
    <row r="197">
      <c r="A197" s="271"/>
      <c r="B197" s="271"/>
      <c r="C197" s="271"/>
      <c r="D197" s="271"/>
      <c r="E197" s="271"/>
      <c r="F197" s="271"/>
      <c r="G197" s="271"/>
      <c r="H197" s="271"/>
      <c r="I197" s="271"/>
      <c r="J197" s="271"/>
      <c r="K197" s="271"/>
      <c r="L197" s="271"/>
      <c r="M197" s="271"/>
      <c r="N197" s="271"/>
      <c r="O197" s="271"/>
      <c r="P197" s="271"/>
      <c r="Q197" s="271"/>
      <c r="R197" s="271"/>
      <c r="S197" s="271"/>
      <c r="T197" s="271"/>
      <c r="U197" s="271"/>
      <c r="V197" s="271"/>
      <c r="W197" s="271"/>
      <c r="X197" s="271"/>
      <c r="Y197" s="271"/>
      <c r="Z197" s="271"/>
      <c r="AA197" s="271"/>
      <c r="AB197" s="271"/>
      <c r="AC197" s="271"/>
      <c r="AD197" s="271"/>
    </row>
    <row r="198">
      <c r="A198" s="271"/>
      <c r="B198" s="271"/>
      <c r="C198" s="271"/>
      <c r="D198" s="271"/>
      <c r="E198" s="271"/>
      <c r="F198" s="271"/>
      <c r="G198" s="271"/>
      <c r="H198" s="271"/>
      <c r="I198" s="271"/>
      <c r="J198" s="271"/>
      <c r="K198" s="271"/>
      <c r="L198" s="271"/>
      <c r="M198" s="271"/>
      <c r="N198" s="271"/>
      <c r="O198" s="271"/>
      <c r="P198" s="271"/>
      <c r="Q198" s="271"/>
      <c r="R198" s="271"/>
      <c r="S198" s="271"/>
      <c r="T198" s="271"/>
      <c r="U198" s="271"/>
      <c r="V198" s="271"/>
      <c r="W198" s="271"/>
      <c r="X198" s="271"/>
      <c r="Y198" s="271"/>
      <c r="Z198" s="271"/>
      <c r="AA198" s="271"/>
      <c r="AB198" s="271"/>
      <c r="AC198" s="271"/>
      <c r="AD198" s="271"/>
    </row>
    <row r="199">
      <c r="A199" s="271"/>
      <c r="B199" s="271"/>
      <c r="C199" s="271"/>
      <c r="D199" s="271"/>
      <c r="E199" s="271"/>
      <c r="F199" s="271"/>
      <c r="G199" s="271"/>
      <c r="H199" s="271"/>
      <c r="I199" s="271"/>
      <c r="J199" s="271"/>
      <c r="K199" s="271"/>
      <c r="L199" s="271"/>
      <c r="M199" s="271"/>
      <c r="N199" s="271"/>
      <c r="O199" s="271"/>
      <c r="P199" s="271"/>
      <c r="Q199" s="271"/>
      <c r="R199" s="271"/>
      <c r="S199" s="271"/>
      <c r="T199" s="271"/>
      <c r="U199" s="271"/>
      <c r="V199" s="271"/>
      <c r="W199" s="271"/>
      <c r="X199" s="271"/>
      <c r="Y199" s="271"/>
      <c r="Z199" s="271"/>
      <c r="AA199" s="271"/>
      <c r="AB199" s="271"/>
      <c r="AC199" s="271"/>
      <c r="AD199" s="271"/>
    </row>
    <row r="200">
      <c r="A200" s="271"/>
      <c r="B200" s="271"/>
      <c r="C200" s="271"/>
      <c r="D200" s="271"/>
      <c r="E200" s="271"/>
      <c r="F200" s="271"/>
      <c r="G200" s="271"/>
      <c r="H200" s="271"/>
      <c r="I200" s="271"/>
      <c r="J200" s="271"/>
      <c r="K200" s="271"/>
      <c r="L200" s="271"/>
      <c r="M200" s="271"/>
      <c r="N200" s="271"/>
      <c r="O200" s="271"/>
      <c r="P200" s="271"/>
      <c r="Q200" s="271"/>
      <c r="R200" s="271"/>
      <c r="S200" s="271"/>
      <c r="T200" s="271"/>
      <c r="U200" s="271"/>
      <c r="V200" s="271"/>
      <c r="W200" s="271"/>
      <c r="X200" s="271"/>
      <c r="Y200" s="271"/>
      <c r="Z200" s="271"/>
      <c r="AA200" s="271"/>
      <c r="AB200" s="271"/>
      <c r="AC200" s="271"/>
      <c r="AD200" s="271"/>
    </row>
    <row r="201">
      <c r="A201" s="271"/>
      <c r="B201" s="271"/>
      <c r="C201" s="271"/>
      <c r="D201" s="271"/>
      <c r="E201" s="271"/>
      <c r="F201" s="271"/>
      <c r="G201" s="271"/>
      <c r="H201" s="271"/>
      <c r="I201" s="271"/>
      <c r="J201" s="271"/>
      <c r="K201" s="271"/>
      <c r="L201" s="271"/>
      <c r="M201" s="271"/>
      <c r="N201" s="271"/>
      <c r="O201" s="271"/>
      <c r="P201" s="271"/>
      <c r="Q201" s="271"/>
      <c r="R201" s="271"/>
      <c r="S201" s="271"/>
      <c r="T201" s="271"/>
      <c r="U201" s="271"/>
      <c r="V201" s="271"/>
      <c r="W201" s="271"/>
      <c r="X201" s="271"/>
      <c r="Y201" s="271"/>
      <c r="Z201" s="271"/>
      <c r="AA201" s="271"/>
      <c r="AB201" s="271"/>
      <c r="AC201" s="271"/>
      <c r="AD201" s="271"/>
    </row>
    <row r="202">
      <c r="A202" s="271"/>
      <c r="B202" s="271"/>
      <c r="C202" s="271"/>
      <c r="D202" s="271"/>
      <c r="E202" s="271"/>
      <c r="F202" s="271"/>
      <c r="G202" s="271"/>
      <c r="H202" s="271"/>
      <c r="I202" s="271"/>
      <c r="J202" s="271"/>
      <c r="K202" s="271"/>
      <c r="L202" s="271"/>
      <c r="M202" s="271"/>
      <c r="N202" s="271"/>
      <c r="O202" s="271"/>
      <c r="P202" s="271"/>
      <c r="Q202" s="271"/>
      <c r="R202" s="271"/>
      <c r="S202" s="271"/>
      <c r="T202" s="271"/>
      <c r="U202" s="271"/>
      <c r="V202" s="271"/>
      <c r="W202" s="271"/>
      <c r="X202" s="271"/>
      <c r="Y202" s="271"/>
      <c r="Z202" s="271"/>
      <c r="AA202" s="271"/>
      <c r="AB202" s="271"/>
      <c r="AC202" s="271"/>
      <c r="AD202" s="271"/>
    </row>
    <row r="203">
      <c r="A203" s="271"/>
      <c r="B203" s="271"/>
      <c r="C203" s="271"/>
      <c r="D203" s="271"/>
      <c r="E203" s="271"/>
      <c r="F203" s="271"/>
      <c r="G203" s="271"/>
      <c r="H203" s="271"/>
      <c r="I203" s="271"/>
      <c r="J203" s="271"/>
      <c r="K203" s="271"/>
      <c r="L203" s="271"/>
      <c r="M203" s="271"/>
      <c r="N203" s="271"/>
      <c r="O203" s="271"/>
      <c r="P203" s="271"/>
      <c r="Q203" s="271"/>
      <c r="R203" s="271"/>
      <c r="S203" s="271"/>
      <c r="T203" s="271"/>
      <c r="U203" s="271"/>
      <c r="V203" s="271"/>
      <c r="W203" s="271"/>
      <c r="X203" s="271"/>
      <c r="Y203" s="271"/>
      <c r="Z203" s="271"/>
      <c r="AA203" s="271"/>
      <c r="AB203" s="271"/>
      <c r="AC203" s="271"/>
      <c r="AD203" s="271"/>
    </row>
    <row r="204">
      <c r="A204" s="271"/>
      <c r="B204" s="271"/>
      <c r="C204" s="271"/>
      <c r="D204" s="271"/>
      <c r="E204" s="271"/>
      <c r="F204" s="271"/>
      <c r="G204" s="271"/>
      <c r="H204" s="271"/>
      <c r="I204" s="271"/>
      <c r="J204" s="271"/>
      <c r="K204" s="271"/>
      <c r="L204" s="271"/>
      <c r="M204" s="271"/>
      <c r="N204" s="271"/>
      <c r="O204" s="271"/>
      <c r="P204" s="271"/>
      <c r="Q204" s="271"/>
      <c r="R204" s="271"/>
      <c r="S204" s="271"/>
      <c r="T204" s="271"/>
      <c r="U204" s="271"/>
      <c r="V204" s="271"/>
      <c r="W204" s="271"/>
      <c r="X204" s="271"/>
      <c r="Y204" s="271"/>
      <c r="Z204" s="271"/>
      <c r="AA204" s="271"/>
      <c r="AB204" s="271"/>
      <c r="AC204" s="271"/>
      <c r="AD204" s="271"/>
    </row>
    <row r="205">
      <c r="A205" s="271"/>
      <c r="B205" s="271"/>
      <c r="C205" s="271"/>
      <c r="D205" s="271"/>
      <c r="E205" s="271"/>
      <c r="F205" s="271"/>
      <c r="G205" s="271"/>
      <c r="H205" s="271"/>
      <c r="I205" s="271"/>
      <c r="J205" s="271"/>
      <c r="K205" s="271"/>
      <c r="L205" s="271"/>
      <c r="M205" s="271"/>
      <c r="N205" s="271"/>
      <c r="O205" s="271"/>
      <c r="P205" s="271"/>
      <c r="Q205" s="271"/>
      <c r="R205" s="271"/>
      <c r="S205" s="271"/>
      <c r="T205" s="271"/>
      <c r="U205" s="271"/>
      <c r="V205" s="271"/>
      <c r="W205" s="271"/>
      <c r="X205" s="271"/>
      <c r="Y205" s="271"/>
      <c r="Z205" s="271"/>
      <c r="AA205" s="271"/>
      <c r="AB205" s="271"/>
      <c r="AC205" s="271"/>
      <c r="AD205" s="271"/>
    </row>
    <row r="206">
      <c r="A206" s="271"/>
      <c r="B206" s="271"/>
      <c r="C206" s="271"/>
      <c r="D206" s="271"/>
      <c r="E206" s="271"/>
      <c r="F206" s="271"/>
      <c r="G206" s="271"/>
      <c r="H206" s="271"/>
      <c r="I206" s="271"/>
      <c r="J206" s="271"/>
      <c r="K206" s="271"/>
      <c r="L206" s="271"/>
      <c r="M206" s="271"/>
      <c r="N206" s="271"/>
      <c r="O206" s="271"/>
      <c r="P206" s="271"/>
      <c r="Q206" s="271"/>
      <c r="R206" s="271"/>
      <c r="S206" s="271"/>
      <c r="T206" s="271"/>
      <c r="U206" s="271"/>
      <c r="V206" s="271"/>
      <c r="W206" s="271"/>
      <c r="X206" s="271"/>
      <c r="Y206" s="271"/>
      <c r="Z206" s="271"/>
      <c r="AA206" s="271"/>
      <c r="AB206" s="271"/>
      <c r="AC206" s="271"/>
      <c r="AD206" s="271"/>
    </row>
    <row r="207">
      <c r="A207" s="271"/>
      <c r="B207" s="271"/>
      <c r="C207" s="271"/>
      <c r="D207" s="271"/>
      <c r="E207" s="271"/>
      <c r="F207" s="271"/>
      <c r="G207" s="271"/>
      <c r="H207" s="271"/>
      <c r="I207" s="271"/>
      <c r="J207" s="271"/>
      <c r="K207" s="271"/>
      <c r="L207" s="271"/>
      <c r="M207" s="271"/>
      <c r="N207" s="271"/>
      <c r="O207" s="271"/>
      <c r="P207" s="271"/>
      <c r="Q207" s="271"/>
      <c r="R207" s="271"/>
      <c r="S207" s="271"/>
      <c r="T207" s="271"/>
      <c r="U207" s="271"/>
      <c r="V207" s="271"/>
      <c r="W207" s="271"/>
      <c r="X207" s="271"/>
      <c r="Y207" s="271"/>
      <c r="Z207" s="271"/>
      <c r="AA207" s="271"/>
      <c r="AB207" s="271"/>
      <c r="AC207" s="271"/>
      <c r="AD207" s="271"/>
    </row>
    <row r="208">
      <c r="A208" s="271"/>
      <c r="B208" s="271"/>
      <c r="C208" s="271"/>
      <c r="D208" s="271"/>
      <c r="E208" s="271"/>
      <c r="F208" s="271"/>
      <c r="G208" s="271"/>
      <c r="H208" s="271"/>
      <c r="I208" s="271"/>
      <c r="J208" s="271"/>
      <c r="K208" s="271"/>
      <c r="L208" s="271"/>
      <c r="M208" s="271"/>
      <c r="N208" s="271"/>
      <c r="O208" s="271"/>
      <c r="P208" s="271"/>
      <c r="Q208" s="271"/>
      <c r="R208" s="271"/>
      <c r="S208" s="271"/>
      <c r="T208" s="271"/>
      <c r="U208" s="271"/>
      <c r="V208" s="271"/>
      <c r="W208" s="271"/>
      <c r="X208" s="271"/>
      <c r="Y208" s="271"/>
      <c r="Z208" s="271"/>
      <c r="AA208" s="271"/>
      <c r="AB208" s="271"/>
      <c r="AC208" s="271"/>
      <c r="AD208" s="271"/>
    </row>
    <row r="209">
      <c r="A209" s="271"/>
      <c r="B209" s="271"/>
      <c r="C209" s="271"/>
      <c r="D209" s="271"/>
      <c r="E209" s="271"/>
      <c r="F209" s="271"/>
      <c r="G209" s="271"/>
      <c r="H209" s="271"/>
      <c r="I209" s="271"/>
      <c r="J209" s="271"/>
      <c r="K209" s="271"/>
      <c r="L209" s="271"/>
      <c r="M209" s="271"/>
      <c r="N209" s="271"/>
      <c r="O209" s="271"/>
      <c r="P209" s="271"/>
      <c r="Q209" s="271"/>
      <c r="R209" s="271"/>
      <c r="S209" s="271"/>
      <c r="T209" s="271"/>
      <c r="U209" s="271"/>
      <c r="V209" s="271"/>
      <c r="W209" s="271"/>
      <c r="X209" s="271"/>
      <c r="Y209" s="271"/>
      <c r="Z209" s="271"/>
      <c r="AA209" s="271"/>
      <c r="AB209" s="271"/>
      <c r="AC209" s="271"/>
      <c r="AD209" s="271"/>
    </row>
    <row r="210">
      <c r="A210" s="271"/>
      <c r="B210" s="271"/>
      <c r="C210" s="271"/>
      <c r="D210" s="271"/>
      <c r="E210" s="271"/>
      <c r="F210" s="271"/>
      <c r="G210" s="271"/>
      <c r="H210" s="271"/>
      <c r="I210" s="271"/>
      <c r="J210" s="271"/>
      <c r="K210" s="271"/>
      <c r="L210" s="271"/>
      <c r="M210" s="271"/>
      <c r="N210" s="271"/>
      <c r="O210" s="271"/>
      <c r="P210" s="271"/>
      <c r="Q210" s="271"/>
      <c r="R210" s="271"/>
      <c r="S210" s="271"/>
      <c r="T210" s="271"/>
      <c r="U210" s="271"/>
      <c r="V210" s="271"/>
      <c r="W210" s="271"/>
      <c r="X210" s="271"/>
      <c r="Y210" s="271"/>
      <c r="Z210" s="271"/>
      <c r="AA210" s="271"/>
      <c r="AB210" s="271"/>
      <c r="AC210" s="271"/>
      <c r="AD210" s="271"/>
    </row>
    <row r="211">
      <c r="A211" s="271"/>
      <c r="B211" s="271"/>
      <c r="C211" s="271"/>
      <c r="D211" s="271"/>
      <c r="E211" s="271"/>
      <c r="F211" s="271"/>
      <c r="G211" s="271"/>
      <c r="H211" s="271"/>
      <c r="I211" s="271"/>
      <c r="J211" s="271"/>
      <c r="K211" s="271"/>
      <c r="L211" s="271"/>
      <c r="M211" s="271"/>
      <c r="N211" s="271"/>
      <c r="O211" s="271"/>
      <c r="P211" s="271"/>
      <c r="Q211" s="271"/>
      <c r="R211" s="271"/>
      <c r="S211" s="271"/>
      <c r="T211" s="271"/>
      <c r="U211" s="271"/>
      <c r="V211" s="271"/>
      <c r="W211" s="271"/>
      <c r="X211" s="271"/>
      <c r="Y211" s="271"/>
      <c r="Z211" s="271"/>
      <c r="AA211" s="271"/>
      <c r="AB211" s="271"/>
      <c r="AC211" s="271"/>
      <c r="AD211" s="271"/>
    </row>
    <row r="212">
      <c r="A212" s="271"/>
      <c r="B212" s="271"/>
      <c r="C212" s="271"/>
      <c r="D212" s="271"/>
      <c r="E212" s="271"/>
      <c r="F212" s="271"/>
      <c r="G212" s="271"/>
      <c r="H212" s="271"/>
      <c r="I212" s="271"/>
      <c r="J212" s="271"/>
      <c r="K212" s="271"/>
      <c r="L212" s="271"/>
      <c r="M212" s="271"/>
      <c r="N212" s="271"/>
      <c r="O212" s="271"/>
      <c r="P212" s="271"/>
      <c r="Q212" s="271"/>
      <c r="R212" s="271"/>
      <c r="S212" s="271"/>
      <c r="T212" s="271"/>
      <c r="U212" s="271"/>
      <c r="V212" s="271"/>
      <c r="W212" s="271"/>
      <c r="X212" s="271"/>
      <c r="Y212" s="271"/>
      <c r="Z212" s="271"/>
      <c r="AA212" s="271"/>
      <c r="AB212" s="271"/>
      <c r="AC212" s="271"/>
      <c r="AD212" s="271"/>
    </row>
    <row r="213">
      <c r="A213" s="271"/>
      <c r="B213" s="271"/>
      <c r="C213" s="271"/>
      <c r="D213" s="271"/>
      <c r="E213" s="271"/>
      <c r="F213" s="271"/>
      <c r="G213" s="271"/>
      <c r="H213" s="271"/>
      <c r="I213" s="271"/>
      <c r="J213" s="271"/>
      <c r="K213" s="271"/>
      <c r="L213" s="271"/>
      <c r="M213" s="271"/>
      <c r="N213" s="271"/>
      <c r="O213" s="271"/>
      <c r="P213" s="271"/>
      <c r="Q213" s="271"/>
      <c r="R213" s="271"/>
      <c r="S213" s="271"/>
      <c r="T213" s="271"/>
      <c r="U213" s="271"/>
      <c r="V213" s="271"/>
      <c r="W213" s="271"/>
      <c r="X213" s="271"/>
      <c r="Y213" s="271"/>
      <c r="Z213" s="271"/>
      <c r="AA213" s="271"/>
      <c r="AB213" s="271"/>
      <c r="AC213" s="271"/>
      <c r="AD213" s="271"/>
    </row>
    <row r="214">
      <c r="A214" s="271"/>
      <c r="B214" s="271"/>
      <c r="C214" s="271"/>
      <c r="D214" s="271"/>
      <c r="E214" s="271"/>
      <c r="F214" s="271"/>
      <c r="G214" s="271"/>
      <c r="H214" s="271"/>
      <c r="I214" s="271"/>
      <c r="J214" s="271"/>
      <c r="K214" s="271"/>
      <c r="L214" s="271"/>
      <c r="M214" s="271"/>
      <c r="N214" s="271"/>
      <c r="O214" s="271"/>
      <c r="P214" s="271"/>
      <c r="Q214" s="271"/>
      <c r="R214" s="271"/>
      <c r="S214" s="271"/>
      <c r="T214" s="271"/>
      <c r="U214" s="271"/>
      <c r="V214" s="271"/>
      <c r="W214" s="271"/>
      <c r="X214" s="271"/>
      <c r="Y214" s="271"/>
      <c r="Z214" s="271"/>
      <c r="AA214" s="271"/>
      <c r="AB214" s="271"/>
      <c r="AC214" s="271"/>
      <c r="AD214" s="271"/>
    </row>
    <row r="215">
      <c r="A215" s="271"/>
      <c r="B215" s="271"/>
      <c r="C215" s="271"/>
      <c r="D215" s="271"/>
      <c r="E215" s="271"/>
      <c r="F215" s="271"/>
      <c r="G215" s="271"/>
      <c r="H215" s="271"/>
      <c r="I215" s="271"/>
      <c r="J215" s="271"/>
      <c r="K215" s="271"/>
      <c r="L215" s="271"/>
      <c r="M215" s="271"/>
      <c r="N215" s="271"/>
      <c r="O215" s="271"/>
      <c r="P215" s="271"/>
      <c r="Q215" s="271"/>
      <c r="R215" s="271"/>
      <c r="S215" s="271"/>
      <c r="T215" s="271"/>
      <c r="U215" s="271"/>
      <c r="V215" s="271"/>
      <c r="W215" s="271"/>
      <c r="X215" s="271"/>
      <c r="Y215" s="271"/>
      <c r="Z215" s="271"/>
      <c r="AA215" s="271"/>
      <c r="AB215" s="271"/>
      <c r="AC215" s="271"/>
      <c r="AD215" s="271"/>
    </row>
    <row r="216">
      <c r="A216" s="271"/>
      <c r="B216" s="271"/>
      <c r="C216" s="271"/>
      <c r="D216" s="271"/>
      <c r="E216" s="271"/>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row>
    <row r="217">
      <c r="A217" s="271"/>
      <c r="B217" s="271"/>
      <c r="C217" s="271"/>
      <c r="D217" s="271"/>
      <c r="E217" s="271"/>
      <c r="F217" s="271"/>
      <c r="G217" s="271"/>
      <c r="H217" s="271"/>
      <c r="I217" s="271"/>
      <c r="J217" s="271"/>
      <c r="K217" s="271"/>
      <c r="L217" s="271"/>
      <c r="M217" s="271"/>
      <c r="N217" s="271"/>
      <c r="O217" s="271"/>
      <c r="P217" s="271"/>
      <c r="Q217" s="271"/>
      <c r="R217" s="271"/>
      <c r="S217" s="271"/>
      <c r="T217" s="271"/>
      <c r="U217" s="271"/>
      <c r="V217" s="271"/>
      <c r="W217" s="271"/>
      <c r="X217" s="271"/>
      <c r="Y217" s="271"/>
      <c r="Z217" s="271"/>
      <c r="AA217" s="271"/>
      <c r="AB217" s="271"/>
      <c r="AC217" s="271"/>
      <c r="AD217" s="271"/>
    </row>
    <row r="218">
      <c r="A218" s="271"/>
      <c r="B218" s="271"/>
      <c r="C218" s="271"/>
      <c r="D218" s="271"/>
      <c r="E218" s="271"/>
      <c r="F218" s="271"/>
      <c r="G218" s="271"/>
      <c r="H218" s="271"/>
      <c r="I218" s="271"/>
      <c r="J218" s="271"/>
      <c r="K218" s="271"/>
      <c r="L218" s="271"/>
      <c r="M218" s="271"/>
      <c r="N218" s="271"/>
      <c r="O218" s="271"/>
      <c r="P218" s="271"/>
      <c r="Q218" s="271"/>
      <c r="R218" s="271"/>
      <c r="S218" s="271"/>
      <c r="T218" s="271"/>
      <c r="U218" s="271"/>
      <c r="V218" s="271"/>
      <c r="W218" s="271"/>
      <c r="X218" s="271"/>
      <c r="Y218" s="271"/>
      <c r="Z218" s="271"/>
      <c r="AA218" s="271"/>
      <c r="AB218" s="271"/>
      <c r="AC218" s="271"/>
      <c r="AD218" s="271"/>
    </row>
    <row r="219">
      <c r="A219" s="271"/>
      <c r="B219" s="271"/>
      <c r="C219" s="271"/>
      <c r="D219" s="271"/>
      <c r="E219" s="271"/>
      <c r="F219" s="271"/>
      <c r="G219" s="271"/>
      <c r="H219" s="271"/>
      <c r="I219" s="271"/>
      <c r="J219" s="271"/>
      <c r="K219" s="271"/>
      <c r="L219" s="271"/>
      <c r="M219" s="271"/>
      <c r="N219" s="271"/>
      <c r="O219" s="271"/>
      <c r="P219" s="271"/>
      <c r="Q219" s="271"/>
      <c r="R219" s="271"/>
      <c r="S219" s="271"/>
      <c r="T219" s="271"/>
      <c r="U219" s="271"/>
      <c r="V219" s="271"/>
      <c r="W219" s="271"/>
      <c r="X219" s="271"/>
      <c r="Y219" s="271"/>
      <c r="Z219" s="271"/>
      <c r="AA219" s="271"/>
      <c r="AB219" s="271"/>
      <c r="AC219" s="271"/>
      <c r="AD219" s="271"/>
    </row>
    <row r="220">
      <c r="A220" s="271"/>
      <c r="B220" s="271"/>
      <c r="C220" s="271"/>
      <c r="D220" s="271"/>
      <c r="E220" s="271"/>
      <c r="F220" s="271"/>
      <c r="G220" s="271"/>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row>
    <row r="221">
      <c r="A221" s="271"/>
      <c r="B221" s="271"/>
      <c r="C221" s="271"/>
      <c r="D221" s="271"/>
      <c r="E221" s="271"/>
      <c r="F221" s="271"/>
      <c r="G221" s="271"/>
      <c r="H221" s="271"/>
      <c r="I221" s="271"/>
      <c r="J221" s="271"/>
      <c r="K221" s="271"/>
      <c r="L221" s="271"/>
      <c r="M221" s="271"/>
      <c r="N221" s="271"/>
      <c r="O221" s="271"/>
      <c r="P221" s="271"/>
      <c r="Q221" s="271"/>
      <c r="R221" s="271"/>
      <c r="S221" s="271"/>
      <c r="T221" s="271"/>
      <c r="U221" s="271"/>
      <c r="V221" s="271"/>
      <c r="W221" s="271"/>
      <c r="X221" s="271"/>
      <c r="Y221" s="271"/>
      <c r="Z221" s="271"/>
      <c r="AA221" s="271"/>
      <c r="AB221" s="271"/>
      <c r="AC221" s="271"/>
      <c r="AD221" s="271"/>
    </row>
    <row r="222">
      <c r="A222" s="271"/>
      <c r="B222" s="271"/>
      <c r="C222" s="271"/>
      <c r="D222" s="271"/>
      <c r="E222" s="271"/>
      <c r="F222" s="271"/>
      <c r="G222" s="271"/>
      <c r="H222" s="271"/>
      <c r="I222" s="271"/>
      <c r="J222" s="271"/>
      <c r="K222" s="271"/>
      <c r="L222" s="271"/>
      <c r="M222" s="271"/>
      <c r="N222" s="271"/>
      <c r="O222" s="271"/>
      <c r="P222" s="271"/>
      <c r="Q222" s="271"/>
      <c r="R222" s="271"/>
      <c r="S222" s="271"/>
      <c r="T222" s="271"/>
      <c r="U222" s="271"/>
      <c r="V222" s="271"/>
      <c r="W222" s="271"/>
      <c r="X222" s="271"/>
      <c r="Y222" s="271"/>
      <c r="Z222" s="271"/>
      <c r="AA222" s="271"/>
      <c r="AB222" s="271"/>
      <c r="AC222" s="271"/>
      <c r="AD222" s="271"/>
    </row>
    <row r="223">
      <c r="A223" s="271"/>
      <c r="B223" s="271"/>
      <c r="C223" s="271"/>
      <c r="D223" s="271"/>
      <c r="E223" s="271"/>
      <c r="F223" s="271"/>
      <c r="G223" s="271"/>
      <c r="H223" s="271"/>
      <c r="I223" s="271"/>
      <c r="J223" s="271"/>
      <c r="K223" s="271"/>
      <c r="L223" s="271"/>
      <c r="M223" s="271"/>
      <c r="N223" s="271"/>
      <c r="O223" s="271"/>
      <c r="P223" s="271"/>
      <c r="Q223" s="271"/>
      <c r="R223" s="271"/>
      <c r="S223" s="271"/>
      <c r="T223" s="271"/>
      <c r="U223" s="271"/>
      <c r="V223" s="271"/>
      <c r="W223" s="271"/>
      <c r="X223" s="271"/>
      <c r="Y223" s="271"/>
      <c r="Z223" s="271"/>
      <c r="AA223" s="271"/>
      <c r="AB223" s="271"/>
      <c r="AC223" s="271"/>
      <c r="AD223" s="271"/>
    </row>
    <row r="224">
      <c r="A224" s="271"/>
      <c r="B224" s="271"/>
      <c r="C224" s="271"/>
      <c r="D224" s="271"/>
      <c r="E224" s="271"/>
      <c r="F224" s="271"/>
      <c r="G224" s="271"/>
      <c r="H224" s="271"/>
      <c r="I224" s="271"/>
      <c r="J224" s="271"/>
      <c r="K224" s="271"/>
      <c r="L224" s="271"/>
      <c r="M224" s="271"/>
      <c r="N224" s="271"/>
      <c r="O224" s="271"/>
      <c r="P224" s="271"/>
      <c r="Q224" s="271"/>
      <c r="R224" s="271"/>
      <c r="S224" s="271"/>
      <c r="T224" s="271"/>
      <c r="U224" s="271"/>
      <c r="V224" s="271"/>
      <c r="W224" s="271"/>
      <c r="X224" s="271"/>
      <c r="Y224" s="271"/>
      <c r="Z224" s="271"/>
      <c r="AA224" s="271"/>
      <c r="AB224" s="271"/>
      <c r="AC224" s="271"/>
      <c r="AD224" s="271"/>
    </row>
    <row r="225">
      <c r="A225" s="271"/>
      <c r="B225" s="271"/>
      <c r="C225" s="271"/>
      <c r="D225" s="271"/>
      <c r="E225" s="271"/>
      <c r="F225" s="271"/>
      <c r="G225" s="271"/>
      <c r="H225" s="271"/>
      <c r="I225" s="271"/>
      <c r="J225" s="271"/>
      <c r="K225" s="271"/>
      <c r="L225" s="271"/>
      <c r="M225" s="271"/>
      <c r="N225" s="271"/>
      <c r="O225" s="271"/>
      <c r="P225" s="271"/>
      <c r="Q225" s="271"/>
      <c r="R225" s="271"/>
      <c r="S225" s="271"/>
      <c r="T225" s="271"/>
      <c r="U225" s="271"/>
      <c r="V225" s="271"/>
      <c r="W225" s="271"/>
      <c r="X225" s="271"/>
      <c r="Y225" s="271"/>
      <c r="Z225" s="271"/>
      <c r="AA225" s="271"/>
      <c r="AB225" s="271"/>
      <c r="AC225" s="271"/>
      <c r="AD225" s="271"/>
    </row>
    <row r="226">
      <c r="A226" s="271"/>
      <c r="B226" s="271"/>
      <c r="C226" s="271"/>
      <c r="D226" s="271"/>
      <c r="E226" s="271"/>
      <c r="F226" s="271"/>
      <c r="G226" s="271"/>
      <c r="H226" s="271"/>
      <c r="I226" s="271"/>
      <c r="J226" s="271"/>
      <c r="K226" s="271"/>
      <c r="L226" s="271"/>
      <c r="M226" s="271"/>
      <c r="N226" s="271"/>
      <c r="O226" s="271"/>
      <c r="P226" s="271"/>
      <c r="Q226" s="271"/>
      <c r="R226" s="271"/>
      <c r="S226" s="271"/>
      <c r="T226" s="271"/>
      <c r="U226" s="271"/>
      <c r="V226" s="271"/>
      <c r="W226" s="271"/>
      <c r="X226" s="271"/>
      <c r="Y226" s="271"/>
      <c r="Z226" s="271"/>
      <c r="AA226" s="271"/>
      <c r="AB226" s="271"/>
      <c r="AC226" s="271"/>
      <c r="AD226" s="271"/>
    </row>
    <row r="227">
      <c r="A227" s="271"/>
      <c r="B227" s="271"/>
      <c r="C227" s="271"/>
      <c r="D227" s="271"/>
      <c r="E227" s="271"/>
      <c r="F227" s="271"/>
      <c r="G227" s="271"/>
      <c r="H227" s="271"/>
      <c r="I227" s="271"/>
      <c r="J227" s="271"/>
      <c r="K227" s="271"/>
      <c r="L227" s="271"/>
      <c r="M227" s="271"/>
      <c r="N227" s="271"/>
      <c r="O227" s="271"/>
      <c r="P227" s="271"/>
      <c r="Q227" s="271"/>
      <c r="R227" s="271"/>
      <c r="S227" s="271"/>
      <c r="T227" s="271"/>
      <c r="U227" s="271"/>
      <c r="V227" s="271"/>
      <c r="W227" s="271"/>
      <c r="X227" s="271"/>
      <c r="Y227" s="271"/>
      <c r="Z227" s="271"/>
      <c r="AA227" s="271"/>
      <c r="AB227" s="271"/>
      <c r="AC227" s="271"/>
      <c r="AD227" s="271"/>
    </row>
    <row r="228">
      <c r="A228" s="271"/>
      <c r="B228" s="271"/>
      <c r="C228" s="271"/>
      <c r="D228" s="271"/>
      <c r="E228" s="271"/>
      <c r="F228" s="271"/>
      <c r="G228" s="271"/>
      <c r="H228" s="271"/>
      <c r="I228" s="271"/>
      <c r="J228" s="271"/>
      <c r="K228" s="271"/>
      <c r="L228" s="271"/>
      <c r="M228" s="271"/>
      <c r="N228" s="271"/>
      <c r="O228" s="271"/>
      <c r="P228" s="271"/>
      <c r="Q228" s="271"/>
      <c r="R228" s="271"/>
      <c r="S228" s="271"/>
      <c r="T228" s="271"/>
      <c r="U228" s="271"/>
      <c r="V228" s="271"/>
      <c r="W228" s="271"/>
      <c r="X228" s="271"/>
      <c r="Y228" s="271"/>
      <c r="Z228" s="271"/>
      <c r="AA228" s="271"/>
      <c r="AB228" s="271"/>
      <c r="AC228" s="271"/>
      <c r="AD228" s="271"/>
    </row>
    <row r="229">
      <c r="A229" s="271"/>
      <c r="B229" s="271"/>
      <c r="C229" s="271"/>
      <c r="D229" s="271"/>
      <c r="E229" s="271"/>
      <c r="F229" s="271"/>
      <c r="G229" s="271"/>
      <c r="H229" s="271"/>
      <c r="I229" s="271"/>
      <c r="J229" s="271"/>
      <c r="K229" s="271"/>
      <c r="L229" s="271"/>
      <c r="M229" s="271"/>
      <c r="N229" s="271"/>
      <c r="O229" s="271"/>
      <c r="P229" s="271"/>
      <c r="Q229" s="271"/>
      <c r="R229" s="271"/>
      <c r="S229" s="271"/>
      <c r="T229" s="271"/>
      <c r="U229" s="271"/>
      <c r="V229" s="271"/>
      <c r="W229" s="271"/>
      <c r="X229" s="271"/>
      <c r="Y229" s="271"/>
      <c r="Z229" s="271"/>
      <c r="AA229" s="271"/>
      <c r="AB229" s="271"/>
      <c r="AC229" s="271"/>
      <c r="AD229" s="271"/>
    </row>
    <row r="230">
      <c r="A230" s="271"/>
      <c r="B230" s="271"/>
      <c r="C230" s="271"/>
      <c r="D230" s="271"/>
      <c r="E230" s="271"/>
      <c r="F230" s="271"/>
      <c r="G230" s="271"/>
      <c r="H230" s="271"/>
      <c r="I230" s="271"/>
      <c r="J230" s="271"/>
      <c r="K230" s="271"/>
      <c r="L230" s="271"/>
      <c r="M230" s="271"/>
      <c r="N230" s="271"/>
      <c r="O230" s="271"/>
      <c r="P230" s="271"/>
      <c r="Q230" s="271"/>
      <c r="R230" s="271"/>
      <c r="S230" s="271"/>
      <c r="T230" s="271"/>
      <c r="U230" s="271"/>
      <c r="V230" s="271"/>
      <c r="W230" s="271"/>
      <c r="X230" s="271"/>
      <c r="Y230" s="271"/>
      <c r="Z230" s="271"/>
      <c r="AA230" s="271"/>
      <c r="AB230" s="271"/>
      <c r="AC230" s="271"/>
      <c r="AD230" s="271"/>
    </row>
    <row r="231">
      <c r="A231" s="271"/>
      <c r="B231" s="271"/>
      <c r="C231" s="271"/>
      <c r="D231" s="271"/>
      <c r="E231" s="271"/>
      <c r="F231" s="271"/>
      <c r="G231" s="271"/>
      <c r="H231" s="271"/>
      <c r="I231" s="271"/>
      <c r="J231" s="271"/>
      <c r="K231" s="271"/>
      <c r="L231" s="271"/>
      <c r="M231" s="271"/>
      <c r="N231" s="271"/>
      <c r="O231" s="271"/>
      <c r="P231" s="271"/>
      <c r="Q231" s="271"/>
      <c r="R231" s="271"/>
      <c r="S231" s="271"/>
      <c r="T231" s="271"/>
      <c r="U231" s="271"/>
      <c r="V231" s="271"/>
      <c r="W231" s="271"/>
      <c r="X231" s="271"/>
      <c r="Y231" s="271"/>
      <c r="Z231" s="271"/>
      <c r="AA231" s="271"/>
      <c r="AB231" s="271"/>
      <c r="AC231" s="271"/>
      <c r="AD231" s="271"/>
    </row>
    <row r="232">
      <c r="A232" s="271"/>
      <c r="B232" s="271"/>
      <c r="C232" s="271"/>
      <c r="D232" s="271"/>
      <c r="E232" s="271"/>
      <c r="F232" s="271"/>
      <c r="G232" s="271"/>
      <c r="H232" s="271"/>
      <c r="I232" s="271"/>
      <c r="J232" s="271"/>
      <c r="K232" s="271"/>
      <c r="L232" s="271"/>
      <c r="M232" s="271"/>
      <c r="N232" s="271"/>
      <c r="O232" s="271"/>
      <c r="P232" s="271"/>
      <c r="Q232" s="271"/>
      <c r="R232" s="271"/>
      <c r="S232" s="271"/>
      <c r="T232" s="271"/>
      <c r="U232" s="271"/>
      <c r="V232" s="271"/>
      <c r="W232" s="271"/>
      <c r="X232" s="271"/>
      <c r="Y232" s="271"/>
      <c r="Z232" s="271"/>
      <c r="AA232" s="271"/>
      <c r="AB232" s="271"/>
      <c r="AC232" s="271"/>
      <c r="AD232" s="271"/>
    </row>
    <row r="233">
      <c r="A233" s="271"/>
      <c r="B233" s="271"/>
      <c r="C233" s="271"/>
      <c r="D233" s="271"/>
      <c r="E233" s="271"/>
      <c r="F233" s="271"/>
      <c r="G233" s="271"/>
      <c r="H233" s="271"/>
      <c r="I233" s="271"/>
      <c r="J233" s="271"/>
      <c r="K233" s="271"/>
      <c r="L233" s="271"/>
      <c r="M233" s="271"/>
      <c r="N233" s="271"/>
      <c r="O233" s="271"/>
      <c r="P233" s="271"/>
      <c r="Q233" s="271"/>
      <c r="R233" s="271"/>
      <c r="S233" s="271"/>
      <c r="T233" s="271"/>
      <c r="U233" s="271"/>
      <c r="V233" s="271"/>
      <c r="W233" s="271"/>
      <c r="X233" s="271"/>
      <c r="Y233" s="271"/>
      <c r="Z233" s="271"/>
      <c r="AA233" s="271"/>
      <c r="AB233" s="271"/>
      <c r="AC233" s="271"/>
      <c r="AD233" s="271"/>
    </row>
    <row r="234">
      <c r="A234" s="271"/>
      <c r="B234" s="271"/>
      <c r="C234" s="271"/>
      <c r="D234" s="271"/>
      <c r="E234" s="271"/>
      <c r="F234" s="271"/>
      <c r="G234" s="271"/>
      <c r="H234" s="271"/>
      <c r="I234" s="271"/>
      <c r="J234" s="271"/>
      <c r="K234" s="271"/>
      <c r="L234" s="271"/>
      <c r="M234" s="271"/>
      <c r="N234" s="271"/>
      <c r="O234" s="271"/>
      <c r="P234" s="271"/>
      <c r="Q234" s="271"/>
      <c r="R234" s="271"/>
      <c r="S234" s="271"/>
      <c r="T234" s="271"/>
      <c r="U234" s="271"/>
      <c r="V234" s="271"/>
      <c r="W234" s="271"/>
      <c r="X234" s="271"/>
      <c r="Y234" s="271"/>
      <c r="Z234" s="271"/>
      <c r="AA234" s="271"/>
      <c r="AB234" s="271"/>
      <c r="AC234" s="271"/>
      <c r="AD234" s="271"/>
    </row>
    <row r="235">
      <c r="A235" s="271"/>
      <c r="B235" s="271"/>
      <c r="C235" s="271"/>
      <c r="D235" s="271"/>
      <c r="E235" s="271"/>
      <c r="F235" s="271"/>
      <c r="G235" s="271"/>
      <c r="H235" s="271"/>
      <c r="I235" s="271"/>
      <c r="J235" s="271"/>
      <c r="K235" s="271"/>
      <c r="L235" s="271"/>
      <c r="M235" s="271"/>
      <c r="N235" s="271"/>
      <c r="O235" s="271"/>
      <c r="P235" s="271"/>
      <c r="Q235" s="271"/>
      <c r="R235" s="271"/>
      <c r="S235" s="271"/>
      <c r="T235" s="271"/>
      <c r="U235" s="271"/>
      <c r="V235" s="271"/>
      <c r="W235" s="271"/>
      <c r="X235" s="271"/>
      <c r="Y235" s="271"/>
      <c r="Z235" s="271"/>
      <c r="AA235" s="271"/>
      <c r="AB235" s="271"/>
      <c r="AC235" s="271"/>
      <c r="AD235" s="271"/>
    </row>
    <row r="236">
      <c r="A236" s="271"/>
      <c r="B236" s="271"/>
      <c r="C236" s="271"/>
      <c r="D236" s="271"/>
      <c r="E236" s="271"/>
      <c r="F236" s="271"/>
      <c r="G236" s="271"/>
      <c r="H236" s="271"/>
      <c r="I236" s="271"/>
      <c r="J236" s="271"/>
      <c r="K236" s="271"/>
      <c r="L236" s="271"/>
      <c r="M236" s="271"/>
      <c r="N236" s="271"/>
      <c r="O236" s="271"/>
      <c r="P236" s="271"/>
      <c r="Q236" s="271"/>
      <c r="R236" s="271"/>
      <c r="S236" s="271"/>
      <c r="T236" s="271"/>
      <c r="U236" s="271"/>
      <c r="V236" s="271"/>
      <c r="W236" s="271"/>
      <c r="X236" s="271"/>
      <c r="Y236" s="271"/>
      <c r="Z236" s="271"/>
      <c r="AA236" s="271"/>
      <c r="AB236" s="271"/>
      <c r="AC236" s="271"/>
      <c r="AD236" s="271"/>
    </row>
    <row r="237">
      <c r="A237" s="271"/>
      <c r="B237" s="271"/>
      <c r="C237" s="271"/>
      <c r="D237" s="271"/>
      <c r="E237" s="271"/>
      <c r="F237" s="271"/>
      <c r="G237" s="271"/>
      <c r="H237" s="271"/>
      <c r="I237" s="271"/>
      <c r="J237" s="271"/>
      <c r="K237" s="271"/>
      <c r="L237" s="271"/>
      <c r="M237" s="271"/>
      <c r="N237" s="271"/>
      <c r="O237" s="271"/>
      <c r="P237" s="271"/>
      <c r="Q237" s="271"/>
      <c r="R237" s="271"/>
      <c r="S237" s="271"/>
      <c r="T237" s="271"/>
      <c r="U237" s="271"/>
      <c r="V237" s="271"/>
      <c r="W237" s="271"/>
      <c r="X237" s="271"/>
      <c r="Y237" s="271"/>
      <c r="Z237" s="271"/>
      <c r="AA237" s="271"/>
      <c r="AB237" s="271"/>
      <c r="AC237" s="271"/>
      <c r="AD237" s="271"/>
    </row>
    <row r="238">
      <c r="A238" s="271"/>
      <c r="B238" s="271"/>
      <c r="C238" s="271"/>
      <c r="D238" s="271"/>
      <c r="E238" s="271"/>
      <c r="F238" s="271"/>
      <c r="G238" s="271"/>
      <c r="H238" s="271"/>
      <c r="I238" s="271"/>
      <c r="J238" s="271"/>
      <c r="K238" s="271"/>
      <c r="L238" s="271"/>
      <c r="M238" s="271"/>
      <c r="N238" s="271"/>
      <c r="O238" s="271"/>
      <c r="P238" s="271"/>
      <c r="Q238" s="271"/>
      <c r="R238" s="271"/>
      <c r="S238" s="271"/>
      <c r="T238" s="271"/>
      <c r="U238" s="271"/>
      <c r="V238" s="271"/>
      <c r="W238" s="271"/>
      <c r="X238" s="271"/>
      <c r="Y238" s="271"/>
      <c r="Z238" s="271"/>
      <c r="AA238" s="271"/>
      <c r="AB238" s="271"/>
      <c r="AC238" s="271"/>
      <c r="AD238" s="271"/>
    </row>
    <row r="239">
      <c r="A239" s="271"/>
      <c r="B239" s="271"/>
      <c r="C239" s="271"/>
      <c r="D239" s="271"/>
      <c r="E239" s="271"/>
      <c r="F239" s="271"/>
      <c r="G239" s="271"/>
      <c r="H239" s="271"/>
      <c r="I239" s="271"/>
      <c r="J239" s="271"/>
      <c r="K239" s="271"/>
      <c r="L239" s="271"/>
      <c r="M239" s="271"/>
      <c r="N239" s="271"/>
      <c r="O239" s="271"/>
      <c r="P239" s="271"/>
      <c r="Q239" s="271"/>
      <c r="R239" s="271"/>
      <c r="S239" s="271"/>
      <c r="T239" s="271"/>
      <c r="U239" s="271"/>
      <c r="V239" s="271"/>
      <c r="W239" s="271"/>
      <c r="X239" s="271"/>
      <c r="Y239" s="271"/>
      <c r="Z239" s="271"/>
      <c r="AA239" s="271"/>
      <c r="AB239" s="271"/>
      <c r="AC239" s="271"/>
      <c r="AD239" s="271"/>
    </row>
    <row r="240">
      <c r="A240" s="271"/>
      <c r="B240" s="271"/>
      <c r="C240" s="271"/>
      <c r="D240" s="271"/>
      <c r="E240" s="271"/>
      <c r="F240" s="271"/>
      <c r="G240" s="271"/>
      <c r="H240" s="271"/>
      <c r="I240" s="271"/>
      <c r="J240" s="271"/>
      <c r="K240" s="271"/>
      <c r="L240" s="271"/>
      <c r="M240" s="271"/>
      <c r="N240" s="271"/>
      <c r="O240" s="271"/>
      <c r="P240" s="271"/>
      <c r="Q240" s="271"/>
      <c r="R240" s="271"/>
      <c r="S240" s="271"/>
      <c r="T240" s="271"/>
      <c r="U240" s="271"/>
      <c r="V240" s="271"/>
      <c r="W240" s="271"/>
      <c r="X240" s="271"/>
      <c r="Y240" s="271"/>
      <c r="Z240" s="271"/>
      <c r="AA240" s="271"/>
      <c r="AB240" s="271"/>
      <c r="AC240" s="271"/>
      <c r="AD240" s="271"/>
    </row>
    <row r="241">
      <c r="A241" s="271"/>
      <c r="B241" s="271"/>
      <c r="C241" s="271"/>
      <c r="D241" s="271"/>
      <c r="E241" s="271"/>
      <c r="F241" s="271"/>
      <c r="G241" s="271"/>
      <c r="H241" s="271"/>
      <c r="I241" s="271"/>
      <c r="J241" s="271"/>
      <c r="K241" s="271"/>
      <c r="L241" s="271"/>
      <c r="M241" s="271"/>
      <c r="N241" s="271"/>
      <c r="O241" s="271"/>
      <c r="P241" s="271"/>
      <c r="Q241" s="271"/>
      <c r="R241" s="271"/>
      <c r="S241" s="271"/>
      <c r="T241" s="271"/>
      <c r="U241" s="271"/>
      <c r="V241" s="271"/>
      <c r="W241" s="271"/>
      <c r="X241" s="271"/>
      <c r="Y241" s="271"/>
      <c r="Z241" s="271"/>
      <c r="AA241" s="271"/>
      <c r="AB241" s="271"/>
      <c r="AC241" s="271"/>
      <c r="AD241" s="271"/>
    </row>
    <row r="242">
      <c r="A242" s="271"/>
      <c r="B242" s="271"/>
      <c r="C242" s="271"/>
      <c r="D242" s="271"/>
      <c r="E242" s="271"/>
      <c r="F242" s="271"/>
      <c r="G242" s="271"/>
      <c r="H242" s="271"/>
      <c r="I242" s="271"/>
      <c r="J242" s="271"/>
      <c r="K242" s="271"/>
      <c r="L242" s="271"/>
      <c r="M242" s="271"/>
      <c r="N242" s="271"/>
      <c r="O242" s="271"/>
      <c r="P242" s="271"/>
      <c r="Q242" s="271"/>
      <c r="R242" s="271"/>
      <c r="S242" s="271"/>
      <c r="T242" s="271"/>
      <c r="U242" s="271"/>
      <c r="V242" s="271"/>
      <c r="W242" s="271"/>
      <c r="X242" s="271"/>
      <c r="Y242" s="271"/>
      <c r="Z242" s="271"/>
      <c r="AA242" s="271"/>
      <c r="AB242" s="271"/>
      <c r="AC242" s="271"/>
      <c r="AD242" s="271"/>
    </row>
    <row r="243">
      <c r="A243" s="271"/>
      <c r="B243" s="271"/>
      <c r="C243" s="271"/>
      <c r="D243" s="271"/>
      <c r="E243" s="271"/>
      <c r="F243" s="271"/>
      <c r="G243" s="271"/>
      <c r="H243" s="271"/>
      <c r="I243" s="271"/>
      <c r="J243" s="271"/>
      <c r="K243" s="271"/>
      <c r="L243" s="271"/>
      <c r="M243" s="271"/>
      <c r="N243" s="271"/>
      <c r="O243" s="271"/>
      <c r="P243" s="271"/>
      <c r="Q243" s="271"/>
      <c r="R243" s="271"/>
      <c r="S243" s="271"/>
      <c r="T243" s="271"/>
      <c r="U243" s="271"/>
      <c r="V243" s="271"/>
      <c r="W243" s="271"/>
      <c r="X243" s="271"/>
      <c r="Y243" s="271"/>
      <c r="Z243" s="271"/>
      <c r="AA243" s="271"/>
      <c r="AB243" s="271"/>
      <c r="AC243" s="271"/>
      <c r="AD243" s="271"/>
    </row>
    <row r="244">
      <c r="A244" s="271"/>
      <c r="B244" s="271"/>
      <c r="C244" s="271"/>
      <c r="D244" s="271"/>
      <c r="E244" s="271"/>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row>
    <row r="245">
      <c r="A245" s="271"/>
      <c r="B245" s="271"/>
      <c r="C245" s="271"/>
      <c r="D245" s="271"/>
      <c r="E245" s="271"/>
      <c r="F245" s="271"/>
      <c r="G245" s="271"/>
      <c r="H245" s="271"/>
      <c r="I245" s="271"/>
      <c r="J245" s="271"/>
      <c r="K245" s="271"/>
      <c r="L245" s="271"/>
      <c r="M245" s="271"/>
      <c r="N245" s="271"/>
      <c r="O245" s="271"/>
      <c r="P245" s="271"/>
      <c r="Q245" s="271"/>
      <c r="R245" s="271"/>
      <c r="S245" s="271"/>
      <c r="T245" s="271"/>
      <c r="U245" s="271"/>
      <c r="V245" s="271"/>
      <c r="W245" s="271"/>
      <c r="X245" s="271"/>
      <c r="Y245" s="271"/>
      <c r="Z245" s="271"/>
      <c r="AA245" s="271"/>
      <c r="AB245" s="271"/>
      <c r="AC245" s="271"/>
      <c r="AD245" s="271"/>
    </row>
    <row r="246">
      <c r="A246" s="271"/>
      <c r="B246" s="271"/>
      <c r="C246" s="271"/>
      <c r="D246" s="271"/>
      <c r="E246" s="271"/>
      <c r="F246" s="271"/>
      <c r="G246" s="271"/>
      <c r="H246" s="271"/>
      <c r="I246" s="271"/>
      <c r="J246" s="271"/>
      <c r="K246" s="271"/>
      <c r="L246" s="271"/>
      <c r="M246" s="271"/>
      <c r="N246" s="271"/>
      <c r="O246" s="271"/>
      <c r="P246" s="271"/>
      <c r="Q246" s="271"/>
      <c r="R246" s="271"/>
      <c r="S246" s="271"/>
      <c r="T246" s="271"/>
      <c r="U246" s="271"/>
      <c r="V246" s="271"/>
      <c r="W246" s="271"/>
      <c r="X246" s="271"/>
      <c r="Y246" s="271"/>
      <c r="Z246" s="271"/>
      <c r="AA246" s="271"/>
      <c r="AB246" s="271"/>
      <c r="AC246" s="271"/>
      <c r="AD246" s="271"/>
    </row>
    <row r="247">
      <c r="A247" s="271"/>
      <c r="B247" s="271"/>
      <c r="C247" s="271"/>
      <c r="D247" s="271"/>
      <c r="E247" s="271"/>
      <c r="F247" s="271"/>
      <c r="G247" s="271"/>
      <c r="H247" s="271"/>
      <c r="I247" s="271"/>
      <c r="J247" s="271"/>
      <c r="K247" s="271"/>
      <c r="L247" s="271"/>
      <c r="M247" s="271"/>
      <c r="N247" s="271"/>
      <c r="O247" s="271"/>
      <c r="P247" s="271"/>
      <c r="Q247" s="271"/>
      <c r="R247" s="271"/>
      <c r="S247" s="271"/>
      <c r="T247" s="271"/>
      <c r="U247" s="271"/>
      <c r="V247" s="271"/>
      <c r="W247" s="271"/>
      <c r="X247" s="271"/>
      <c r="Y247" s="271"/>
      <c r="Z247" s="271"/>
      <c r="AA247" s="271"/>
      <c r="AB247" s="271"/>
      <c r="AC247" s="271"/>
      <c r="AD247" s="271"/>
    </row>
    <row r="248">
      <c r="A248" s="271"/>
      <c r="B248" s="271"/>
      <c r="C248" s="271"/>
      <c r="D248" s="271"/>
      <c r="E248" s="271"/>
      <c r="F248" s="271"/>
      <c r="G248" s="271"/>
      <c r="H248" s="271"/>
      <c r="I248" s="271"/>
      <c r="J248" s="271"/>
      <c r="K248" s="271"/>
      <c r="L248" s="271"/>
      <c r="M248" s="271"/>
      <c r="N248" s="271"/>
      <c r="O248" s="271"/>
      <c r="P248" s="271"/>
      <c r="Q248" s="271"/>
      <c r="R248" s="271"/>
      <c r="S248" s="271"/>
      <c r="T248" s="271"/>
      <c r="U248" s="271"/>
      <c r="V248" s="271"/>
      <c r="W248" s="271"/>
      <c r="X248" s="271"/>
      <c r="Y248" s="271"/>
      <c r="Z248" s="271"/>
      <c r="AA248" s="271"/>
      <c r="AB248" s="271"/>
      <c r="AC248" s="271"/>
      <c r="AD248" s="271"/>
    </row>
    <row r="249">
      <c r="A249" s="271"/>
      <c r="B249" s="271"/>
      <c r="C249" s="271"/>
      <c r="D249" s="271"/>
      <c r="E249" s="271"/>
      <c r="F249" s="271"/>
      <c r="G249" s="271"/>
      <c r="H249" s="271"/>
      <c r="I249" s="271"/>
      <c r="J249" s="271"/>
      <c r="K249" s="271"/>
      <c r="L249" s="271"/>
      <c r="M249" s="271"/>
      <c r="N249" s="271"/>
      <c r="O249" s="271"/>
      <c r="P249" s="271"/>
      <c r="Q249" s="271"/>
      <c r="R249" s="271"/>
      <c r="S249" s="271"/>
      <c r="T249" s="271"/>
      <c r="U249" s="271"/>
      <c r="V249" s="271"/>
      <c r="W249" s="271"/>
      <c r="X249" s="271"/>
      <c r="Y249" s="271"/>
      <c r="Z249" s="271"/>
      <c r="AA249" s="271"/>
      <c r="AB249" s="271"/>
      <c r="AC249" s="271"/>
      <c r="AD249" s="271"/>
    </row>
    <row r="250">
      <c r="A250" s="271"/>
      <c r="B250" s="271"/>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c r="AA250" s="271"/>
      <c r="AB250" s="271"/>
      <c r="AC250" s="271"/>
      <c r="AD250" s="271"/>
    </row>
    <row r="251">
      <c r="A251" s="271"/>
      <c r="B251" s="271"/>
      <c r="C251" s="271"/>
      <c r="D251" s="271"/>
      <c r="E251" s="271"/>
      <c r="F251" s="271"/>
      <c r="G251" s="271"/>
      <c r="H251" s="271"/>
      <c r="I251" s="271"/>
      <c r="J251" s="271"/>
      <c r="K251" s="271"/>
      <c r="L251" s="271"/>
      <c r="M251" s="271"/>
      <c r="N251" s="271"/>
      <c r="O251" s="271"/>
      <c r="P251" s="271"/>
      <c r="Q251" s="271"/>
      <c r="R251" s="271"/>
      <c r="S251" s="271"/>
      <c r="T251" s="271"/>
      <c r="U251" s="271"/>
      <c r="V251" s="271"/>
      <c r="W251" s="271"/>
      <c r="X251" s="271"/>
      <c r="Y251" s="271"/>
      <c r="Z251" s="271"/>
      <c r="AA251" s="271"/>
      <c r="AB251" s="271"/>
      <c r="AC251" s="271"/>
      <c r="AD251" s="271"/>
    </row>
    <row r="252">
      <c r="A252" s="271"/>
      <c r="B252" s="271"/>
      <c r="C252" s="271"/>
      <c r="D252" s="271"/>
      <c r="E252" s="271"/>
      <c r="F252" s="271"/>
      <c r="G252" s="271"/>
      <c r="H252" s="271"/>
      <c r="I252" s="271"/>
      <c r="J252" s="271"/>
      <c r="K252" s="271"/>
      <c r="L252" s="271"/>
      <c r="M252" s="271"/>
      <c r="N252" s="271"/>
      <c r="O252" s="271"/>
      <c r="P252" s="271"/>
      <c r="Q252" s="271"/>
      <c r="R252" s="271"/>
      <c r="S252" s="271"/>
      <c r="T252" s="271"/>
      <c r="U252" s="271"/>
      <c r="V252" s="271"/>
      <c r="W252" s="271"/>
      <c r="X252" s="271"/>
      <c r="Y252" s="271"/>
      <c r="Z252" s="271"/>
      <c r="AA252" s="271"/>
      <c r="AB252" s="271"/>
      <c r="AC252" s="271"/>
      <c r="AD252" s="271"/>
    </row>
    <row r="253">
      <c r="A253" s="271"/>
      <c r="B253" s="271"/>
      <c r="C253" s="271"/>
      <c r="D253" s="271"/>
      <c r="E253" s="271"/>
      <c r="F253" s="271"/>
      <c r="G253" s="271"/>
      <c r="H253" s="271"/>
      <c r="I253" s="271"/>
      <c r="J253" s="271"/>
      <c r="K253" s="271"/>
      <c r="L253" s="271"/>
      <c r="M253" s="271"/>
      <c r="N253" s="271"/>
      <c r="O253" s="271"/>
      <c r="P253" s="271"/>
      <c r="Q253" s="271"/>
      <c r="R253" s="271"/>
      <c r="S253" s="271"/>
      <c r="T253" s="271"/>
      <c r="U253" s="271"/>
      <c r="V253" s="271"/>
      <c r="W253" s="271"/>
      <c r="X253" s="271"/>
      <c r="Y253" s="271"/>
      <c r="Z253" s="271"/>
      <c r="AA253" s="271"/>
      <c r="AB253" s="271"/>
      <c r="AC253" s="271"/>
      <c r="AD253" s="271"/>
    </row>
    <row r="254">
      <c r="A254" s="271"/>
      <c r="B254" s="271"/>
      <c r="C254" s="271"/>
      <c r="D254" s="271"/>
      <c r="E254" s="271"/>
      <c r="F254" s="271"/>
      <c r="G254" s="271"/>
      <c r="H254" s="271"/>
      <c r="I254" s="271"/>
      <c r="J254" s="271"/>
      <c r="K254" s="271"/>
      <c r="L254" s="271"/>
      <c r="M254" s="271"/>
      <c r="N254" s="271"/>
      <c r="O254" s="271"/>
      <c r="P254" s="271"/>
      <c r="Q254" s="271"/>
      <c r="R254" s="271"/>
      <c r="S254" s="271"/>
      <c r="T254" s="271"/>
      <c r="U254" s="271"/>
      <c r="V254" s="271"/>
      <c r="W254" s="271"/>
      <c r="X254" s="271"/>
      <c r="Y254" s="271"/>
      <c r="Z254" s="271"/>
      <c r="AA254" s="271"/>
      <c r="AB254" s="271"/>
      <c r="AC254" s="271"/>
      <c r="AD254" s="271"/>
    </row>
    <row r="255">
      <c r="A255" s="271"/>
      <c r="B255" s="271"/>
      <c r="C255" s="271"/>
      <c r="D255" s="271"/>
      <c r="E255" s="271"/>
      <c r="F255" s="271"/>
      <c r="G255" s="271"/>
      <c r="H255" s="271"/>
      <c r="I255" s="271"/>
      <c r="J255" s="271"/>
      <c r="K255" s="271"/>
      <c r="L255" s="271"/>
      <c r="M255" s="271"/>
      <c r="N255" s="271"/>
      <c r="O255" s="271"/>
      <c r="P255" s="271"/>
      <c r="Q255" s="271"/>
      <c r="R255" s="271"/>
      <c r="S255" s="271"/>
      <c r="T255" s="271"/>
      <c r="U255" s="271"/>
      <c r="V255" s="271"/>
      <c r="W255" s="271"/>
      <c r="X255" s="271"/>
      <c r="Y255" s="271"/>
      <c r="Z255" s="271"/>
      <c r="AA255" s="271"/>
      <c r="AB255" s="271"/>
      <c r="AC255" s="271"/>
      <c r="AD255" s="271"/>
    </row>
    <row r="256">
      <c r="A256" s="271"/>
      <c r="B256" s="271"/>
      <c r="C256" s="271"/>
      <c r="D256" s="271"/>
      <c r="E256" s="271"/>
      <c r="F256" s="271"/>
      <c r="G256" s="271"/>
      <c r="H256" s="271"/>
      <c r="I256" s="271"/>
      <c r="J256" s="271"/>
      <c r="K256" s="271"/>
      <c r="L256" s="271"/>
      <c r="M256" s="271"/>
      <c r="N256" s="271"/>
      <c r="O256" s="271"/>
      <c r="P256" s="271"/>
      <c r="Q256" s="271"/>
      <c r="R256" s="271"/>
      <c r="S256" s="271"/>
      <c r="T256" s="271"/>
      <c r="U256" s="271"/>
      <c r="V256" s="271"/>
      <c r="W256" s="271"/>
      <c r="X256" s="271"/>
      <c r="Y256" s="271"/>
      <c r="Z256" s="271"/>
      <c r="AA256" s="271"/>
      <c r="AB256" s="271"/>
      <c r="AC256" s="271"/>
      <c r="AD256" s="271"/>
    </row>
    <row r="257">
      <c r="A257" s="271"/>
      <c r="B257" s="271"/>
      <c r="C257" s="271"/>
      <c r="D257" s="271"/>
      <c r="E257" s="271"/>
      <c r="F257" s="271"/>
      <c r="G257" s="271"/>
      <c r="H257" s="271"/>
      <c r="I257" s="271"/>
      <c r="J257" s="271"/>
      <c r="K257" s="271"/>
      <c r="L257" s="271"/>
      <c r="M257" s="271"/>
      <c r="N257" s="271"/>
      <c r="O257" s="271"/>
      <c r="P257" s="271"/>
      <c r="Q257" s="271"/>
      <c r="R257" s="271"/>
      <c r="S257" s="271"/>
      <c r="T257" s="271"/>
      <c r="U257" s="271"/>
      <c r="V257" s="271"/>
      <c r="W257" s="271"/>
      <c r="X257" s="271"/>
      <c r="Y257" s="271"/>
      <c r="Z257" s="271"/>
      <c r="AA257" s="271"/>
      <c r="AB257" s="271"/>
      <c r="AC257" s="271"/>
      <c r="AD257" s="271"/>
    </row>
    <row r="258">
      <c r="A258" s="271"/>
      <c r="B258" s="271"/>
      <c r="C258" s="271"/>
      <c r="D258" s="271"/>
      <c r="E258" s="271"/>
      <c r="F258" s="271"/>
      <c r="G258" s="271"/>
      <c r="H258" s="271"/>
      <c r="I258" s="271"/>
      <c r="J258" s="271"/>
      <c r="K258" s="271"/>
      <c r="L258" s="271"/>
      <c r="M258" s="271"/>
      <c r="N258" s="271"/>
      <c r="O258" s="271"/>
      <c r="P258" s="271"/>
      <c r="Q258" s="271"/>
      <c r="R258" s="271"/>
      <c r="S258" s="271"/>
      <c r="T258" s="271"/>
      <c r="U258" s="271"/>
      <c r="V258" s="271"/>
      <c r="W258" s="271"/>
      <c r="X258" s="271"/>
      <c r="Y258" s="271"/>
      <c r="Z258" s="271"/>
      <c r="AA258" s="271"/>
      <c r="AB258" s="271"/>
      <c r="AC258" s="271"/>
      <c r="AD258" s="271"/>
    </row>
    <row r="259">
      <c r="A259" s="271"/>
      <c r="B259" s="271"/>
      <c r="C259" s="271"/>
      <c r="D259" s="271"/>
      <c r="E259" s="271"/>
      <c r="F259" s="271"/>
      <c r="G259" s="271"/>
      <c r="H259" s="271"/>
      <c r="I259" s="271"/>
      <c r="J259" s="271"/>
      <c r="K259" s="271"/>
      <c r="L259" s="271"/>
      <c r="M259" s="271"/>
      <c r="N259" s="271"/>
      <c r="O259" s="271"/>
      <c r="P259" s="271"/>
      <c r="Q259" s="271"/>
      <c r="R259" s="271"/>
      <c r="S259" s="271"/>
      <c r="T259" s="271"/>
      <c r="U259" s="271"/>
      <c r="V259" s="271"/>
      <c r="W259" s="271"/>
      <c r="X259" s="271"/>
      <c r="Y259" s="271"/>
      <c r="Z259" s="271"/>
      <c r="AA259" s="271"/>
      <c r="AB259" s="271"/>
      <c r="AC259" s="271"/>
      <c r="AD259" s="271"/>
    </row>
    <row r="260">
      <c r="A260" s="271"/>
      <c r="B260" s="271"/>
      <c r="C260" s="271"/>
      <c r="D260" s="271"/>
      <c r="E260" s="271"/>
      <c r="F260" s="271"/>
      <c r="G260" s="271"/>
      <c r="H260" s="271"/>
      <c r="I260" s="271"/>
      <c r="J260" s="271"/>
      <c r="K260" s="271"/>
      <c r="L260" s="271"/>
      <c r="M260" s="271"/>
      <c r="N260" s="271"/>
      <c r="O260" s="271"/>
      <c r="P260" s="271"/>
      <c r="Q260" s="271"/>
      <c r="R260" s="271"/>
      <c r="S260" s="271"/>
      <c r="T260" s="271"/>
      <c r="U260" s="271"/>
      <c r="V260" s="271"/>
      <c r="W260" s="271"/>
      <c r="X260" s="271"/>
      <c r="Y260" s="271"/>
      <c r="Z260" s="271"/>
      <c r="AA260" s="271"/>
      <c r="AB260" s="271"/>
      <c r="AC260" s="271"/>
      <c r="AD260" s="271"/>
    </row>
    <row r="261">
      <c r="A261" s="271"/>
      <c r="B261" s="271"/>
      <c r="C261" s="271"/>
      <c r="D261" s="271"/>
      <c r="E261" s="271"/>
      <c r="F261" s="271"/>
      <c r="G261" s="271"/>
      <c r="H261" s="271"/>
      <c r="I261" s="271"/>
      <c r="J261" s="271"/>
      <c r="K261" s="271"/>
      <c r="L261" s="271"/>
      <c r="M261" s="271"/>
      <c r="N261" s="271"/>
      <c r="O261" s="271"/>
      <c r="P261" s="271"/>
      <c r="Q261" s="271"/>
      <c r="R261" s="271"/>
      <c r="S261" s="271"/>
      <c r="T261" s="271"/>
      <c r="U261" s="271"/>
      <c r="V261" s="271"/>
      <c r="W261" s="271"/>
      <c r="X261" s="271"/>
      <c r="Y261" s="271"/>
      <c r="Z261" s="271"/>
      <c r="AA261" s="271"/>
      <c r="AB261" s="271"/>
      <c r="AC261" s="271"/>
      <c r="AD261" s="271"/>
    </row>
    <row r="262">
      <c r="A262" s="271"/>
      <c r="B262" s="271"/>
      <c r="C262" s="271"/>
      <c r="D262" s="271"/>
      <c r="E262" s="271"/>
      <c r="F262" s="271"/>
      <c r="G262" s="271"/>
      <c r="H262" s="271"/>
      <c r="I262" s="271"/>
      <c r="J262" s="271"/>
      <c r="K262" s="271"/>
      <c r="L262" s="271"/>
      <c r="M262" s="271"/>
      <c r="N262" s="271"/>
      <c r="O262" s="271"/>
      <c r="P262" s="271"/>
      <c r="Q262" s="271"/>
      <c r="R262" s="271"/>
      <c r="S262" s="271"/>
      <c r="T262" s="271"/>
      <c r="U262" s="271"/>
      <c r="V262" s="271"/>
      <c r="W262" s="271"/>
      <c r="X262" s="271"/>
      <c r="Y262" s="271"/>
      <c r="Z262" s="271"/>
      <c r="AA262" s="271"/>
      <c r="AB262" s="271"/>
      <c r="AC262" s="271"/>
      <c r="AD262" s="271"/>
    </row>
    <row r="263">
      <c r="A263" s="271"/>
      <c r="B263" s="271"/>
      <c r="C263" s="271"/>
      <c r="D263" s="271"/>
      <c r="E263" s="271"/>
      <c r="F263" s="271"/>
      <c r="G263" s="271"/>
      <c r="H263" s="271"/>
      <c r="I263" s="271"/>
      <c r="J263" s="271"/>
      <c r="K263" s="271"/>
      <c r="L263" s="271"/>
      <c r="M263" s="271"/>
      <c r="N263" s="271"/>
      <c r="O263" s="271"/>
      <c r="P263" s="271"/>
      <c r="Q263" s="271"/>
      <c r="R263" s="271"/>
      <c r="S263" s="271"/>
      <c r="T263" s="271"/>
      <c r="U263" s="271"/>
      <c r="V263" s="271"/>
      <c r="W263" s="271"/>
      <c r="X263" s="271"/>
      <c r="Y263" s="271"/>
      <c r="Z263" s="271"/>
      <c r="AA263" s="271"/>
      <c r="AB263" s="271"/>
      <c r="AC263" s="271"/>
      <c r="AD263" s="271"/>
    </row>
    <row r="264">
      <c r="A264" s="271"/>
      <c r="B264" s="271"/>
      <c r="C264" s="271"/>
      <c r="D264" s="271"/>
      <c r="E264" s="271"/>
      <c r="F264" s="271"/>
      <c r="G264" s="271"/>
      <c r="H264" s="271"/>
      <c r="I264" s="271"/>
      <c r="J264" s="271"/>
      <c r="K264" s="271"/>
      <c r="L264" s="271"/>
      <c r="M264" s="271"/>
      <c r="N264" s="271"/>
      <c r="O264" s="271"/>
      <c r="P264" s="271"/>
      <c r="Q264" s="271"/>
      <c r="R264" s="271"/>
      <c r="S264" s="271"/>
      <c r="T264" s="271"/>
      <c r="U264" s="271"/>
      <c r="V264" s="271"/>
      <c r="W264" s="271"/>
      <c r="X264" s="271"/>
      <c r="Y264" s="271"/>
      <c r="Z264" s="271"/>
      <c r="AA264" s="271"/>
      <c r="AB264" s="271"/>
      <c r="AC264" s="271"/>
      <c r="AD264" s="271"/>
    </row>
    <row r="265">
      <c r="A265" s="271"/>
      <c r="B265" s="271"/>
      <c r="C265" s="271"/>
      <c r="D265" s="271"/>
      <c r="E265" s="271"/>
      <c r="F265" s="271"/>
      <c r="G265" s="271"/>
      <c r="H265" s="271"/>
      <c r="I265" s="271"/>
      <c r="J265" s="271"/>
      <c r="K265" s="271"/>
      <c r="L265" s="271"/>
      <c r="M265" s="271"/>
      <c r="N265" s="271"/>
      <c r="O265" s="271"/>
      <c r="P265" s="271"/>
      <c r="Q265" s="271"/>
      <c r="R265" s="271"/>
      <c r="S265" s="271"/>
      <c r="T265" s="271"/>
      <c r="U265" s="271"/>
      <c r="V265" s="271"/>
      <c r="W265" s="271"/>
      <c r="X265" s="271"/>
      <c r="Y265" s="271"/>
      <c r="Z265" s="271"/>
      <c r="AA265" s="271"/>
      <c r="AB265" s="271"/>
      <c r="AC265" s="271"/>
      <c r="AD265" s="271"/>
    </row>
    <row r="266">
      <c r="A266" s="271"/>
      <c r="B266" s="271"/>
      <c r="C266" s="271"/>
      <c r="D266" s="271"/>
      <c r="E266" s="271"/>
      <c r="F266" s="271"/>
      <c r="G266" s="271"/>
      <c r="H266" s="271"/>
      <c r="I266" s="271"/>
      <c r="J266" s="271"/>
      <c r="K266" s="271"/>
      <c r="L266" s="271"/>
      <c r="M266" s="271"/>
      <c r="N266" s="271"/>
      <c r="O266" s="271"/>
      <c r="P266" s="271"/>
      <c r="Q266" s="271"/>
      <c r="R266" s="271"/>
      <c r="S266" s="271"/>
      <c r="T266" s="271"/>
      <c r="U266" s="271"/>
      <c r="V266" s="271"/>
      <c r="W266" s="271"/>
      <c r="X266" s="271"/>
      <c r="Y266" s="271"/>
      <c r="Z266" s="271"/>
      <c r="AA266" s="271"/>
      <c r="AB266" s="271"/>
      <c r="AC266" s="271"/>
      <c r="AD266" s="271"/>
    </row>
    <row r="267">
      <c r="A267" s="271"/>
      <c r="B267" s="271"/>
      <c r="C267" s="271"/>
      <c r="D267" s="271"/>
      <c r="E267" s="271"/>
      <c r="F267" s="271"/>
      <c r="G267" s="271"/>
      <c r="H267" s="271"/>
      <c r="I267" s="271"/>
      <c r="J267" s="271"/>
      <c r="K267" s="271"/>
      <c r="L267" s="271"/>
      <c r="M267" s="271"/>
      <c r="N267" s="271"/>
      <c r="O267" s="271"/>
      <c r="P267" s="271"/>
      <c r="Q267" s="271"/>
      <c r="R267" s="271"/>
      <c r="S267" s="271"/>
      <c r="T267" s="271"/>
      <c r="U267" s="271"/>
      <c r="V267" s="271"/>
      <c r="W267" s="271"/>
      <c r="X267" s="271"/>
      <c r="Y267" s="271"/>
      <c r="Z267" s="271"/>
      <c r="AA267" s="271"/>
      <c r="AB267" s="271"/>
      <c r="AC267" s="271"/>
      <c r="AD267" s="271"/>
    </row>
    <row r="268">
      <c r="A268" s="271"/>
      <c r="B268" s="271"/>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c r="AA268" s="271"/>
      <c r="AB268" s="271"/>
      <c r="AC268" s="271"/>
      <c r="AD268" s="271"/>
    </row>
    <row r="269">
      <c r="A269" s="271"/>
      <c r="B269" s="271"/>
      <c r="C269" s="271"/>
      <c r="D269" s="271"/>
      <c r="E269" s="271"/>
      <c r="F269" s="271"/>
      <c r="G269" s="271"/>
      <c r="H269" s="271"/>
      <c r="I269" s="271"/>
      <c r="J269" s="271"/>
      <c r="K269" s="271"/>
      <c r="L269" s="271"/>
      <c r="M269" s="271"/>
      <c r="N269" s="271"/>
      <c r="O269" s="271"/>
      <c r="P269" s="271"/>
      <c r="Q269" s="271"/>
      <c r="R269" s="271"/>
      <c r="S269" s="271"/>
      <c r="T269" s="271"/>
      <c r="U269" s="271"/>
      <c r="V269" s="271"/>
      <c r="W269" s="271"/>
      <c r="X269" s="271"/>
      <c r="Y269" s="271"/>
      <c r="Z269" s="271"/>
      <c r="AA269" s="271"/>
      <c r="AB269" s="271"/>
      <c r="AC269" s="271"/>
      <c r="AD269" s="271"/>
    </row>
    <row r="270">
      <c r="A270" s="271"/>
      <c r="B270" s="271"/>
      <c r="C270" s="271"/>
      <c r="D270" s="271"/>
      <c r="E270" s="271"/>
      <c r="F270" s="271"/>
      <c r="G270" s="271"/>
      <c r="H270" s="271"/>
      <c r="I270" s="271"/>
      <c r="J270" s="271"/>
      <c r="K270" s="271"/>
      <c r="L270" s="271"/>
      <c r="M270" s="271"/>
      <c r="N270" s="271"/>
      <c r="O270" s="271"/>
      <c r="P270" s="271"/>
      <c r="Q270" s="271"/>
      <c r="R270" s="271"/>
      <c r="S270" s="271"/>
      <c r="T270" s="271"/>
      <c r="U270" s="271"/>
      <c r="V270" s="271"/>
      <c r="W270" s="271"/>
      <c r="X270" s="271"/>
      <c r="Y270" s="271"/>
      <c r="Z270" s="271"/>
      <c r="AA270" s="271"/>
      <c r="AB270" s="271"/>
      <c r="AC270" s="271"/>
      <c r="AD270" s="271"/>
    </row>
    <row r="271">
      <c r="A271" s="271"/>
      <c r="B271" s="271"/>
      <c r="C271" s="271"/>
      <c r="D271" s="271"/>
      <c r="E271" s="271"/>
      <c r="F271" s="271"/>
      <c r="G271" s="271"/>
      <c r="H271" s="271"/>
      <c r="I271" s="271"/>
      <c r="J271" s="271"/>
      <c r="K271" s="271"/>
      <c r="L271" s="271"/>
      <c r="M271" s="271"/>
      <c r="N271" s="271"/>
      <c r="O271" s="271"/>
      <c r="P271" s="271"/>
      <c r="Q271" s="271"/>
      <c r="R271" s="271"/>
      <c r="S271" s="271"/>
      <c r="T271" s="271"/>
      <c r="U271" s="271"/>
      <c r="V271" s="271"/>
      <c r="W271" s="271"/>
      <c r="X271" s="271"/>
      <c r="Y271" s="271"/>
      <c r="Z271" s="271"/>
      <c r="AA271" s="271"/>
      <c r="AB271" s="271"/>
      <c r="AC271" s="271"/>
      <c r="AD271" s="271"/>
    </row>
    <row r="272">
      <c r="A272" s="271"/>
      <c r="B272" s="271"/>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c r="AA272" s="271"/>
      <c r="AB272" s="271"/>
      <c r="AC272" s="271"/>
      <c r="AD272" s="271"/>
    </row>
    <row r="273">
      <c r="A273" s="271"/>
      <c r="B273" s="271"/>
      <c r="C273" s="271"/>
      <c r="D273" s="271"/>
      <c r="E273" s="271"/>
      <c r="F273" s="271"/>
      <c r="G273" s="271"/>
      <c r="H273" s="271"/>
      <c r="I273" s="271"/>
      <c r="J273" s="271"/>
      <c r="K273" s="271"/>
      <c r="L273" s="271"/>
      <c r="M273" s="271"/>
      <c r="N273" s="271"/>
      <c r="O273" s="271"/>
      <c r="P273" s="271"/>
      <c r="Q273" s="271"/>
      <c r="R273" s="271"/>
      <c r="S273" s="271"/>
      <c r="T273" s="271"/>
      <c r="U273" s="271"/>
      <c r="V273" s="271"/>
      <c r="W273" s="271"/>
      <c r="X273" s="271"/>
      <c r="Y273" s="271"/>
      <c r="Z273" s="271"/>
      <c r="AA273" s="271"/>
      <c r="AB273" s="271"/>
      <c r="AC273" s="271"/>
      <c r="AD273" s="271"/>
    </row>
    <row r="274">
      <c r="A274" s="271"/>
      <c r="B274" s="271"/>
      <c r="C274" s="271"/>
      <c r="D274" s="271"/>
      <c r="E274" s="271"/>
      <c r="F274" s="271"/>
      <c r="G274" s="271"/>
      <c r="H274" s="271"/>
      <c r="I274" s="271"/>
      <c r="J274" s="271"/>
      <c r="K274" s="271"/>
      <c r="L274" s="271"/>
      <c r="M274" s="271"/>
      <c r="N274" s="271"/>
      <c r="O274" s="271"/>
      <c r="P274" s="271"/>
      <c r="Q274" s="271"/>
      <c r="R274" s="271"/>
      <c r="S274" s="271"/>
      <c r="T274" s="271"/>
      <c r="U274" s="271"/>
      <c r="V274" s="271"/>
      <c r="W274" s="271"/>
      <c r="X274" s="271"/>
      <c r="Y274" s="271"/>
      <c r="Z274" s="271"/>
      <c r="AA274" s="271"/>
      <c r="AB274" s="271"/>
      <c r="AC274" s="271"/>
      <c r="AD274" s="271"/>
    </row>
    <row r="275">
      <c r="A275" s="271"/>
      <c r="B275" s="271"/>
      <c r="C275" s="271"/>
      <c r="D275" s="271"/>
      <c r="E275" s="271"/>
      <c r="F275" s="271"/>
      <c r="G275" s="271"/>
      <c r="H275" s="271"/>
      <c r="I275" s="271"/>
      <c r="J275" s="271"/>
      <c r="K275" s="271"/>
      <c r="L275" s="271"/>
      <c r="M275" s="271"/>
      <c r="N275" s="271"/>
      <c r="O275" s="271"/>
      <c r="P275" s="271"/>
      <c r="Q275" s="271"/>
      <c r="R275" s="271"/>
      <c r="S275" s="271"/>
      <c r="T275" s="271"/>
      <c r="U275" s="271"/>
      <c r="V275" s="271"/>
      <c r="W275" s="271"/>
      <c r="X275" s="271"/>
      <c r="Y275" s="271"/>
      <c r="Z275" s="271"/>
      <c r="AA275" s="271"/>
      <c r="AB275" s="271"/>
      <c r="AC275" s="271"/>
      <c r="AD275" s="271"/>
    </row>
    <row r="276">
      <c r="A276" s="271"/>
      <c r="B276" s="271"/>
      <c r="C276" s="271"/>
      <c r="D276" s="271"/>
      <c r="E276" s="271"/>
      <c r="F276" s="271"/>
      <c r="G276" s="271"/>
      <c r="H276" s="271"/>
      <c r="I276" s="271"/>
      <c r="J276" s="271"/>
      <c r="K276" s="271"/>
      <c r="L276" s="271"/>
      <c r="M276" s="271"/>
      <c r="N276" s="271"/>
      <c r="O276" s="271"/>
      <c r="P276" s="271"/>
      <c r="Q276" s="271"/>
      <c r="R276" s="271"/>
      <c r="S276" s="271"/>
      <c r="T276" s="271"/>
      <c r="U276" s="271"/>
      <c r="V276" s="271"/>
      <c r="W276" s="271"/>
      <c r="X276" s="271"/>
      <c r="Y276" s="271"/>
      <c r="Z276" s="271"/>
      <c r="AA276" s="271"/>
      <c r="AB276" s="271"/>
      <c r="AC276" s="271"/>
      <c r="AD276" s="271"/>
    </row>
    <row r="277">
      <c r="A277" s="271"/>
      <c r="B277" s="271"/>
      <c r="C277" s="271"/>
      <c r="D277" s="271"/>
      <c r="E277" s="271"/>
      <c r="F277" s="271"/>
      <c r="G277" s="271"/>
      <c r="H277" s="271"/>
      <c r="I277" s="271"/>
      <c r="J277" s="271"/>
      <c r="K277" s="271"/>
      <c r="L277" s="271"/>
      <c r="M277" s="271"/>
      <c r="N277" s="271"/>
      <c r="O277" s="271"/>
      <c r="P277" s="271"/>
      <c r="Q277" s="271"/>
      <c r="R277" s="271"/>
      <c r="S277" s="271"/>
      <c r="T277" s="271"/>
      <c r="U277" s="271"/>
      <c r="V277" s="271"/>
      <c r="W277" s="271"/>
      <c r="X277" s="271"/>
      <c r="Y277" s="271"/>
      <c r="Z277" s="271"/>
      <c r="AA277" s="271"/>
      <c r="AB277" s="271"/>
      <c r="AC277" s="271"/>
      <c r="AD277" s="271"/>
    </row>
    <row r="278">
      <c r="A278" s="271"/>
      <c r="B278" s="271"/>
      <c r="C278" s="271"/>
      <c r="D278" s="271"/>
      <c r="E278" s="271"/>
      <c r="F278" s="271"/>
      <c r="G278" s="271"/>
      <c r="H278" s="271"/>
      <c r="I278" s="271"/>
      <c r="J278" s="271"/>
      <c r="K278" s="271"/>
      <c r="L278" s="271"/>
      <c r="M278" s="271"/>
      <c r="N278" s="271"/>
      <c r="O278" s="271"/>
      <c r="P278" s="271"/>
      <c r="Q278" s="271"/>
      <c r="R278" s="271"/>
      <c r="S278" s="271"/>
      <c r="T278" s="271"/>
      <c r="U278" s="271"/>
      <c r="V278" s="271"/>
      <c r="W278" s="271"/>
      <c r="X278" s="271"/>
      <c r="Y278" s="271"/>
      <c r="Z278" s="271"/>
      <c r="AA278" s="271"/>
      <c r="AB278" s="271"/>
      <c r="AC278" s="271"/>
      <c r="AD278" s="271"/>
    </row>
    <row r="279">
      <c r="A279" s="271"/>
      <c r="B279" s="271"/>
      <c r="C279" s="271"/>
      <c r="D279" s="271"/>
      <c r="E279" s="271"/>
      <c r="F279" s="271"/>
      <c r="G279" s="271"/>
      <c r="H279" s="271"/>
      <c r="I279" s="271"/>
      <c r="J279" s="271"/>
      <c r="K279" s="271"/>
      <c r="L279" s="271"/>
      <c r="M279" s="271"/>
      <c r="N279" s="271"/>
      <c r="O279" s="271"/>
      <c r="P279" s="271"/>
      <c r="Q279" s="271"/>
      <c r="R279" s="271"/>
      <c r="S279" s="271"/>
      <c r="T279" s="271"/>
      <c r="U279" s="271"/>
      <c r="V279" s="271"/>
      <c r="W279" s="271"/>
      <c r="X279" s="271"/>
      <c r="Y279" s="271"/>
      <c r="Z279" s="271"/>
      <c r="AA279" s="271"/>
      <c r="AB279" s="271"/>
      <c r="AC279" s="271"/>
      <c r="AD279" s="271"/>
    </row>
    <row r="280">
      <c r="A280" s="271"/>
      <c r="B280" s="271"/>
      <c r="C280" s="271"/>
      <c r="D280" s="271"/>
      <c r="E280" s="271"/>
      <c r="F280" s="271"/>
      <c r="G280" s="271"/>
      <c r="H280" s="271"/>
      <c r="I280" s="271"/>
      <c r="J280" s="271"/>
      <c r="K280" s="271"/>
      <c r="L280" s="271"/>
      <c r="M280" s="271"/>
      <c r="N280" s="271"/>
      <c r="O280" s="271"/>
      <c r="P280" s="271"/>
      <c r="Q280" s="271"/>
      <c r="R280" s="271"/>
      <c r="S280" s="271"/>
      <c r="T280" s="271"/>
      <c r="U280" s="271"/>
      <c r="V280" s="271"/>
      <c r="W280" s="271"/>
      <c r="X280" s="271"/>
      <c r="Y280" s="271"/>
      <c r="Z280" s="271"/>
      <c r="AA280" s="271"/>
      <c r="AB280" s="271"/>
      <c r="AC280" s="271"/>
      <c r="AD280" s="271"/>
    </row>
    <row r="281">
      <c r="A281" s="271"/>
      <c r="B281" s="271"/>
      <c r="C281" s="271"/>
      <c r="D281" s="271"/>
      <c r="E281" s="271"/>
      <c r="F281" s="271"/>
      <c r="G281" s="271"/>
      <c r="H281" s="271"/>
      <c r="I281" s="271"/>
      <c r="J281" s="271"/>
      <c r="K281" s="271"/>
      <c r="L281" s="271"/>
      <c r="M281" s="271"/>
      <c r="N281" s="271"/>
      <c r="O281" s="271"/>
      <c r="P281" s="271"/>
      <c r="Q281" s="271"/>
      <c r="R281" s="271"/>
      <c r="S281" s="271"/>
      <c r="T281" s="271"/>
      <c r="U281" s="271"/>
      <c r="V281" s="271"/>
      <c r="W281" s="271"/>
      <c r="X281" s="271"/>
      <c r="Y281" s="271"/>
      <c r="Z281" s="271"/>
      <c r="AA281" s="271"/>
      <c r="AB281" s="271"/>
      <c r="AC281" s="271"/>
      <c r="AD281" s="271"/>
    </row>
    <row r="282">
      <c r="A282" s="271"/>
      <c r="B282" s="271"/>
      <c r="C282" s="271"/>
      <c r="D282" s="271"/>
      <c r="E282" s="271"/>
      <c r="F282" s="271"/>
      <c r="G282" s="271"/>
      <c r="H282" s="271"/>
      <c r="I282" s="271"/>
      <c r="J282" s="271"/>
      <c r="K282" s="271"/>
      <c r="L282" s="271"/>
      <c r="M282" s="271"/>
      <c r="N282" s="271"/>
      <c r="O282" s="271"/>
      <c r="P282" s="271"/>
      <c r="Q282" s="271"/>
      <c r="R282" s="271"/>
      <c r="S282" s="271"/>
      <c r="T282" s="271"/>
      <c r="U282" s="271"/>
      <c r="V282" s="271"/>
      <c r="W282" s="271"/>
      <c r="X282" s="271"/>
      <c r="Y282" s="271"/>
      <c r="Z282" s="271"/>
      <c r="AA282" s="271"/>
      <c r="AB282" s="271"/>
      <c r="AC282" s="271"/>
      <c r="AD282" s="271"/>
    </row>
    <row r="283">
      <c r="A283" s="271"/>
      <c r="B283" s="271"/>
      <c r="C283" s="271"/>
      <c r="D283" s="271"/>
      <c r="E283" s="271"/>
      <c r="F283" s="271"/>
      <c r="G283" s="271"/>
      <c r="H283" s="271"/>
      <c r="I283" s="271"/>
      <c r="J283" s="271"/>
      <c r="K283" s="271"/>
      <c r="L283" s="271"/>
      <c r="M283" s="271"/>
      <c r="N283" s="271"/>
      <c r="O283" s="271"/>
      <c r="P283" s="271"/>
      <c r="Q283" s="271"/>
      <c r="R283" s="271"/>
      <c r="S283" s="271"/>
      <c r="T283" s="271"/>
      <c r="U283" s="271"/>
      <c r="V283" s="271"/>
      <c r="W283" s="271"/>
      <c r="X283" s="271"/>
      <c r="Y283" s="271"/>
      <c r="Z283" s="271"/>
      <c r="AA283" s="271"/>
      <c r="AB283" s="271"/>
      <c r="AC283" s="271"/>
      <c r="AD283" s="271"/>
    </row>
    <row r="284">
      <c r="A284" s="271"/>
      <c r="B284" s="271"/>
      <c r="C284" s="271"/>
      <c r="D284" s="271"/>
      <c r="E284" s="271"/>
      <c r="F284" s="271"/>
      <c r="G284" s="271"/>
      <c r="H284" s="271"/>
      <c r="I284" s="271"/>
      <c r="J284" s="271"/>
      <c r="K284" s="271"/>
      <c r="L284" s="271"/>
      <c r="M284" s="271"/>
      <c r="N284" s="271"/>
      <c r="O284" s="271"/>
      <c r="P284" s="271"/>
      <c r="Q284" s="271"/>
      <c r="R284" s="271"/>
      <c r="S284" s="271"/>
      <c r="T284" s="271"/>
      <c r="U284" s="271"/>
      <c r="V284" s="271"/>
      <c r="W284" s="271"/>
      <c r="X284" s="271"/>
      <c r="Y284" s="271"/>
      <c r="Z284" s="271"/>
      <c r="AA284" s="271"/>
      <c r="AB284" s="271"/>
      <c r="AC284" s="271"/>
      <c r="AD284" s="271"/>
    </row>
    <row r="285">
      <c r="A285" s="271"/>
      <c r="B285" s="271"/>
      <c r="C285" s="271"/>
      <c r="D285" s="271"/>
      <c r="E285" s="271"/>
      <c r="F285" s="271"/>
      <c r="G285" s="271"/>
      <c r="H285" s="271"/>
      <c r="I285" s="271"/>
      <c r="J285" s="271"/>
      <c r="K285" s="271"/>
      <c r="L285" s="271"/>
      <c r="M285" s="271"/>
      <c r="N285" s="271"/>
      <c r="O285" s="271"/>
      <c r="P285" s="271"/>
      <c r="Q285" s="271"/>
      <c r="R285" s="271"/>
      <c r="S285" s="271"/>
      <c r="T285" s="271"/>
      <c r="U285" s="271"/>
      <c r="V285" s="271"/>
      <c r="W285" s="271"/>
      <c r="X285" s="271"/>
      <c r="Y285" s="271"/>
      <c r="Z285" s="271"/>
      <c r="AA285" s="271"/>
      <c r="AB285" s="271"/>
      <c r="AC285" s="271"/>
      <c r="AD285" s="271"/>
    </row>
    <row r="286">
      <c r="A286" s="271"/>
      <c r="B286" s="271"/>
      <c r="C286" s="271"/>
      <c r="D286" s="271"/>
      <c r="E286" s="271"/>
      <c r="F286" s="271"/>
      <c r="G286" s="271"/>
      <c r="H286" s="271"/>
      <c r="I286" s="271"/>
      <c r="J286" s="271"/>
      <c r="K286" s="271"/>
      <c r="L286" s="271"/>
      <c r="M286" s="271"/>
      <c r="N286" s="271"/>
      <c r="O286" s="271"/>
      <c r="P286" s="271"/>
      <c r="Q286" s="271"/>
      <c r="R286" s="271"/>
      <c r="S286" s="271"/>
      <c r="T286" s="271"/>
      <c r="U286" s="271"/>
      <c r="V286" s="271"/>
      <c r="W286" s="271"/>
      <c r="X286" s="271"/>
      <c r="Y286" s="271"/>
      <c r="Z286" s="271"/>
      <c r="AA286" s="271"/>
      <c r="AB286" s="271"/>
      <c r="AC286" s="271"/>
      <c r="AD286" s="271"/>
    </row>
    <row r="287">
      <c r="A287" s="271"/>
      <c r="B287" s="271"/>
      <c r="C287" s="271"/>
      <c r="D287" s="271"/>
      <c r="E287" s="271"/>
      <c r="F287" s="271"/>
      <c r="G287" s="271"/>
      <c r="H287" s="271"/>
      <c r="I287" s="271"/>
      <c r="J287" s="271"/>
      <c r="K287" s="271"/>
      <c r="L287" s="271"/>
      <c r="M287" s="271"/>
      <c r="N287" s="271"/>
      <c r="O287" s="271"/>
      <c r="P287" s="271"/>
      <c r="Q287" s="271"/>
      <c r="R287" s="271"/>
      <c r="S287" s="271"/>
      <c r="T287" s="271"/>
      <c r="U287" s="271"/>
      <c r="V287" s="271"/>
      <c r="W287" s="271"/>
      <c r="X287" s="271"/>
      <c r="Y287" s="271"/>
      <c r="Z287" s="271"/>
      <c r="AA287" s="271"/>
      <c r="AB287" s="271"/>
      <c r="AC287" s="271"/>
      <c r="AD287" s="271"/>
    </row>
    <row r="288">
      <c r="A288" s="271"/>
      <c r="B288" s="271"/>
      <c r="C288" s="271"/>
      <c r="D288" s="271"/>
      <c r="E288" s="271"/>
      <c r="F288" s="271"/>
      <c r="G288" s="271"/>
      <c r="H288" s="271"/>
      <c r="I288" s="271"/>
      <c r="J288" s="271"/>
      <c r="K288" s="271"/>
      <c r="L288" s="271"/>
      <c r="M288" s="271"/>
      <c r="N288" s="271"/>
      <c r="O288" s="271"/>
      <c r="P288" s="271"/>
      <c r="Q288" s="271"/>
      <c r="R288" s="271"/>
      <c r="S288" s="271"/>
      <c r="T288" s="271"/>
      <c r="U288" s="271"/>
      <c r="V288" s="271"/>
      <c r="W288" s="271"/>
      <c r="X288" s="271"/>
      <c r="Y288" s="271"/>
      <c r="Z288" s="271"/>
      <c r="AA288" s="271"/>
      <c r="AB288" s="271"/>
      <c r="AC288" s="271"/>
      <c r="AD288" s="271"/>
    </row>
    <row r="289">
      <c r="A289" s="271"/>
      <c r="B289" s="271"/>
      <c r="C289" s="271"/>
      <c r="D289" s="271"/>
      <c r="E289" s="271"/>
      <c r="F289" s="271"/>
      <c r="G289" s="271"/>
      <c r="H289" s="271"/>
      <c r="I289" s="271"/>
      <c r="J289" s="271"/>
      <c r="K289" s="271"/>
      <c r="L289" s="271"/>
      <c r="M289" s="271"/>
      <c r="N289" s="271"/>
      <c r="O289" s="271"/>
      <c r="P289" s="271"/>
      <c r="Q289" s="271"/>
      <c r="R289" s="271"/>
      <c r="S289" s="271"/>
      <c r="T289" s="271"/>
      <c r="U289" s="271"/>
      <c r="V289" s="271"/>
      <c r="W289" s="271"/>
      <c r="X289" s="271"/>
      <c r="Y289" s="271"/>
      <c r="Z289" s="271"/>
      <c r="AA289" s="271"/>
      <c r="AB289" s="271"/>
      <c r="AC289" s="271"/>
      <c r="AD289" s="271"/>
    </row>
    <row r="290">
      <c r="A290" s="271"/>
      <c r="B290" s="271"/>
      <c r="C290" s="271"/>
      <c r="D290" s="271"/>
      <c r="E290" s="271"/>
      <c r="F290" s="271"/>
      <c r="G290" s="271"/>
      <c r="H290" s="271"/>
      <c r="I290" s="271"/>
      <c r="J290" s="271"/>
      <c r="K290" s="271"/>
      <c r="L290" s="271"/>
      <c r="M290" s="271"/>
      <c r="N290" s="271"/>
      <c r="O290" s="271"/>
      <c r="P290" s="271"/>
      <c r="Q290" s="271"/>
      <c r="R290" s="271"/>
      <c r="S290" s="271"/>
      <c r="T290" s="271"/>
      <c r="U290" s="271"/>
      <c r="V290" s="271"/>
      <c r="W290" s="271"/>
      <c r="X290" s="271"/>
      <c r="Y290" s="271"/>
      <c r="Z290" s="271"/>
      <c r="AA290" s="271"/>
      <c r="AB290" s="271"/>
      <c r="AC290" s="271"/>
      <c r="AD290" s="271"/>
    </row>
    <row r="291">
      <c r="A291" s="271"/>
      <c r="B291" s="271"/>
      <c r="C291" s="271"/>
      <c r="D291" s="271"/>
      <c r="E291" s="271"/>
      <c r="F291" s="271"/>
      <c r="G291" s="271"/>
      <c r="H291" s="271"/>
      <c r="I291" s="271"/>
      <c r="J291" s="271"/>
      <c r="K291" s="271"/>
      <c r="L291" s="271"/>
      <c r="M291" s="271"/>
      <c r="N291" s="271"/>
      <c r="O291" s="271"/>
      <c r="P291" s="271"/>
      <c r="Q291" s="271"/>
      <c r="R291" s="271"/>
      <c r="S291" s="271"/>
      <c r="T291" s="271"/>
      <c r="U291" s="271"/>
      <c r="V291" s="271"/>
      <c r="W291" s="271"/>
      <c r="X291" s="271"/>
      <c r="Y291" s="271"/>
      <c r="Z291" s="271"/>
      <c r="AA291" s="271"/>
      <c r="AB291" s="271"/>
      <c r="AC291" s="271"/>
      <c r="AD291" s="271"/>
    </row>
    <row r="292">
      <c r="A292" s="271"/>
      <c r="B292" s="271"/>
      <c r="C292" s="271"/>
      <c r="D292" s="271"/>
      <c r="E292" s="271"/>
      <c r="F292" s="271"/>
      <c r="G292" s="271"/>
      <c r="H292" s="271"/>
      <c r="I292" s="271"/>
      <c r="J292" s="271"/>
      <c r="K292" s="271"/>
      <c r="L292" s="271"/>
      <c r="M292" s="271"/>
      <c r="N292" s="271"/>
      <c r="O292" s="271"/>
      <c r="P292" s="271"/>
      <c r="Q292" s="271"/>
      <c r="R292" s="271"/>
      <c r="S292" s="271"/>
      <c r="T292" s="271"/>
      <c r="U292" s="271"/>
      <c r="V292" s="271"/>
      <c r="W292" s="271"/>
      <c r="X292" s="271"/>
      <c r="Y292" s="271"/>
      <c r="Z292" s="271"/>
      <c r="AA292" s="271"/>
      <c r="AB292" s="271"/>
      <c r="AC292" s="271"/>
      <c r="AD292" s="271"/>
    </row>
    <row r="293">
      <c r="A293" s="271"/>
      <c r="B293" s="271"/>
      <c r="C293" s="271"/>
      <c r="D293" s="271"/>
      <c r="E293" s="271"/>
      <c r="F293" s="271"/>
      <c r="G293" s="271"/>
      <c r="H293" s="271"/>
      <c r="I293" s="271"/>
      <c r="J293" s="271"/>
      <c r="K293" s="271"/>
      <c r="L293" s="271"/>
      <c r="M293" s="271"/>
      <c r="N293" s="271"/>
      <c r="O293" s="271"/>
      <c r="P293" s="271"/>
      <c r="Q293" s="271"/>
      <c r="R293" s="271"/>
      <c r="S293" s="271"/>
      <c r="T293" s="271"/>
      <c r="U293" s="271"/>
      <c r="V293" s="271"/>
      <c r="W293" s="271"/>
      <c r="X293" s="271"/>
      <c r="Y293" s="271"/>
      <c r="Z293" s="271"/>
      <c r="AA293" s="271"/>
      <c r="AB293" s="271"/>
      <c r="AC293" s="271"/>
      <c r="AD293" s="271"/>
    </row>
    <row r="294">
      <c r="A294" s="271"/>
      <c r="B294" s="271"/>
      <c r="C294" s="271"/>
      <c r="D294" s="271"/>
      <c r="E294" s="271"/>
      <c r="F294" s="271"/>
      <c r="G294" s="271"/>
      <c r="H294" s="271"/>
      <c r="I294" s="271"/>
      <c r="J294" s="271"/>
      <c r="K294" s="271"/>
      <c r="L294" s="271"/>
      <c r="M294" s="271"/>
      <c r="N294" s="271"/>
      <c r="O294" s="271"/>
      <c r="P294" s="271"/>
      <c r="Q294" s="271"/>
      <c r="R294" s="271"/>
      <c r="S294" s="271"/>
      <c r="T294" s="271"/>
      <c r="U294" s="271"/>
      <c r="V294" s="271"/>
      <c r="W294" s="271"/>
      <c r="X294" s="271"/>
      <c r="Y294" s="271"/>
      <c r="Z294" s="271"/>
      <c r="AA294" s="271"/>
      <c r="AB294" s="271"/>
      <c r="AC294" s="271"/>
      <c r="AD294" s="271"/>
    </row>
    <row r="295">
      <c r="A295" s="271"/>
      <c r="B295" s="271"/>
      <c r="C295" s="271"/>
      <c r="D295" s="271"/>
      <c r="E295" s="271"/>
      <c r="F295" s="271"/>
      <c r="G295" s="271"/>
      <c r="H295" s="271"/>
      <c r="I295" s="271"/>
      <c r="J295" s="271"/>
      <c r="K295" s="271"/>
      <c r="L295" s="271"/>
      <c r="M295" s="271"/>
      <c r="N295" s="271"/>
      <c r="O295" s="271"/>
      <c r="P295" s="271"/>
      <c r="Q295" s="271"/>
      <c r="R295" s="271"/>
      <c r="S295" s="271"/>
      <c r="T295" s="271"/>
      <c r="U295" s="271"/>
      <c r="V295" s="271"/>
      <c r="W295" s="271"/>
      <c r="X295" s="271"/>
      <c r="Y295" s="271"/>
      <c r="Z295" s="271"/>
      <c r="AA295" s="271"/>
      <c r="AB295" s="271"/>
      <c r="AC295" s="271"/>
      <c r="AD295" s="271"/>
    </row>
    <row r="296">
      <c r="A296" s="271"/>
      <c r="B296" s="271"/>
      <c r="C296" s="271"/>
      <c r="D296" s="271"/>
      <c r="E296" s="271"/>
      <c r="F296" s="271"/>
      <c r="G296" s="271"/>
      <c r="H296" s="271"/>
      <c r="I296" s="271"/>
      <c r="J296" s="271"/>
      <c r="K296" s="271"/>
      <c r="L296" s="271"/>
      <c r="M296" s="271"/>
      <c r="N296" s="271"/>
      <c r="O296" s="271"/>
      <c r="P296" s="271"/>
      <c r="Q296" s="271"/>
      <c r="R296" s="271"/>
      <c r="S296" s="271"/>
      <c r="T296" s="271"/>
      <c r="U296" s="271"/>
      <c r="V296" s="271"/>
      <c r="W296" s="271"/>
      <c r="X296" s="271"/>
      <c r="Y296" s="271"/>
      <c r="Z296" s="271"/>
      <c r="AA296" s="271"/>
      <c r="AB296" s="271"/>
      <c r="AC296" s="271"/>
      <c r="AD296" s="271"/>
    </row>
    <row r="297">
      <c r="A297" s="271"/>
      <c r="B297" s="271"/>
      <c r="C297" s="271"/>
      <c r="D297" s="271"/>
      <c r="E297" s="271"/>
      <c r="F297" s="271"/>
      <c r="G297" s="271"/>
      <c r="H297" s="271"/>
      <c r="I297" s="271"/>
      <c r="J297" s="271"/>
      <c r="K297" s="271"/>
      <c r="L297" s="271"/>
      <c r="M297" s="271"/>
      <c r="N297" s="271"/>
      <c r="O297" s="271"/>
      <c r="P297" s="271"/>
      <c r="Q297" s="271"/>
      <c r="R297" s="271"/>
      <c r="S297" s="271"/>
      <c r="T297" s="271"/>
      <c r="U297" s="271"/>
      <c r="V297" s="271"/>
      <c r="W297" s="271"/>
      <c r="X297" s="271"/>
      <c r="Y297" s="271"/>
      <c r="Z297" s="271"/>
      <c r="AA297" s="271"/>
      <c r="AB297" s="271"/>
      <c r="AC297" s="271"/>
      <c r="AD297" s="271"/>
    </row>
    <row r="298">
      <c r="A298" s="271"/>
      <c r="B298" s="271"/>
      <c r="C298" s="271"/>
      <c r="D298" s="271"/>
      <c r="E298" s="271"/>
      <c r="F298" s="271"/>
      <c r="G298" s="271"/>
      <c r="H298" s="271"/>
      <c r="I298" s="271"/>
      <c r="J298" s="271"/>
      <c r="K298" s="271"/>
      <c r="L298" s="271"/>
      <c r="M298" s="271"/>
      <c r="N298" s="271"/>
      <c r="O298" s="271"/>
      <c r="P298" s="271"/>
      <c r="Q298" s="271"/>
      <c r="R298" s="271"/>
      <c r="S298" s="271"/>
      <c r="T298" s="271"/>
      <c r="U298" s="271"/>
      <c r="V298" s="271"/>
      <c r="W298" s="271"/>
      <c r="X298" s="271"/>
      <c r="Y298" s="271"/>
      <c r="Z298" s="271"/>
      <c r="AA298" s="271"/>
      <c r="AB298" s="271"/>
      <c r="AC298" s="271"/>
      <c r="AD298" s="271"/>
    </row>
    <row r="299">
      <c r="A299" s="271"/>
      <c r="B299" s="271"/>
      <c r="C299" s="271"/>
      <c r="D299" s="271"/>
      <c r="E299" s="271"/>
      <c r="F299" s="271"/>
      <c r="G299" s="271"/>
      <c r="H299" s="271"/>
      <c r="I299" s="271"/>
      <c r="J299" s="271"/>
      <c r="K299" s="271"/>
      <c r="L299" s="271"/>
      <c r="M299" s="271"/>
      <c r="N299" s="271"/>
      <c r="O299" s="271"/>
      <c r="P299" s="271"/>
      <c r="Q299" s="271"/>
      <c r="R299" s="271"/>
      <c r="S299" s="271"/>
      <c r="T299" s="271"/>
      <c r="U299" s="271"/>
      <c r="V299" s="271"/>
      <c r="W299" s="271"/>
      <c r="X299" s="271"/>
      <c r="Y299" s="271"/>
      <c r="Z299" s="271"/>
      <c r="AA299" s="271"/>
      <c r="AB299" s="271"/>
      <c r="AC299" s="271"/>
      <c r="AD299" s="271"/>
    </row>
    <row r="300">
      <c r="A300" s="271"/>
      <c r="B300" s="271"/>
      <c r="C300" s="271"/>
      <c r="D300" s="271"/>
      <c r="E300" s="271"/>
      <c r="F300" s="271"/>
      <c r="G300" s="271"/>
      <c r="H300" s="271"/>
      <c r="I300" s="271"/>
      <c r="J300" s="271"/>
      <c r="K300" s="271"/>
      <c r="L300" s="271"/>
      <c r="M300" s="271"/>
      <c r="N300" s="271"/>
      <c r="O300" s="271"/>
      <c r="P300" s="271"/>
      <c r="Q300" s="271"/>
      <c r="R300" s="271"/>
      <c r="S300" s="271"/>
      <c r="T300" s="271"/>
      <c r="U300" s="271"/>
      <c r="V300" s="271"/>
      <c r="W300" s="271"/>
      <c r="X300" s="271"/>
      <c r="Y300" s="271"/>
      <c r="Z300" s="271"/>
      <c r="AA300" s="271"/>
      <c r="AB300" s="271"/>
      <c r="AC300" s="271"/>
      <c r="AD300" s="271"/>
    </row>
    <row r="301">
      <c r="A301" s="271"/>
      <c r="B301" s="271"/>
      <c r="C301" s="271"/>
      <c r="D301" s="271"/>
      <c r="E301" s="271"/>
      <c r="F301" s="271"/>
      <c r="G301" s="271"/>
      <c r="H301" s="271"/>
      <c r="I301" s="271"/>
      <c r="J301" s="271"/>
      <c r="K301" s="271"/>
      <c r="L301" s="271"/>
      <c r="M301" s="271"/>
      <c r="N301" s="271"/>
      <c r="O301" s="271"/>
      <c r="P301" s="271"/>
      <c r="Q301" s="271"/>
      <c r="R301" s="271"/>
      <c r="S301" s="271"/>
      <c r="T301" s="271"/>
      <c r="U301" s="271"/>
      <c r="V301" s="271"/>
      <c r="W301" s="271"/>
      <c r="X301" s="271"/>
      <c r="Y301" s="271"/>
      <c r="Z301" s="271"/>
      <c r="AA301" s="271"/>
      <c r="AB301" s="271"/>
      <c r="AC301" s="271"/>
      <c r="AD301" s="271"/>
    </row>
    <row r="302">
      <c r="A302" s="271"/>
      <c r="B302" s="271"/>
      <c r="C302" s="271"/>
      <c r="D302" s="271"/>
      <c r="E302" s="271"/>
      <c r="F302" s="271"/>
      <c r="G302" s="271"/>
      <c r="H302" s="271"/>
      <c r="I302" s="271"/>
      <c r="J302" s="271"/>
      <c r="K302" s="271"/>
      <c r="L302" s="271"/>
      <c r="M302" s="271"/>
      <c r="N302" s="271"/>
      <c r="O302" s="271"/>
      <c r="P302" s="271"/>
      <c r="Q302" s="271"/>
      <c r="R302" s="271"/>
      <c r="S302" s="271"/>
      <c r="T302" s="271"/>
      <c r="U302" s="271"/>
      <c r="V302" s="271"/>
      <c r="W302" s="271"/>
      <c r="X302" s="271"/>
      <c r="Y302" s="271"/>
      <c r="Z302" s="271"/>
      <c r="AA302" s="271"/>
      <c r="AB302" s="271"/>
      <c r="AC302" s="271"/>
      <c r="AD302" s="271"/>
    </row>
    <row r="303">
      <c r="A303" s="271"/>
      <c r="B303" s="271"/>
      <c r="C303" s="271"/>
      <c r="D303" s="271"/>
      <c r="E303" s="271"/>
      <c r="F303" s="271"/>
      <c r="G303" s="271"/>
      <c r="H303" s="271"/>
      <c r="I303" s="271"/>
      <c r="J303" s="271"/>
      <c r="K303" s="271"/>
      <c r="L303" s="271"/>
      <c r="M303" s="271"/>
      <c r="N303" s="271"/>
      <c r="O303" s="271"/>
      <c r="P303" s="271"/>
      <c r="Q303" s="271"/>
      <c r="R303" s="271"/>
      <c r="S303" s="271"/>
      <c r="T303" s="271"/>
      <c r="U303" s="271"/>
      <c r="V303" s="271"/>
      <c r="W303" s="271"/>
      <c r="X303" s="271"/>
      <c r="Y303" s="271"/>
      <c r="Z303" s="271"/>
      <c r="AA303" s="271"/>
      <c r="AB303" s="271"/>
      <c r="AC303" s="271"/>
      <c r="AD303" s="271"/>
    </row>
    <row r="304">
      <c r="A304" s="271"/>
      <c r="B304" s="271"/>
      <c r="C304" s="271"/>
      <c r="D304" s="271"/>
      <c r="E304" s="271"/>
      <c r="F304" s="271"/>
      <c r="G304" s="271"/>
      <c r="H304" s="271"/>
      <c r="I304" s="271"/>
      <c r="J304" s="271"/>
      <c r="K304" s="271"/>
      <c r="L304" s="271"/>
      <c r="M304" s="271"/>
      <c r="N304" s="271"/>
      <c r="O304" s="271"/>
      <c r="P304" s="271"/>
      <c r="Q304" s="271"/>
      <c r="R304" s="271"/>
      <c r="S304" s="271"/>
      <c r="T304" s="271"/>
      <c r="U304" s="271"/>
      <c r="V304" s="271"/>
      <c r="W304" s="271"/>
      <c r="X304" s="271"/>
      <c r="Y304" s="271"/>
      <c r="Z304" s="271"/>
      <c r="AA304" s="271"/>
      <c r="AB304" s="271"/>
      <c r="AC304" s="271"/>
      <c r="AD304" s="271"/>
    </row>
    <row r="305">
      <c r="A305" s="271"/>
      <c r="B305" s="271"/>
      <c r="C305" s="271"/>
      <c r="D305" s="271"/>
      <c r="E305" s="271"/>
      <c r="F305" s="271"/>
      <c r="G305" s="271"/>
      <c r="H305" s="271"/>
      <c r="I305" s="271"/>
      <c r="J305" s="271"/>
      <c r="K305" s="271"/>
      <c r="L305" s="271"/>
      <c r="M305" s="271"/>
      <c r="N305" s="271"/>
      <c r="O305" s="271"/>
      <c r="P305" s="271"/>
      <c r="Q305" s="271"/>
      <c r="R305" s="271"/>
      <c r="S305" s="271"/>
      <c r="T305" s="271"/>
      <c r="U305" s="271"/>
      <c r="V305" s="271"/>
      <c r="W305" s="271"/>
      <c r="X305" s="271"/>
      <c r="Y305" s="271"/>
      <c r="Z305" s="271"/>
      <c r="AA305" s="271"/>
      <c r="AB305" s="271"/>
      <c r="AC305" s="271"/>
      <c r="AD305" s="271"/>
    </row>
    <row r="306">
      <c r="A306" s="271"/>
      <c r="B306" s="271"/>
      <c r="C306" s="271"/>
      <c r="D306" s="271"/>
      <c r="E306" s="271"/>
      <c r="F306" s="271"/>
      <c r="G306" s="271"/>
      <c r="H306" s="271"/>
      <c r="I306" s="271"/>
      <c r="J306" s="271"/>
      <c r="K306" s="271"/>
      <c r="L306" s="271"/>
      <c r="M306" s="271"/>
      <c r="N306" s="271"/>
      <c r="O306" s="271"/>
      <c r="P306" s="271"/>
      <c r="Q306" s="271"/>
      <c r="R306" s="271"/>
      <c r="S306" s="271"/>
      <c r="T306" s="271"/>
      <c r="U306" s="271"/>
      <c r="V306" s="271"/>
      <c r="W306" s="271"/>
      <c r="X306" s="271"/>
      <c r="Y306" s="271"/>
      <c r="Z306" s="271"/>
      <c r="AA306" s="271"/>
      <c r="AB306" s="271"/>
      <c r="AC306" s="271"/>
      <c r="AD306" s="271"/>
    </row>
    <row r="307">
      <c r="A307" s="271"/>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row>
    <row r="308">
      <c r="A308" s="271"/>
      <c r="B308" s="271"/>
      <c r="C308" s="271"/>
      <c r="D308" s="271"/>
      <c r="E308" s="271"/>
      <c r="F308" s="271"/>
      <c r="G308" s="271"/>
      <c r="H308" s="271"/>
      <c r="I308" s="271"/>
      <c r="J308" s="271"/>
      <c r="K308" s="271"/>
      <c r="L308" s="271"/>
      <c r="M308" s="271"/>
      <c r="N308" s="271"/>
      <c r="O308" s="271"/>
      <c r="P308" s="271"/>
      <c r="Q308" s="271"/>
      <c r="R308" s="271"/>
      <c r="S308" s="271"/>
      <c r="T308" s="271"/>
      <c r="U308" s="271"/>
      <c r="V308" s="271"/>
      <c r="W308" s="271"/>
      <c r="X308" s="271"/>
      <c r="Y308" s="271"/>
      <c r="Z308" s="271"/>
      <c r="AA308" s="271"/>
      <c r="AB308" s="271"/>
      <c r="AC308" s="271"/>
      <c r="AD308" s="271"/>
    </row>
    <row r="309">
      <c r="A309" s="271"/>
      <c r="B309" s="271"/>
      <c r="C309" s="271"/>
      <c r="D309" s="271"/>
      <c r="E309" s="271"/>
      <c r="F309" s="271"/>
      <c r="G309" s="271"/>
      <c r="H309" s="271"/>
      <c r="I309" s="271"/>
      <c r="J309" s="271"/>
      <c r="K309" s="271"/>
      <c r="L309" s="271"/>
      <c r="M309" s="271"/>
      <c r="N309" s="271"/>
      <c r="O309" s="271"/>
      <c r="P309" s="271"/>
      <c r="Q309" s="271"/>
      <c r="R309" s="271"/>
      <c r="S309" s="271"/>
      <c r="T309" s="271"/>
      <c r="U309" s="271"/>
      <c r="V309" s="271"/>
      <c r="W309" s="271"/>
      <c r="X309" s="271"/>
      <c r="Y309" s="271"/>
      <c r="Z309" s="271"/>
      <c r="AA309" s="271"/>
      <c r="AB309" s="271"/>
      <c r="AC309" s="271"/>
      <c r="AD309" s="271"/>
    </row>
    <row r="310">
      <c r="A310" s="271"/>
      <c r="B310" s="271"/>
      <c r="C310" s="271"/>
      <c r="D310" s="271"/>
      <c r="E310" s="271"/>
      <c r="F310" s="271"/>
      <c r="G310" s="271"/>
      <c r="H310" s="271"/>
      <c r="I310" s="271"/>
      <c r="J310" s="271"/>
      <c r="K310" s="271"/>
      <c r="L310" s="271"/>
      <c r="M310" s="271"/>
      <c r="N310" s="271"/>
      <c r="O310" s="271"/>
      <c r="P310" s="271"/>
      <c r="Q310" s="271"/>
      <c r="R310" s="271"/>
      <c r="S310" s="271"/>
      <c r="T310" s="271"/>
      <c r="U310" s="271"/>
      <c r="V310" s="271"/>
      <c r="W310" s="271"/>
      <c r="X310" s="271"/>
      <c r="Y310" s="271"/>
      <c r="Z310" s="271"/>
      <c r="AA310" s="271"/>
      <c r="AB310" s="271"/>
      <c r="AC310" s="271"/>
      <c r="AD310" s="271"/>
    </row>
    <row r="311">
      <c r="A311" s="271"/>
      <c r="B311" s="271"/>
      <c r="C311" s="271"/>
      <c r="D311" s="271"/>
      <c r="E311" s="271"/>
      <c r="F311" s="271"/>
      <c r="G311" s="271"/>
      <c r="H311" s="271"/>
      <c r="I311" s="271"/>
      <c r="J311" s="271"/>
      <c r="K311" s="271"/>
      <c r="L311" s="271"/>
      <c r="M311" s="271"/>
      <c r="N311" s="271"/>
      <c r="O311" s="271"/>
      <c r="P311" s="271"/>
      <c r="Q311" s="271"/>
      <c r="R311" s="271"/>
      <c r="S311" s="271"/>
      <c r="T311" s="271"/>
      <c r="U311" s="271"/>
      <c r="V311" s="271"/>
      <c r="W311" s="271"/>
      <c r="X311" s="271"/>
      <c r="Y311" s="271"/>
      <c r="Z311" s="271"/>
      <c r="AA311" s="271"/>
      <c r="AB311" s="271"/>
      <c r="AC311" s="271"/>
      <c r="AD311" s="271"/>
    </row>
    <row r="312">
      <c r="A312" s="271"/>
      <c r="B312" s="271"/>
      <c r="C312" s="271"/>
      <c r="D312" s="271"/>
      <c r="E312" s="271"/>
      <c r="F312" s="271"/>
      <c r="G312" s="271"/>
      <c r="H312" s="271"/>
      <c r="I312" s="271"/>
      <c r="J312" s="271"/>
      <c r="K312" s="271"/>
      <c r="L312" s="271"/>
      <c r="M312" s="271"/>
      <c r="N312" s="271"/>
      <c r="O312" s="271"/>
      <c r="P312" s="271"/>
      <c r="Q312" s="271"/>
      <c r="R312" s="271"/>
      <c r="S312" s="271"/>
      <c r="T312" s="271"/>
      <c r="U312" s="271"/>
      <c r="V312" s="271"/>
      <c r="W312" s="271"/>
      <c r="X312" s="271"/>
      <c r="Y312" s="271"/>
      <c r="Z312" s="271"/>
      <c r="AA312" s="271"/>
      <c r="AB312" s="271"/>
      <c r="AC312" s="271"/>
      <c r="AD312" s="271"/>
    </row>
    <row r="313">
      <c r="A313" s="271"/>
      <c r="B313" s="271"/>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1"/>
      <c r="Z313" s="271"/>
      <c r="AA313" s="271"/>
      <c r="AB313" s="271"/>
      <c r="AC313" s="271"/>
      <c r="AD313" s="271"/>
    </row>
    <row r="314">
      <c r="A314" s="271"/>
      <c r="B314" s="271"/>
      <c r="C314" s="271"/>
      <c r="D314" s="271"/>
      <c r="E314" s="271"/>
      <c r="F314" s="271"/>
      <c r="G314" s="271"/>
      <c r="H314" s="271"/>
      <c r="I314" s="271"/>
      <c r="J314" s="271"/>
      <c r="K314" s="271"/>
      <c r="L314" s="271"/>
      <c r="M314" s="271"/>
      <c r="N314" s="271"/>
      <c r="O314" s="271"/>
      <c r="P314" s="271"/>
      <c r="Q314" s="271"/>
      <c r="R314" s="271"/>
      <c r="S314" s="271"/>
      <c r="T314" s="271"/>
      <c r="U314" s="271"/>
      <c r="V314" s="271"/>
      <c r="W314" s="271"/>
      <c r="X314" s="271"/>
      <c r="Y314" s="271"/>
      <c r="Z314" s="271"/>
      <c r="AA314" s="271"/>
      <c r="AB314" s="271"/>
      <c r="AC314" s="271"/>
      <c r="AD314" s="271"/>
    </row>
    <row r="315">
      <c r="A315" s="271"/>
      <c r="B315" s="271"/>
      <c r="C315" s="271"/>
      <c r="D315" s="271"/>
      <c r="E315" s="271"/>
      <c r="F315" s="271"/>
      <c r="G315" s="271"/>
      <c r="H315" s="271"/>
      <c r="I315" s="271"/>
      <c r="J315" s="271"/>
      <c r="K315" s="271"/>
      <c r="L315" s="271"/>
      <c r="M315" s="271"/>
      <c r="N315" s="271"/>
      <c r="O315" s="271"/>
      <c r="P315" s="271"/>
      <c r="Q315" s="271"/>
      <c r="R315" s="271"/>
      <c r="S315" s="271"/>
      <c r="T315" s="271"/>
      <c r="U315" s="271"/>
      <c r="V315" s="271"/>
      <c r="W315" s="271"/>
      <c r="X315" s="271"/>
      <c r="Y315" s="271"/>
      <c r="Z315" s="271"/>
      <c r="AA315" s="271"/>
      <c r="AB315" s="271"/>
      <c r="AC315" s="271"/>
      <c r="AD315" s="271"/>
    </row>
    <row r="316">
      <c r="A316" s="271"/>
      <c r="B316" s="271"/>
      <c r="C316" s="271"/>
      <c r="D316" s="271"/>
      <c r="E316" s="271"/>
      <c r="F316" s="271"/>
      <c r="G316" s="271"/>
      <c r="H316" s="271"/>
      <c r="I316" s="271"/>
      <c r="J316" s="271"/>
      <c r="K316" s="271"/>
      <c r="L316" s="271"/>
      <c r="M316" s="271"/>
      <c r="N316" s="271"/>
      <c r="O316" s="271"/>
      <c r="P316" s="271"/>
      <c r="Q316" s="271"/>
      <c r="R316" s="271"/>
      <c r="S316" s="271"/>
      <c r="T316" s="271"/>
      <c r="U316" s="271"/>
      <c r="V316" s="271"/>
      <c r="W316" s="271"/>
      <c r="X316" s="271"/>
      <c r="Y316" s="271"/>
      <c r="Z316" s="271"/>
      <c r="AA316" s="271"/>
      <c r="AB316" s="271"/>
      <c r="AC316" s="271"/>
      <c r="AD316" s="271"/>
    </row>
    <row r="317">
      <c r="A317" s="271"/>
      <c r="B317" s="271"/>
      <c r="C317" s="271"/>
      <c r="D317" s="271"/>
      <c r="E317" s="271"/>
      <c r="F317" s="271"/>
      <c r="G317" s="271"/>
      <c r="H317" s="271"/>
      <c r="I317" s="271"/>
      <c r="J317" s="271"/>
      <c r="K317" s="271"/>
      <c r="L317" s="271"/>
      <c r="M317" s="271"/>
      <c r="N317" s="271"/>
      <c r="O317" s="271"/>
      <c r="P317" s="271"/>
      <c r="Q317" s="271"/>
      <c r="R317" s="271"/>
      <c r="S317" s="271"/>
      <c r="T317" s="271"/>
      <c r="U317" s="271"/>
      <c r="V317" s="271"/>
      <c r="W317" s="271"/>
      <c r="X317" s="271"/>
      <c r="Y317" s="271"/>
      <c r="Z317" s="271"/>
      <c r="AA317" s="271"/>
      <c r="AB317" s="271"/>
      <c r="AC317" s="271"/>
      <c r="AD317" s="271"/>
    </row>
    <row r="318">
      <c r="A318" s="271"/>
      <c r="B318" s="271"/>
      <c r="C318" s="271"/>
      <c r="D318" s="271"/>
      <c r="E318" s="271"/>
      <c r="F318" s="271"/>
      <c r="G318" s="271"/>
      <c r="H318" s="271"/>
      <c r="I318" s="271"/>
      <c r="J318" s="271"/>
      <c r="K318" s="271"/>
      <c r="L318" s="271"/>
      <c r="M318" s="271"/>
      <c r="N318" s="271"/>
      <c r="O318" s="271"/>
      <c r="P318" s="271"/>
      <c r="Q318" s="271"/>
      <c r="R318" s="271"/>
      <c r="S318" s="271"/>
      <c r="T318" s="271"/>
      <c r="U318" s="271"/>
      <c r="V318" s="271"/>
      <c r="W318" s="271"/>
      <c r="X318" s="271"/>
      <c r="Y318" s="271"/>
      <c r="Z318" s="271"/>
      <c r="AA318" s="271"/>
      <c r="AB318" s="271"/>
      <c r="AC318" s="271"/>
      <c r="AD318" s="271"/>
    </row>
    <row r="319">
      <c r="A319" s="271"/>
      <c r="B319" s="271"/>
      <c r="C319" s="271"/>
      <c r="D319" s="271"/>
      <c r="E319" s="271"/>
      <c r="F319" s="271"/>
      <c r="G319" s="271"/>
      <c r="H319" s="271"/>
      <c r="I319" s="271"/>
      <c r="J319" s="271"/>
      <c r="K319" s="271"/>
      <c r="L319" s="271"/>
      <c r="M319" s="271"/>
      <c r="N319" s="271"/>
      <c r="O319" s="271"/>
      <c r="P319" s="271"/>
      <c r="Q319" s="271"/>
      <c r="R319" s="271"/>
      <c r="S319" s="271"/>
      <c r="T319" s="271"/>
      <c r="U319" s="271"/>
      <c r="V319" s="271"/>
      <c r="W319" s="271"/>
      <c r="X319" s="271"/>
      <c r="Y319" s="271"/>
      <c r="Z319" s="271"/>
      <c r="AA319" s="271"/>
      <c r="AB319" s="271"/>
      <c r="AC319" s="271"/>
      <c r="AD319" s="271"/>
    </row>
    <row r="320">
      <c r="A320" s="271"/>
      <c r="B320" s="271"/>
      <c r="C320" s="271"/>
      <c r="D320" s="271"/>
      <c r="E320" s="271"/>
      <c r="F320" s="271"/>
      <c r="G320" s="271"/>
      <c r="H320" s="271"/>
      <c r="I320" s="271"/>
      <c r="J320" s="271"/>
      <c r="K320" s="271"/>
      <c r="L320" s="271"/>
      <c r="M320" s="271"/>
      <c r="N320" s="271"/>
      <c r="O320" s="271"/>
      <c r="P320" s="271"/>
      <c r="Q320" s="271"/>
      <c r="R320" s="271"/>
      <c r="S320" s="271"/>
      <c r="T320" s="271"/>
      <c r="U320" s="271"/>
      <c r="V320" s="271"/>
      <c r="W320" s="271"/>
      <c r="X320" s="271"/>
      <c r="Y320" s="271"/>
      <c r="Z320" s="271"/>
      <c r="AA320" s="271"/>
      <c r="AB320" s="271"/>
      <c r="AC320" s="271"/>
      <c r="AD320" s="271"/>
    </row>
    <row r="321">
      <c r="A321" s="271"/>
      <c r="B321" s="271"/>
      <c r="C321" s="271"/>
      <c r="D321" s="271"/>
      <c r="E321" s="271"/>
      <c r="F321" s="271"/>
      <c r="G321" s="271"/>
      <c r="H321" s="271"/>
      <c r="I321" s="271"/>
      <c r="J321" s="271"/>
      <c r="K321" s="271"/>
      <c r="L321" s="271"/>
      <c r="M321" s="271"/>
      <c r="N321" s="271"/>
      <c r="O321" s="271"/>
      <c r="P321" s="271"/>
      <c r="Q321" s="271"/>
      <c r="R321" s="271"/>
      <c r="S321" s="271"/>
      <c r="T321" s="271"/>
      <c r="U321" s="271"/>
      <c r="V321" s="271"/>
      <c r="W321" s="271"/>
      <c r="X321" s="271"/>
      <c r="Y321" s="271"/>
      <c r="Z321" s="271"/>
      <c r="AA321" s="271"/>
      <c r="AB321" s="271"/>
      <c r="AC321" s="271"/>
      <c r="AD321" s="271"/>
    </row>
    <row r="322">
      <c r="A322" s="271"/>
      <c r="B322" s="271"/>
      <c r="C322" s="271"/>
      <c r="D322" s="271"/>
      <c r="E322" s="271"/>
      <c r="F322" s="271"/>
      <c r="G322" s="271"/>
      <c r="H322" s="271"/>
      <c r="I322" s="271"/>
      <c r="J322" s="271"/>
      <c r="K322" s="271"/>
      <c r="L322" s="271"/>
      <c r="M322" s="271"/>
      <c r="N322" s="271"/>
      <c r="O322" s="271"/>
      <c r="P322" s="271"/>
      <c r="Q322" s="271"/>
      <c r="R322" s="271"/>
      <c r="S322" s="271"/>
      <c r="T322" s="271"/>
      <c r="U322" s="271"/>
      <c r="V322" s="271"/>
      <c r="W322" s="271"/>
      <c r="X322" s="271"/>
      <c r="Y322" s="271"/>
      <c r="Z322" s="271"/>
      <c r="AA322" s="271"/>
      <c r="AB322" s="271"/>
      <c r="AC322" s="271"/>
      <c r="AD322" s="271"/>
    </row>
    <row r="323">
      <c r="A323" s="271"/>
      <c r="B323" s="271"/>
      <c r="C323" s="271"/>
      <c r="D323" s="271"/>
      <c r="E323" s="271"/>
      <c r="F323" s="271"/>
      <c r="G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row>
    <row r="324">
      <c r="A324" s="271"/>
      <c r="B324" s="271"/>
      <c r="C324" s="271"/>
      <c r="D324" s="271"/>
      <c r="E324" s="271"/>
      <c r="F324" s="271"/>
      <c r="G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row>
    <row r="325">
      <c r="A325" s="271"/>
      <c r="B325" s="271"/>
      <c r="C325" s="271"/>
      <c r="D325" s="271"/>
      <c r="E325" s="271"/>
      <c r="F325" s="271"/>
      <c r="G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row>
    <row r="326">
      <c r="A326" s="271"/>
      <c r="B326" s="271"/>
      <c r="C326" s="271"/>
      <c r="D326" s="271"/>
      <c r="E326" s="271"/>
      <c r="F326" s="271"/>
      <c r="G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row>
    <row r="327">
      <c r="A327" s="271"/>
      <c r="B327" s="271"/>
      <c r="C327" s="271"/>
      <c r="D327" s="271"/>
      <c r="E327" s="271"/>
      <c r="F327" s="271"/>
      <c r="G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row>
    <row r="328">
      <c r="A328" s="271"/>
      <c r="B328" s="271"/>
      <c r="C328" s="271"/>
      <c r="D328" s="271"/>
      <c r="E328" s="271"/>
      <c r="F328" s="271"/>
      <c r="G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row>
    <row r="329">
      <c r="A329" s="271"/>
      <c r="B329" s="271"/>
      <c r="C329" s="271"/>
      <c r="D329" s="271"/>
      <c r="E329" s="271"/>
      <c r="F329" s="271"/>
      <c r="G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row>
    <row r="330">
      <c r="A330" s="271"/>
      <c r="B330" s="271"/>
      <c r="C330" s="271"/>
      <c r="D330" s="271"/>
      <c r="E330" s="271"/>
      <c r="F330" s="271"/>
      <c r="G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row>
    <row r="331">
      <c r="A331" s="271"/>
      <c r="B331" s="271"/>
      <c r="C331" s="271"/>
      <c r="D331" s="271"/>
      <c r="E331" s="271"/>
      <c r="F331" s="271"/>
      <c r="G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row>
    <row r="332">
      <c r="A332" s="271"/>
      <c r="B332" s="271"/>
      <c r="C332" s="271"/>
      <c r="D332" s="271"/>
      <c r="E332" s="271"/>
      <c r="F332" s="271"/>
      <c r="G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row>
    <row r="333">
      <c r="A333" s="271"/>
      <c r="B333" s="271"/>
      <c r="C333" s="271"/>
      <c r="D333" s="271"/>
      <c r="E333" s="271"/>
      <c r="F333" s="271"/>
      <c r="G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row>
    <row r="334">
      <c r="A334" s="271"/>
      <c r="B334" s="271"/>
      <c r="C334" s="271"/>
      <c r="D334" s="271"/>
      <c r="E334" s="271"/>
      <c r="F334" s="271"/>
      <c r="G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row>
    <row r="335">
      <c r="A335" s="271"/>
      <c r="B335" s="271"/>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row>
    <row r="336">
      <c r="A336" s="271"/>
      <c r="B336" s="271"/>
      <c r="C336" s="271"/>
      <c r="D336" s="271"/>
      <c r="E336" s="271"/>
      <c r="F336" s="271"/>
      <c r="G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row>
    <row r="337">
      <c r="A337" s="271"/>
      <c r="B337" s="271"/>
      <c r="C337" s="271"/>
      <c r="D337" s="271"/>
      <c r="E337" s="271"/>
      <c r="F337" s="271"/>
      <c r="G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row>
    <row r="338">
      <c r="A338" s="271"/>
      <c r="B338" s="271"/>
      <c r="C338" s="271"/>
      <c r="D338" s="271"/>
      <c r="E338" s="271"/>
      <c r="F338" s="271"/>
      <c r="G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row>
    <row r="339">
      <c r="A339" s="271"/>
      <c r="B339" s="271"/>
      <c r="C339" s="271"/>
      <c r="D339" s="271"/>
      <c r="E339" s="271"/>
      <c r="F339" s="271"/>
      <c r="G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row>
    <row r="340">
      <c r="A340" s="271"/>
      <c r="B340" s="271"/>
      <c r="C340" s="271"/>
      <c r="D340" s="271"/>
      <c r="E340" s="271"/>
      <c r="F340" s="271"/>
      <c r="G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row>
    <row r="341">
      <c r="A341" s="271"/>
      <c r="B341" s="271"/>
      <c r="C341" s="271"/>
      <c r="D341" s="271"/>
      <c r="E341" s="271"/>
      <c r="F341" s="271"/>
      <c r="G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row>
    <row r="342">
      <c r="A342" s="271"/>
      <c r="B342" s="271"/>
      <c r="C342" s="271"/>
      <c r="D342" s="271"/>
      <c r="E342" s="271"/>
      <c r="F342" s="271"/>
      <c r="G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row>
    <row r="343">
      <c r="A343" s="271"/>
      <c r="B343" s="271"/>
      <c r="C343" s="271"/>
      <c r="D343" s="271"/>
      <c r="E343" s="271"/>
      <c r="F343" s="271"/>
      <c r="G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row>
    <row r="344">
      <c r="A344" s="271"/>
      <c r="B344" s="271"/>
      <c r="C344" s="271"/>
      <c r="D344" s="271"/>
      <c r="E344" s="271"/>
      <c r="F344" s="271"/>
      <c r="G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row>
    <row r="345">
      <c r="A345" s="271"/>
      <c r="B345" s="271"/>
      <c r="C345" s="271"/>
      <c r="D345" s="271"/>
      <c r="E345" s="271"/>
      <c r="F345" s="271"/>
      <c r="G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row>
    <row r="346">
      <c r="A346" s="271"/>
      <c r="B346" s="271"/>
      <c r="C346" s="271"/>
      <c r="D346" s="271"/>
      <c r="E346" s="271"/>
      <c r="F346" s="271"/>
      <c r="G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row>
    <row r="347">
      <c r="A347" s="271"/>
      <c r="B347" s="271"/>
      <c r="C347" s="271"/>
      <c r="D347" s="271"/>
      <c r="E347" s="271"/>
      <c r="F347" s="271"/>
      <c r="G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row>
    <row r="348">
      <c r="A348" s="271"/>
      <c r="B348" s="271"/>
      <c r="C348" s="271"/>
      <c r="D348" s="271"/>
      <c r="E348" s="271"/>
      <c r="F348" s="271"/>
      <c r="G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row>
    <row r="349">
      <c r="A349" s="271"/>
      <c r="B349" s="271"/>
      <c r="C349" s="271"/>
      <c r="D349" s="271"/>
      <c r="E349" s="271"/>
      <c r="F349" s="271"/>
      <c r="G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row>
    <row r="350">
      <c r="A350" s="271"/>
      <c r="B350" s="271"/>
      <c r="C350" s="271"/>
      <c r="D350" s="271"/>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row>
    <row r="351">
      <c r="A351" s="271"/>
      <c r="B351" s="271"/>
      <c r="C351" s="271"/>
      <c r="D351" s="271"/>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row>
    <row r="352">
      <c r="A352" s="271"/>
      <c r="B352" s="271"/>
      <c r="C352" s="271"/>
      <c r="D352" s="271"/>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row>
    <row r="353">
      <c r="A353" s="271"/>
      <c r="B353" s="271"/>
      <c r="C353" s="271"/>
      <c r="D353" s="271"/>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row>
    <row r="354">
      <c r="A354" s="271"/>
      <c r="B354" s="271"/>
      <c r="C354" s="271"/>
      <c r="D354" s="271"/>
      <c r="E354" s="271"/>
      <c r="F354" s="271"/>
      <c r="G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row>
    <row r="355">
      <c r="A355" s="271"/>
      <c r="B355" s="271"/>
      <c r="C355" s="271"/>
      <c r="D355" s="271"/>
      <c r="E355" s="271"/>
      <c r="F355" s="271"/>
      <c r="G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row>
    <row r="356">
      <c r="A356" s="271"/>
      <c r="B356" s="271"/>
      <c r="C356" s="271"/>
      <c r="D356" s="271"/>
      <c r="E356" s="271"/>
      <c r="F356" s="271"/>
      <c r="G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row>
    <row r="357">
      <c r="A357" s="271"/>
      <c r="B357" s="271"/>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row>
    <row r="358">
      <c r="A358" s="271"/>
      <c r="B358" s="271"/>
      <c r="C358" s="271"/>
      <c r="D358" s="271"/>
      <c r="E358" s="271"/>
      <c r="F358" s="271"/>
      <c r="G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row>
    <row r="359">
      <c r="A359" s="271"/>
      <c r="B359" s="271"/>
      <c r="C359" s="271"/>
      <c r="D359" s="271"/>
      <c r="E359" s="271"/>
      <c r="F359" s="271"/>
      <c r="G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row>
    <row r="360">
      <c r="A360" s="271"/>
      <c r="B360" s="271"/>
      <c r="C360" s="271"/>
      <c r="D360" s="271"/>
      <c r="E360" s="271"/>
      <c r="F360" s="271"/>
      <c r="G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row>
    <row r="361">
      <c r="A361" s="271"/>
      <c r="B361" s="271"/>
      <c r="C361" s="271"/>
      <c r="D361" s="271"/>
      <c r="E361" s="271"/>
      <c r="F361" s="271"/>
      <c r="G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row>
    <row r="362">
      <c r="A362" s="271"/>
      <c r="B362" s="271"/>
      <c r="C362" s="271"/>
      <c r="D362" s="271"/>
      <c r="E362" s="271"/>
      <c r="F362" s="271"/>
      <c r="G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row>
    <row r="363">
      <c r="A363" s="271"/>
      <c r="B363" s="271"/>
      <c r="C363" s="271"/>
      <c r="D363" s="271"/>
      <c r="E363" s="271"/>
      <c r="F363" s="271"/>
      <c r="G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row>
    <row r="364">
      <c r="A364" s="271"/>
      <c r="B364" s="271"/>
      <c r="C364" s="271"/>
      <c r="D364" s="271"/>
      <c r="E364" s="271"/>
      <c r="F364" s="271"/>
      <c r="G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row>
    <row r="365">
      <c r="A365" s="271"/>
      <c r="B365" s="271"/>
      <c r="C365" s="271"/>
      <c r="D365" s="271"/>
      <c r="E365" s="271"/>
      <c r="F365" s="271"/>
      <c r="G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row>
    <row r="366">
      <c r="A366" s="271"/>
      <c r="B366" s="271"/>
      <c r="C366" s="271"/>
      <c r="D366" s="271"/>
      <c r="E366" s="271"/>
      <c r="F366" s="271"/>
      <c r="G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row>
    <row r="367">
      <c r="A367" s="271"/>
      <c r="B367" s="271"/>
      <c r="C367" s="271"/>
      <c r="D367" s="271"/>
      <c r="E367" s="271"/>
      <c r="F367" s="271"/>
      <c r="G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row>
    <row r="368">
      <c r="A368" s="271"/>
      <c r="B368" s="271"/>
      <c r="C368" s="271"/>
      <c r="D368" s="271"/>
      <c r="E368" s="271"/>
      <c r="F368" s="271"/>
      <c r="G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row>
    <row r="369">
      <c r="A369" s="271"/>
      <c r="B369" s="271"/>
      <c r="C369" s="271"/>
      <c r="D369" s="271"/>
      <c r="E369" s="271"/>
      <c r="F369" s="271"/>
      <c r="G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row>
    <row r="370">
      <c r="A370" s="271"/>
      <c r="B370" s="271"/>
      <c r="C370" s="271"/>
      <c r="D370" s="271"/>
      <c r="E370" s="271"/>
      <c r="F370" s="271"/>
      <c r="G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row>
    <row r="371">
      <c r="A371" s="271"/>
      <c r="B371" s="271"/>
      <c r="C371" s="271"/>
      <c r="D371" s="271"/>
      <c r="E371" s="271"/>
      <c r="F371" s="271"/>
      <c r="G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row>
    <row r="372">
      <c r="A372" s="271"/>
      <c r="B372" s="271"/>
      <c r="C372" s="271"/>
      <c r="D372" s="271"/>
      <c r="E372" s="271"/>
      <c r="F372" s="271"/>
      <c r="G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row>
    <row r="373">
      <c r="A373" s="271"/>
      <c r="B373" s="271"/>
      <c r="C373" s="271"/>
      <c r="D373" s="271"/>
      <c r="E373" s="271"/>
      <c r="F373" s="271"/>
      <c r="G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row>
    <row r="374">
      <c r="A374" s="271"/>
      <c r="B374" s="271"/>
      <c r="C374" s="271"/>
      <c r="D374" s="271"/>
      <c r="E374" s="271"/>
      <c r="F374" s="271"/>
      <c r="G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row>
    <row r="375">
      <c r="A375" s="271"/>
      <c r="B375" s="271"/>
      <c r="C375" s="271"/>
      <c r="D375" s="271"/>
      <c r="E375" s="271"/>
      <c r="F375" s="271"/>
      <c r="G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row>
    <row r="376">
      <c r="A376" s="271"/>
      <c r="B376" s="271"/>
      <c r="C376" s="271"/>
      <c r="D376" s="271"/>
      <c r="E376" s="271"/>
      <c r="F376" s="271"/>
      <c r="G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row>
    <row r="377">
      <c r="A377" s="271"/>
      <c r="B377" s="271"/>
      <c r="C377" s="271"/>
      <c r="D377" s="271"/>
      <c r="E377" s="271"/>
      <c r="F377" s="271"/>
      <c r="G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row>
    <row r="378">
      <c r="A378" s="271"/>
      <c r="B378" s="271"/>
      <c r="C378" s="271"/>
      <c r="D378" s="271"/>
      <c r="E378" s="271"/>
      <c r="F378" s="271"/>
      <c r="G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row>
    <row r="379">
      <c r="A379" s="271"/>
      <c r="B379" s="271"/>
      <c r="C379" s="271"/>
      <c r="D379" s="271"/>
      <c r="E379" s="271"/>
      <c r="F379" s="271"/>
      <c r="G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row>
    <row r="380">
      <c r="A380" s="271"/>
      <c r="B380" s="271"/>
      <c r="C380" s="271"/>
      <c r="D380" s="271"/>
      <c r="E380" s="271"/>
      <c r="F380" s="271"/>
      <c r="G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row>
    <row r="381">
      <c r="A381" s="271"/>
      <c r="B381" s="271"/>
      <c r="C381" s="271"/>
      <c r="D381" s="271"/>
      <c r="E381" s="271"/>
      <c r="F381" s="271"/>
      <c r="G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row>
    <row r="382">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row>
    <row r="38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row>
    <row r="384">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row>
    <row r="385">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row>
    <row r="386">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row>
    <row r="387">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row>
    <row r="388">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row>
    <row r="389">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row>
    <row r="390">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row>
    <row r="391">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row>
    <row r="392">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row>
    <row r="39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row>
    <row r="394">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row>
    <row r="395">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row>
    <row r="396">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row>
    <row r="397">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row>
    <row r="398">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row>
    <row r="399">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row>
    <row r="400">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row>
    <row r="401">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row>
    <row r="402">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row>
    <row r="4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row>
    <row r="404">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row>
    <row r="405">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row>
    <row r="406">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row>
    <row r="407">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row>
    <row r="408">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row>
    <row r="409">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row>
    <row r="410">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row>
    <row r="411">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row>
    <row r="412">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row>
    <row r="41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row>
    <row r="414">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row>
    <row r="415">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row>
    <row r="416">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row>
    <row r="417">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row>
    <row r="418">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row>
    <row r="419">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row>
    <row r="420">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row>
    <row r="421">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row>
    <row r="422">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row>
    <row r="42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row>
    <row r="424">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row>
    <row r="425">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row>
    <row r="426">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row>
    <row r="427">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row>
    <row r="428">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row>
    <row r="429">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row>
    <row r="430">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row>
    <row r="431">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row>
    <row r="432">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row>
    <row r="43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row>
    <row r="434">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row>
    <row r="435">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row>
    <row r="436">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row>
    <row r="437">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row>
    <row r="438">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row>
    <row r="439">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row>
    <row r="440">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row>
    <row r="441">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row>
    <row r="442">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row>
    <row r="44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row>
    <row r="444">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row>
    <row r="445">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row>
    <row r="446">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row>
    <row r="447">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row>
    <row r="448">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row>
    <row r="449">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row>
    <row r="450">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row>
    <row r="451">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row>
    <row r="452">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row>
    <row r="45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row>
    <row r="454">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row>
    <row r="455">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row>
    <row r="456">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row>
    <row r="457">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row>
    <row r="458">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row>
    <row r="459">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row>
    <row r="460">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row>
    <row r="461">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row>
    <row r="462">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row>
    <row r="46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row>
    <row r="464">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row>
    <row r="465">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row>
    <row r="466">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row>
    <row r="467">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row>
    <row r="468">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row>
    <row r="469">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row>
    <row r="470">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row>
    <row r="471">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row>
    <row r="472">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row>
    <row r="47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row>
    <row r="474">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row>
    <row r="475">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row>
    <row r="476">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row>
    <row r="477">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row>
    <row r="478">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row>
    <row r="479">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row>
    <row r="480">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row>
    <row r="481">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row>
    <row r="482">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row>
    <row r="48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row>
    <row r="484">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row>
    <row r="485">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row>
    <row r="486">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row>
    <row r="487">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row>
    <row r="488">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row>
    <row r="489">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row>
    <row r="490">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row>
    <row r="491">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row>
    <row r="492">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row>
    <row r="49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row>
    <row r="494">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row>
    <row r="495">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row>
    <row r="496">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row>
    <row r="497">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row>
    <row r="498">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row>
    <row r="499">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row>
    <row r="500">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row>
    <row r="501">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row>
    <row r="502">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row>
    <row r="5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row>
    <row r="504">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row>
    <row r="505">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row>
    <row r="506">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row>
    <row r="507">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row>
    <row r="508">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row>
    <row r="509">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row>
    <row r="510">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row>
    <row r="511">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row>
    <row r="512">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row>
    <row r="51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row>
    <row r="514">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row>
    <row r="515">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row>
    <row r="516">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row>
    <row r="517">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row>
    <row r="518">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row>
    <row r="519">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row>
    <row r="520">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row>
    <row r="521">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row>
    <row r="522">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row>
    <row r="52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row>
    <row r="524">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row>
    <row r="525">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row>
    <row r="526">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row>
    <row r="527">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row>
    <row r="528">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row>
    <row r="529">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row>
    <row r="530">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row>
    <row r="531">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row>
    <row r="532">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row>
    <row r="53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row>
    <row r="534">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row>
    <row r="535">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row>
    <row r="536">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row>
    <row r="537">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row>
    <row r="538">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row>
    <row r="539">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row>
    <row r="540">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row>
    <row r="541">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row>
    <row r="542">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row>
    <row r="54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row>
    <row r="544">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row>
    <row r="545">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row>
    <row r="546">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row>
    <row r="547">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row>
    <row r="548">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row>
    <row r="549">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row>
    <row r="550">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row>
    <row r="551">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row>
    <row r="552">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row>
    <row r="55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row>
    <row r="554">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row>
    <row r="555">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row>
    <row r="556">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row>
    <row r="557">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row>
    <row r="558">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row>
    <row r="559">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row>
    <row r="560">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row>
    <row r="561">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row>
    <row r="562">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row>
    <row r="56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row>
    <row r="564">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row>
    <row r="565">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row>
    <row r="566">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row>
    <row r="567">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row>
    <row r="568">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row>
    <row r="569">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row>
    <row r="570">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row>
    <row r="571">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row>
    <row r="572">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row>
    <row r="57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row>
    <row r="574">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row>
    <row r="575">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row>
    <row r="576">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row>
    <row r="577">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row>
    <row r="578">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row>
    <row r="579">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row>
    <row r="580">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row>
    <row r="581">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row>
    <row r="582">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row>
    <row r="58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row>
    <row r="584">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row>
    <row r="585">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row>
    <row r="586">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row>
    <row r="587">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row>
    <row r="588">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row>
    <row r="589">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row>
    <row r="590">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row>
    <row r="591">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row>
    <row r="592">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row>
    <row r="59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row>
    <row r="594">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row>
    <row r="595">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row>
    <row r="596">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row>
    <row r="597">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row>
    <row r="598">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row>
    <row r="599">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row>
    <row r="600">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row>
    <row r="601">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row>
    <row r="602">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row>
    <row r="6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row>
    <row r="604">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row>
    <row r="605">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row>
    <row r="606">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row>
    <row r="607">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row>
    <row r="608">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row>
    <row r="609">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row>
    <row r="610">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row>
    <row r="611">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row>
    <row r="612">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row>
    <row r="61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row>
    <row r="614">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row>
    <row r="615">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row>
    <row r="616">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row>
    <row r="617">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row>
    <row r="618">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row>
    <row r="619">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row>
    <row r="620">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row>
    <row r="621">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row>
    <row r="622">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row>
    <row r="62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row>
    <row r="624">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row>
    <row r="625">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row>
    <row r="626">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row>
    <row r="627">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row>
    <row r="628">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row>
    <row r="629">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row>
    <row r="630">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row>
    <row r="631">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row>
    <row r="632">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row>
    <row r="63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row>
    <row r="634">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row>
    <row r="635">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row>
    <row r="636">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row>
    <row r="637">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row>
    <row r="638">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row>
    <row r="639">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row>
    <row r="640">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row>
    <row r="641">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row>
    <row r="642">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row>
    <row r="64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row>
    <row r="644">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row>
    <row r="645">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row>
    <row r="646">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row>
    <row r="647">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row>
    <row r="648">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row>
    <row r="649">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row>
    <row r="650">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row>
    <row r="651">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row>
    <row r="652">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row>
    <row r="65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row>
    <row r="654">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row>
    <row r="655">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row>
    <row r="656">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row>
    <row r="657">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row>
    <row r="658">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row>
    <row r="659">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row>
    <row r="660">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row>
    <row r="661">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row>
    <row r="662">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row>
    <row r="66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row>
    <row r="664">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row>
    <row r="665">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row>
    <row r="666">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row>
    <row r="667">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row>
    <row r="668">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row>
    <row r="669">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row>
    <row r="670">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row>
    <row r="671">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row>
    <row r="672">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row>
    <row r="67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row>
    <row r="674">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row>
    <row r="675">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row>
    <row r="676">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row>
    <row r="677">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row>
    <row r="678">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row>
    <row r="679">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row>
    <row r="680">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row>
    <row r="681">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row>
    <row r="682">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row>
    <row r="68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row>
    <row r="684">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row>
    <row r="685">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row>
    <row r="686">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row>
    <row r="687">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row>
    <row r="688">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row>
    <row r="689">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row>
    <row r="690">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row>
    <row r="691">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row>
    <row r="692">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row>
    <row r="69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row>
    <row r="694">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row>
    <row r="695">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row>
    <row r="696">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row>
    <row r="697">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row>
    <row r="698">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row>
    <row r="699">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row>
    <row r="700">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row>
    <row r="701">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row>
    <row r="702">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row>
    <row r="7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row>
    <row r="704">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row>
    <row r="705">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row>
    <row r="706">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row>
    <row r="707">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row>
    <row r="708">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row>
    <row r="709">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row>
    <row r="710">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row>
    <row r="711">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row>
    <row r="712">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row>
    <row r="71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row>
    <row r="714">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row>
    <row r="715">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row>
    <row r="716">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row>
    <row r="717">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row>
    <row r="718">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row>
    <row r="719">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row>
    <row r="720">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row>
    <row r="721">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row>
    <row r="722">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row>
    <row r="723">
      <c r="A723" s="271"/>
      <c r="B723" s="271"/>
      <c r="C723" s="271"/>
      <c r="D723" s="271"/>
      <c r="E723" s="271"/>
      <c r="F723" s="271"/>
      <c r="G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row>
    <row r="724">
      <c r="A724" s="271"/>
      <c r="B724" s="271"/>
      <c r="C724" s="271"/>
      <c r="D724" s="271"/>
      <c r="E724" s="271"/>
      <c r="F724" s="271"/>
      <c r="G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row>
    <row r="725">
      <c r="A725" s="271"/>
      <c r="B725" s="271"/>
      <c r="C725" s="271"/>
      <c r="D725" s="271"/>
      <c r="E725" s="271"/>
      <c r="F725" s="271"/>
      <c r="G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row>
    <row r="726">
      <c r="A726" s="271"/>
      <c r="B726" s="271"/>
      <c r="C726" s="271"/>
      <c r="D726" s="271"/>
      <c r="E726" s="271"/>
      <c r="F726" s="271"/>
      <c r="G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row>
    <row r="727">
      <c r="A727" s="271"/>
      <c r="B727" s="271"/>
      <c r="C727" s="271"/>
      <c r="D727" s="271"/>
      <c r="E727" s="271"/>
      <c r="F727" s="271"/>
      <c r="G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row>
    <row r="728">
      <c r="A728" s="271"/>
      <c r="B728" s="271"/>
      <c r="C728" s="271"/>
      <c r="D728" s="271"/>
      <c r="E728" s="271"/>
      <c r="F728" s="271"/>
      <c r="G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row>
    <row r="729">
      <c r="A729" s="271"/>
      <c r="B729" s="271"/>
      <c r="C729" s="271"/>
      <c r="D729" s="271"/>
      <c r="E729" s="271"/>
      <c r="F729" s="271"/>
      <c r="G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row>
    <row r="730">
      <c r="A730" s="271"/>
      <c r="B730" s="271"/>
      <c r="C730" s="271"/>
      <c r="D730" s="271"/>
      <c r="E730" s="271"/>
      <c r="F730" s="271"/>
      <c r="G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row>
    <row r="731">
      <c r="A731" s="271"/>
      <c r="B731" s="271"/>
      <c r="C731" s="271"/>
      <c r="D731" s="271"/>
      <c r="E731" s="271"/>
      <c r="F731" s="271"/>
      <c r="G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row>
    <row r="732">
      <c r="A732" s="271"/>
      <c r="B732" s="271"/>
      <c r="C732" s="271"/>
      <c r="D732" s="271"/>
      <c r="E732" s="271"/>
      <c r="F732" s="271"/>
      <c r="G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row>
    <row r="733">
      <c r="A733" s="271"/>
      <c r="B733" s="271"/>
      <c r="C733" s="271"/>
      <c r="D733" s="271"/>
      <c r="E733" s="271"/>
      <c r="F733" s="271"/>
      <c r="G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row>
    <row r="734">
      <c r="A734" s="271"/>
      <c r="B734" s="271"/>
      <c r="C734" s="271"/>
      <c r="D734" s="271"/>
      <c r="E734" s="271"/>
      <c r="F734" s="271"/>
      <c r="G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row>
    <row r="735">
      <c r="A735" s="271"/>
      <c r="B735" s="271"/>
      <c r="C735" s="271"/>
      <c r="D735" s="271"/>
      <c r="E735" s="271"/>
      <c r="F735" s="271"/>
      <c r="G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row>
    <row r="736">
      <c r="A736" s="271"/>
      <c r="B736" s="271"/>
      <c r="C736" s="271"/>
      <c r="D736" s="271"/>
      <c r="E736" s="271"/>
      <c r="F736" s="271"/>
      <c r="G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row>
    <row r="737">
      <c r="A737" s="271"/>
      <c r="B737" s="271"/>
      <c r="C737" s="271"/>
      <c r="D737" s="271"/>
      <c r="E737" s="271"/>
      <c r="F737" s="271"/>
      <c r="G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row>
    <row r="738">
      <c r="A738" s="271"/>
      <c r="B738" s="271"/>
      <c r="C738" s="271"/>
      <c r="D738" s="271"/>
      <c r="E738" s="271"/>
      <c r="F738" s="271"/>
      <c r="G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row>
    <row r="739">
      <c r="A739" s="271"/>
      <c r="B739" s="271"/>
      <c r="C739" s="271"/>
      <c r="D739" s="271"/>
      <c r="E739" s="271"/>
      <c r="F739" s="271"/>
      <c r="G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row>
    <row r="740">
      <c r="A740" s="271"/>
      <c r="B740" s="271"/>
      <c r="C740" s="271"/>
      <c r="D740" s="271"/>
      <c r="E740" s="271"/>
      <c r="F740" s="271"/>
      <c r="G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row>
    <row r="741">
      <c r="A741" s="271"/>
      <c r="B741" s="271"/>
      <c r="C741" s="271"/>
      <c r="D741" s="271"/>
      <c r="E741" s="271"/>
      <c r="F741" s="271"/>
      <c r="G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row>
    <row r="742">
      <c r="A742" s="271"/>
      <c r="B742" s="271"/>
      <c r="C742" s="271"/>
      <c r="D742" s="271"/>
      <c r="E742" s="271"/>
      <c r="F742" s="271"/>
      <c r="G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row>
    <row r="743">
      <c r="A743" s="271"/>
      <c r="B743" s="271"/>
      <c r="C743" s="271"/>
      <c r="D743" s="271"/>
      <c r="E743" s="271"/>
      <c r="F743" s="271"/>
      <c r="G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row>
    <row r="744">
      <c r="A744" s="271"/>
      <c r="B744" s="271"/>
      <c r="C744" s="271"/>
      <c r="D744" s="271"/>
      <c r="E744" s="271"/>
      <c r="F744" s="271"/>
      <c r="G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row>
    <row r="745">
      <c r="A745" s="271"/>
      <c r="B745" s="271"/>
      <c r="C745" s="271"/>
      <c r="D745" s="271"/>
      <c r="E745" s="271"/>
      <c r="F745" s="271"/>
      <c r="G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row>
    <row r="746">
      <c r="A746" s="271"/>
      <c r="B746" s="271"/>
      <c r="C746" s="271"/>
      <c r="D746" s="271"/>
      <c r="E746" s="271"/>
      <c r="F746" s="271"/>
      <c r="G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row>
    <row r="747">
      <c r="A747" s="271"/>
      <c r="B747" s="271"/>
      <c r="C747" s="271"/>
      <c r="D747" s="271"/>
      <c r="E747" s="271"/>
      <c r="F747" s="271"/>
      <c r="G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row>
    <row r="748">
      <c r="A748" s="271"/>
      <c r="B748" s="271"/>
      <c r="C748" s="271"/>
      <c r="D748" s="271"/>
      <c r="E748" s="271"/>
      <c r="F748" s="271"/>
      <c r="G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row>
    <row r="749">
      <c r="A749" s="271"/>
      <c r="B749" s="271"/>
      <c r="C749" s="271"/>
      <c r="D749" s="271"/>
      <c r="E749" s="271"/>
      <c r="F749" s="271"/>
      <c r="G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row>
    <row r="750">
      <c r="A750" s="271"/>
      <c r="B750" s="271"/>
      <c r="C750" s="271"/>
      <c r="D750" s="271"/>
      <c r="E750" s="271"/>
      <c r="F750" s="271"/>
      <c r="G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row>
    <row r="751">
      <c r="A751" s="271"/>
      <c r="B751" s="271"/>
      <c r="C751" s="271"/>
      <c r="D751" s="271"/>
      <c r="E751" s="271"/>
      <c r="F751" s="271"/>
      <c r="G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row>
    <row r="752">
      <c r="A752" s="271"/>
      <c r="B752" s="271"/>
      <c r="C752" s="271"/>
      <c r="D752" s="271"/>
      <c r="E752" s="271"/>
      <c r="F752" s="271"/>
      <c r="G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row>
    <row r="753">
      <c r="A753" s="271"/>
      <c r="B753" s="271"/>
      <c r="C753" s="271"/>
      <c r="D753" s="271"/>
      <c r="E753" s="271"/>
      <c r="F753" s="271"/>
      <c r="G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row>
    <row r="754">
      <c r="A754" s="271"/>
      <c r="B754" s="271"/>
      <c r="C754" s="271"/>
      <c r="D754" s="271"/>
      <c r="E754" s="271"/>
      <c r="F754" s="271"/>
      <c r="G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row>
    <row r="755">
      <c r="A755" s="271"/>
      <c r="B755" s="271"/>
      <c r="C755" s="271"/>
      <c r="D755" s="271"/>
      <c r="E755" s="271"/>
      <c r="F755" s="271"/>
      <c r="G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row>
    <row r="756">
      <c r="A756" s="271"/>
      <c r="B756" s="271"/>
      <c r="C756" s="271"/>
      <c r="D756" s="271"/>
      <c r="E756" s="271"/>
      <c r="F756" s="271"/>
      <c r="G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row>
    <row r="757">
      <c r="A757" s="271"/>
      <c r="B757" s="271"/>
      <c r="C757" s="271"/>
      <c r="D757" s="271"/>
      <c r="E757" s="271"/>
      <c r="F757" s="271"/>
      <c r="G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row>
    <row r="758">
      <c r="A758" s="271"/>
      <c r="B758" s="271"/>
      <c r="C758" s="271"/>
      <c r="D758" s="271"/>
      <c r="E758" s="271"/>
      <c r="F758" s="271"/>
      <c r="G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row>
    <row r="759">
      <c r="A759" s="271"/>
      <c r="B759" s="271"/>
      <c r="C759" s="271"/>
      <c r="D759" s="271"/>
      <c r="E759" s="271"/>
      <c r="F759" s="271"/>
      <c r="G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row>
    <row r="760">
      <c r="A760" s="271"/>
      <c r="B760" s="271"/>
      <c r="C760" s="271"/>
      <c r="D760" s="271"/>
      <c r="E760" s="271"/>
      <c r="F760" s="271"/>
      <c r="G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row>
    <row r="761">
      <c r="A761" s="271"/>
      <c r="B761" s="271"/>
      <c r="C761" s="271"/>
      <c r="D761" s="271"/>
      <c r="E761" s="271"/>
      <c r="F761" s="271"/>
      <c r="G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row>
    <row r="762">
      <c r="A762" s="271"/>
      <c r="B762" s="271"/>
      <c r="C762" s="271"/>
      <c r="D762" s="271"/>
      <c r="E762" s="271"/>
      <c r="F762" s="271"/>
      <c r="G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row>
    <row r="763">
      <c r="A763" s="271"/>
      <c r="B763" s="271"/>
      <c r="C763" s="271"/>
      <c r="D763" s="271"/>
      <c r="E763" s="271"/>
      <c r="F763" s="271"/>
      <c r="G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row>
    <row r="764">
      <c r="A764" s="271"/>
      <c r="B764" s="271"/>
      <c r="C764" s="271"/>
      <c r="D764" s="271"/>
      <c r="E764" s="271"/>
      <c r="F764" s="271"/>
      <c r="G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row>
    <row r="765">
      <c r="A765" s="271"/>
      <c r="B765" s="271"/>
      <c r="C765" s="271"/>
      <c r="D765" s="271"/>
      <c r="E765" s="271"/>
      <c r="F765" s="271"/>
      <c r="G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row>
    <row r="766">
      <c r="A766" s="271"/>
      <c r="B766" s="271"/>
      <c r="C766" s="271"/>
      <c r="D766" s="271"/>
      <c r="E766" s="271"/>
      <c r="F766" s="271"/>
      <c r="G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row>
    <row r="767">
      <c r="A767" s="271"/>
      <c r="B767" s="271"/>
      <c r="C767" s="271"/>
      <c r="D767" s="271"/>
      <c r="E767" s="271"/>
      <c r="F767" s="271"/>
      <c r="G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row>
    <row r="768">
      <c r="A768" s="271"/>
      <c r="B768" s="271"/>
      <c r="C768" s="271"/>
      <c r="D768" s="271"/>
      <c r="E768" s="271"/>
      <c r="F768" s="271"/>
      <c r="G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row>
    <row r="769">
      <c r="A769" s="271"/>
      <c r="B769" s="271"/>
      <c r="C769" s="271"/>
      <c r="D769" s="271"/>
      <c r="E769" s="271"/>
      <c r="F769" s="271"/>
      <c r="G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row>
    <row r="770">
      <c r="A770" s="271"/>
      <c r="B770" s="271"/>
      <c r="C770" s="271"/>
      <c r="D770" s="271"/>
      <c r="E770" s="271"/>
      <c r="F770" s="271"/>
      <c r="G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row>
    <row r="771">
      <c r="A771" s="271"/>
      <c r="B771" s="271"/>
      <c r="C771" s="271"/>
      <c r="D771" s="271"/>
      <c r="E771" s="271"/>
      <c r="F771" s="271"/>
      <c r="G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row>
    <row r="772">
      <c r="A772" s="271"/>
      <c r="B772" s="271"/>
      <c r="C772" s="271"/>
      <c r="D772" s="271"/>
      <c r="E772" s="271"/>
      <c r="F772" s="271"/>
      <c r="G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row>
    <row r="773">
      <c r="A773" s="271"/>
      <c r="B773" s="271"/>
      <c r="C773" s="271"/>
      <c r="D773" s="271"/>
      <c r="E773" s="271"/>
      <c r="F773" s="271"/>
      <c r="G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row>
    <row r="774">
      <c r="A774" s="271"/>
      <c r="B774" s="271"/>
      <c r="C774" s="271"/>
      <c r="D774" s="271"/>
      <c r="E774" s="271"/>
      <c r="F774" s="271"/>
      <c r="G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row>
    <row r="775">
      <c r="A775" s="271"/>
      <c r="B775" s="271"/>
      <c r="C775" s="271"/>
      <c r="D775" s="271"/>
      <c r="E775" s="271"/>
      <c r="F775" s="271"/>
      <c r="G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row>
    <row r="776">
      <c r="A776" s="271"/>
      <c r="B776" s="271"/>
      <c r="C776" s="271"/>
      <c r="D776" s="271"/>
      <c r="E776" s="271"/>
      <c r="F776" s="271"/>
      <c r="G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row>
    <row r="777">
      <c r="A777" s="271"/>
      <c r="B777" s="271"/>
      <c r="C777" s="271"/>
      <c r="D777" s="271"/>
      <c r="E777" s="271"/>
      <c r="F777" s="271"/>
      <c r="G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row>
    <row r="778">
      <c r="A778" s="271"/>
      <c r="B778" s="271"/>
      <c r="C778" s="271"/>
      <c r="D778" s="271"/>
      <c r="E778" s="271"/>
      <c r="F778" s="271"/>
      <c r="G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row>
    <row r="779">
      <c r="A779" s="271"/>
      <c r="B779" s="271"/>
      <c r="C779" s="271"/>
      <c r="D779" s="271"/>
      <c r="E779" s="271"/>
      <c r="F779" s="271"/>
      <c r="G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row>
    <row r="780">
      <c r="A780" s="271"/>
      <c r="B780" s="271"/>
      <c r="C780" s="271"/>
      <c r="D780" s="271"/>
      <c r="E780" s="271"/>
      <c r="F780" s="271"/>
      <c r="G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row>
    <row r="781">
      <c r="A781" s="271"/>
      <c r="B781" s="271"/>
      <c r="C781" s="271"/>
      <c r="D781" s="271"/>
      <c r="E781" s="271"/>
      <c r="F781" s="271"/>
      <c r="G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row>
    <row r="782">
      <c r="A782" s="271"/>
      <c r="B782" s="271"/>
      <c r="C782" s="271"/>
      <c r="D782" s="271"/>
      <c r="E782" s="271"/>
      <c r="F782" s="271"/>
      <c r="G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row>
    <row r="783">
      <c r="A783" s="271"/>
      <c r="B783" s="271"/>
      <c r="C783" s="271"/>
      <c r="D783" s="271"/>
      <c r="E783" s="271"/>
      <c r="F783" s="271"/>
      <c r="G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row>
    <row r="784">
      <c r="A784" s="271"/>
      <c r="B784" s="271"/>
      <c r="C784" s="271"/>
      <c r="D784" s="271"/>
      <c r="E784" s="271"/>
      <c r="F784" s="271"/>
      <c r="G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row>
    <row r="785">
      <c r="A785" s="271"/>
      <c r="B785" s="271"/>
      <c r="C785" s="271"/>
      <c r="D785" s="271"/>
      <c r="E785" s="271"/>
      <c r="F785" s="271"/>
      <c r="G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row>
    <row r="786">
      <c r="A786" s="271"/>
      <c r="B786" s="271"/>
      <c r="C786" s="271"/>
      <c r="D786" s="271"/>
      <c r="E786" s="271"/>
      <c r="F786" s="271"/>
      <c r="G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row>
    <row r="787">
      <c r="A787" s="271"/>
      <c r="B787" s="271"/>
      <c r="C787" s="271"/>
      <c r="D787" s="271"/>
      <c r="E787" s="271"/>
      <c r="F787" s="271"/>
      <c r="G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row>
    <row r="788">
      <c r="A788" s="271"/>
      <c r="B788" s="271"/>
      <c r="C788" s="271"/>
      <c r="D788" s="271"/>
      <c r="E788" s="271"/>
      <c r="F788" s="271"/>
      <c r="G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row>
    <row r="789">
      <c r="A789" s="271"/>
      <c r="B789" s="271"/>
      <c r="C789" s="271"/>
      <c r="D789" s="271"/>
      <c r="E789" s="271"/>
      <c r="F789" s="271"/>
      <c r="G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row>
    <row r="790">
      <c r="A790" s="271"/>
      <c r="B790" s="271"/>
      <c r="C790" s="271"/>
      <c r="D790" s="271"/>
      <c r="E790" s="271"/>
      <c r="F790" s="271"/>
      <c r="G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row>
    <row r="791">
      <c r="A791" s="271"/>
      <c r="B791" s="271"/>
      <c r="C791" s="271"/>
      <c r="D791" s="271"/>
      <c r="E791" s="271"/>
      <c r="F791" s="271"/>
      <c r="G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row>
    <row r="792">
      <c r="A792" s="271"/>
      <c r="B792" s="271"/>
      <c r="C792" s="271"/>
      <c r="D792" s="271"/>
      <c r="E792" s="271"/>
      <c r="F792" s="271"/>
      <c r="G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row>
    <row r="793">
      <c r="A793" s="271"/>
      <c r="B793" s="271"/>
      <c r="C793" s="271"/>
      <c r="D793" s="271"/>
      <c r="E793" s="271"/>
      <c r="F793" s="271"/>
      <c r="G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row>
    <row r="794">
      <c r="A794" s="271"/>
      <c r="B794" s="271"/>
      <c r="C794" s="271"/>
      <c r="D794" s="271"/>
      <c r="E794" s="271"/>
      <c r="F794" s="271"/>
      <c r="G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row>
    <row r="795">
      <c r="A795" s="271"/>
      <c r="B795" s="271"/>
      <c r="C795" s="271"/>
      <c r="D795" s="271"/>
      <c r="E795" s="271"/>
      <c r="F795" s="271"/>
      <c r="G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row>
    <row r="796">
      <c r="A796" s="271"/>
      <c r="B796" s="271"/>
      <c r="C796" s="271"/>
      <c r="D796" s="271"/>
      <c r="E796" s="271"/>
      <c r="F796" s="271"/>
      <c r="G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row>
    <row r="797">
      <c r="A797" s="271"/>
      <c r="B797" s="271"/>
      <c r="C797" s="271"/>
      <c r="D797" s="271"/>
      <c r="E797" s="271"/>
      <c r="F797" s="271"/>
      <c r="G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row>
    <row r="798">
      <c r="A798" s="271"/>
      <c r="B798" s="271"/>
      <c r="C798" s="271"/>
      <c r="D798" s="271"/>
      <c r="E798" s="271"/>
      <c r="F798" s="271"/>
      <c r="G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row>
    <row r="799">
      <c r="A799" s="271"/>
      <c r="B799" s="271"/>
      <c r="C799" s="271"/>
      <c r="D799" s="271"/>
      <c r="E799" s="271"/>
      <c r="F799" s="271"/>
      <c r="G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row>
    <row r="800">
      <c r="A800" s="271"/>
      <c r="B800" s="271"/>
      <c r="C800" s="271"/>
      <c r="D800" s="271"/>
      <c r="E800" s="271"/>
      <c r="F800" s="271"/>
      <c r="G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row>
    <row r="801">
      <c r="A801" s="271"/>
      <c r="B801" s="271"/>
      <c r="C801" s="271"/>
      <c r="D801" s="271"/>
      <c r="E801" s="271"/>
      <c r="F801" s="271"/>
      <c r="G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row>
    <row r="802">
      <c r="A802" s="271"/>
      <c r="B802" s="271"/>
      <c r="C802" s="271"/>
      <c r="D802" s="271"/>
      <c r="E802" s="271"/>
      <c r="F802" s="271"/>
      <c r="G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row>
    <row r="803">
      <c r="A803" s="271"/>
      <c r="B803" s="271"/>
      <c r="C803" s="271"/>
      <c r="D803" s="271"/>
      <c r="E803" s="271"/>
      <c r="F803" s="271"/>
      <c r="G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row>
    <row r="804">
      <c r="A804" s="271"/>
      <c r="B804" s="271"/>
      <c r="C804" s="271"/>
      <c r="D804" s="271"/>
      <c r="E804" s="271"/>
      <c r="F804" s="271"/>
      <c r="G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row>
    <row r="805">
      <c r="A805" s="271"/>
      <c r="B805" s="271"/>
      <c r="C805" s="271"/>
      <c r="D805" s="271"/>
      <c r="E805" s="271"/>
      <c r="F805" s="271"/>
      <c r="G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row>
    <row r="806">
      <c r="A806" s="271"/>
      <c r="B806" s="271"/>
      <c r="C806" s="271"/>
      <c r="D806" s="271"/>
      <c r="E806" s="271"/>
      <c r="F806" s="271"/>
      <c r="G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row>
    <row r="807">
      <c r="A807" s="271"/>
      <c r="B807" s="271"/>
      <c r="C807" s="271"/>
      <c r="D807" s="271"/>
      <c r="E807" s="271"/>
      <c r="F807" s="271"/>
      <c r="G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row>
    <row r="808">
      <c r="A808" s="271"/>
      <c r="B808" s="271"/>
      <c r="C808" s="271"/>
      <c r="D808" s="271"/>
      <c r="E808" s="271"/>
      <c r="F808" s="271"/>
      <c r="G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row>
    <row r="809">
      <c r="A809" s="271"/>
      <c r="B809" s="271"/>
      <c r="C809" s="271"/>
      <c r="D809" s="271"/>
      <c r="E809" s="271"/>
      <c r="F809" s="271"/>
      <c r="G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row>
    <row r="810">
      <c r="A810" s="271"/>
      <c r="B810" s="271"/>
      <c r="C810" s="271"/>
      <c r="D810" s="271"/>
      <c r="E810" s="271"/>
      <c r="F810" s="271"/>
      <c r="G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row>
    <row r="811">
      <c r="A811" s="271"/>
      <c r="B811" s="271"/>
      <c r="C811" s="271"/>
      <c r="D811" s="271"/>
      <c r="E811" s="271"/>
      <c r="F811" s="271"/>
      <c r="G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row>
    <row r="812">
      <c r="A812" s="271"/>
      <c r="B812" s="271"/>
      <c r="C812" s="271"/>
      <c r="D812" s="271"/>
      <c r="E812" s="271"/>
      <c r="F812" s="271"/>
      <c r="G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row>
    <row r="813">
      <c r="A813" s="271"/>
      <c r="B813" s="271"/>
      <c r="C813" s="271"/>
      <c r="D813" s="271"/>
      <c r="E813" s="271"/>
      <c r="F813" s="271"/>
      <c r="G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row>
    <row r="814">
      <c r="A814" s="271"/>
      <c r="B814" s="271"/>
      <c r="C814" s="271"/>
      <c r="D814" s="271"/>
      <c r="E814" s="271"/>
      <c r="F814" s="271"/>
      <c r="G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row>
    <row r="815">
      <c r="A815" s="271"/>
      <c r="B815" s="271"/>
      <c r="C815" s="271"/>
      <c r="D815" s="271"/>
      <c r="E815" s="271"/>
      <c r="F815" s="271"/>
      <c r="G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row>
    <row r="816">
      <c r="A816" s="271"/>
      <c r="B816" s="271"/>
      <c r="C816" s="271"/>
      <c r="D816" s="271"/>
      <c r="E816" s="271"/>
      <c r="F816" s="271"/>
      <c r="G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row>
    <row r="817">
      <c r="A817" s="271"/>
      <c r="B817" s="271"/>
      <c r="C817" s="271"/>
      <c r="D817" s="271"/>
      <c r="E817" s="271"/>
      <c r="F817" s="271"/>
      <c r="G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row>
    <row r="818">
      <c r="A818" s="271"/>
      <c r="B818" s="271"/>
      <c r="C818" s="271"/>
      <c r="D818" s="271"/>
      <c r="E818" s="271"/>
      <c r="F818" s="271"/>
      <c r="G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row>
    <row r="819">
      <c r="A819" s="271"/>
      <c r="B819" s="271"/>
      <c r="C819" s="271"/>
      <c r="D819" s="271"/>
      <c r="E819" s="271"/>
      <c r="F819" s="271"/>
      <c r="G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row>
    <row r="820">
      <c r="A820" s="271"/>
      <c r="B820" s="271"/>
      <c r="C820" s="271"/>
      <c r="D820" s="271"/>
      <c r="E820" s="271"/>
      <c r="F820" s="271"/>
      <c r="G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row>
    <row r="821">
      <c r="A821" s="271"/>
      <c r="B821" s="271"/>
      <c r="C821" s="271"/>
      <c r="D821" s="271"/>
      <c r="E821" s="271"/>
      <c r="F821" s="271"/>
      <c r="G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row>
    <row r="822">
      <c r="A822" s="271"/>
      <c r="B822" s="271"/>
      <c r="C822" s="271"/>
      <c r="D822" s="271"/>
      <c r="E822" s="271"/>
      <c r="F822" s="271"/>
      <c r="G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row>
    <row r="823">
      <c r="A823" s="271"/>
      <c r="B823" s="271"/>
      <c r="C823" s="271"/>
      <c r="D823" s="271"/>
      <c r="E823" s="271"/>
      <c r="F823" s="271"/>
      <c r="G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row>
    <row r="824">
      <c r="A824" s="271"/>
      <c r="B824" s="271"/>
      <c r="C824" s="271"/>
      <c r="D824" s="271"/>
      <c r="E824" s="271"/>
      <c r="F824" s="271"/>
      <c r="G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row>
    <row r="825">
      <c r="A825" s="271"/>
      <c r="B825" s="271"/>
      <c r="C825" s="271"/>
      <c r="D825" s="271"/>
      <c r="E825" s="271"/>
      <c r="F825" s="271"/>
      <c r="G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row>
    <row r="826">
      <c r="A826" s="271"/>
      <c r="B826" s="271"/>
      <c r="C826" s="271"/>
      <c r="D826" s="271"/>
      <c r="E826" s="271"/>
      <c r="F826" s="271"/>
      <c r="G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row>
    <row r="827">
      <c r="A827" s="271"/>
      <c r="B827" s="271"/>
      <c r="C827" s="271"/>
      <c r="D827" s="271"/>
      <c r="E827" s="271"/>
      <c r="F827" s="271"/>
      <c r="G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row>
    <row r="828">
      <c r="A828" s="271"/>
      <c r="B828" s="271"/>
      <c r="C828" s="271"/>
      <c r="D828" s="271"/>
      <c r="E828" s="271"/>
      <c r="F828" s="271"/>
      <c r="G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row>
    <row r="829">
      <c r="A829" s="271"/>
      <c r="B829" s="271"/>
      <c r="C829" s="271"/>
      <c r="D829" s="271"/>
      <c r="E829" s="271"/>
      <c r="F829" s="271"/>
      <c r="G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row>
    <row r="830">
      <c r="A830" s="271"/>
      <c r="B830" s="271"/>
      <c r="C830" s="271"/>
      <c r="D830" s="271"/>
      <c r="E830" s="271"/>
      <c r="F830" s="271"/>
      <c r="G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row>
    <row r="831">
      <c r="A831" s="271"/>
      <c r="B831" s="271"/>
      <c r="C831" s="271"/>
      <c r="D831" s="271"/>
      <c r="E831" s="271"/>
      <c r="F831" s="271"/>
      <c r="G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row>
    <row r="832">
      <c r="A832" s="271"/>
      <c r="B832" s="271"/>
      <c r="C832" s="271"/>
      <c r="D832" s="271"/>
      <c r="E832" s="271"/>
      <c r="F832" s="271"/>
      <c r="G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row>
    <row r="833">
      <c r="A833" s="271"/>
      <c r="B833" s="271"/>
      <c r="C833" s="271"/>
      <c r="D833" s="271"/>
      <c r="E833" s="271"/>
      <c r="F833" s="271"/>
      <c r="G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row>
    <row r="834">
      <c r="A834" s="271"/>
      <c r="B834" s="271"/>
      <c r="C834" s="271"/>
      <c r="D834" s="271"/>
      <c r="E834" s="271"/>
      <c r="F834" s="271"/>
      <c r="G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row>
    <row r="835">
      <c r="A835" s="271"/>
      <c r="B835" s="271"/>
      <c r="C835" s="271"/>
      <c r="D835" s="271"/>
      <c r="E835" s="271"/>
      <c r="F835" s="271"/>
      <c r="G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row>
    <row r="836">
      <c r="A836" s="271"/>
      <c r="B836" s="271"/>
      <c r="C836" s="271"/>
      <c r="D836" s="271"/>
      <c r="E836" s="271"/>
      <c r="F836" s="271"/>
      <c r="G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row>
    <row r="837">
      <c r="A837" s="271"/>
      <c r="B837" s="271"/>
      <c r="C837" s="271"/>
      <c r="D837" s="271"/>
      <c r="E837" s="271"/>
      <c r="F837" s="271"/>
      <c r="G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row>
    <row r="838">
      <c r="A838" s="271"/>
      <c r="B838" s="271"/>
      <c r="C838" s="271"/>
      <c r="D838" s="271"/>
      <c r="E838" s="271"/>
      <c r="F838" s="271"/>
      <c r="G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row>
    <row r="839">
      <c r="A839" s="271"/>
      <c r="B839" s="271"/>
      <c r="C839" s="271"/>
      <c r="D839" s="271"/>
      <c r="E839" s="271"/>
      <c r="F839" s="271"/>
      <c r="G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row>
    <row r="840">
      <c r="A840" s="271"/>
      <c r="B840" s="271"/>
      <c r="C840" s="271"/>
      <c r="D840" s="271"/>
      <c r="E840" s="271"/>
      <c r="F840" s="271"/>
      <c r="G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row>
    <row r="841">
      <c r="A841" s="271"/>
      <c r="B841" s="271"/>
      <c r="C841" s="271"/>
      <c r="D841" s="271"/>
      <c r="E841" s="271"/>
      <c r="F841" s="271"/>
      <c r="G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row>
    <row r="842">
      <c r="A842" s="271"/>
      <c r="B842" s="271"/>
      <c r="C842" s="271"/>
      <c r="D842" s="271"/>
      <c r="E842" s="271"/>
      <c r="F842" s="271"/>
      <c r="G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row>
    <row r="843">
      <c r="A843" s="271"/>
      <c r="B843" s="271"/>
      <c r="C843" s="271"/>
      <c r="D843" s="271"/>
      <c r="E843" s="271"/>
      <c r="F843" s="271"/>
      <c r="G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row>
    <row r="844">
      <c r="A844" s="271"/>
      <c r="B844" s="271"/>
      <c r="C844" s="271"/>
      <c r="D844" s="271"/>
      <c r="E844" s="271"/>
      <c r="F844" s="271"/>
      <c r="G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row>
    <row r="845">
      <c r="A845" s="271"/>
      <c r="B845" s="271"/>
      <c r="C845" s="271"/>
      <c r="D845" s="271"/>
      <c r="E845" s="271"/>
      <c r="F845" s="271"/>
      <c r="G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row>
    <row r="846">
      <c r="A846" s="271"/>
      <c r="B846" s="271"/>
      <c r="C846" s="271"/>
      <c r="D846" s="271"/>
      <c r="E846" s="271"/>
      <c r="F846" s="271"/>
      <c r="G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row>
    <row r="847">
      <c r="A847" s="271"/>
      <c r="B847" s="271"/>
      <c r="C847" s="271"/>
      <c r="D847" s="271"/>
      <c r="E847" s="271"/>
      <c r="F847" s="271"/>
      <c r="G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row>
    <row r="848">
      <c r="A848" s="271"/>
      <c r="B848" s="271"/>
      <c r="C848" s="271"/>
      <c r="D848" s="271"/>
      <c r="E848" s="271"/>
      <c r="F848" s="271"/>
      <c r="G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row>
    <row r="849">
      <c r="A849" s="271"/>
      <c r="B849" s="271"/>
      <c r="C849" s="271"/>
      <c r="D849" s="271"/>
      <c r="E849" s="271"/>
      <c r="F849" s="271"/>
      <c r="G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row>
    <row r="850">
      <c r="A850" s="271"/>
      <c r="B850" s="271"/>
      <c r="C850" s="271"/>
      <c r="D850" s="271"/>
      <c r="E850" s="271"/>
      <c r="F850" s="271"/>
      <c r="G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row>
    <row r="851">
      <c r="A851" s="271"/>
      <c r="B851" s="271"/>
      <c r="C851" s="271"/>
      <c r="D851" s="271"/>
      <c r="E851" s="271"/>
      <c r="F851" s="271"/>
      <c r="G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row>
    <row r="852">
      <c r="A852" s="271"/>
      <c r="B852" s="271"/>
      <c r="C852" s="271"/>
      <c r="D852" s="271"/>
      <c r="E852" s="271"/>
      <c r="F852" s="271"/>
      <c r="G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row>
    <row r="853">
      <c r="A853" s="271"/>
      <c r="B853" s="271"/>
      <c r="C853" s="271"/>
      <c r="D853" s="271"/>
      <c r="E853" s="271"/>
      <c r="F853" s="271"/>
      <c r="G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row>
    <row r="854">
      <c r="A854" s="271"/>
      <c r="B854" s="271"/>
      <c r="C854" s="271"/>
      <c r="D854" s="271"/>
      <c r="E854" s="271"/>
      <c r="F854" s="271"/>
      <c r="G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row>
    <row r="855">
      <c r="A855" s="271"/>
      <c r="B855" s="271"/>
      <c r="C855" s="271"/>
      <c r="D855" s="271"/>
      <c r="E855" s="271"/>
      <c r="F855" s="271"/>
      <c r="G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row>
    <row r="856">
      <c r="A856" s="271"/>
      <c r="B856" s="271"/>
      <c r="C856" s="271"/>
      <c r="D856" s="271"/>
      <c r="E856" s="271"/>
      <c r="F856" s="271"/>
      <c r="G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row>
    <row r="857">
      <c r="A857" s="271"/>
      <c r="B857" s="271"/>
      <c r="C857" s="271"/>
      <c r="D857" s="271"/>
      <c r="E857" s="271"/>
      <c r="F857" s="271"/>
      <c r="G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row>
    <row r="858">
      <c r="A858" s="271"/>
      <c r="B858" s="271"/>
      <c r="C858" s="271"/>
      <c r="D858" s="271"/>
      <c r="E858" s="271"/>
      <c r="F858" s="271"/>
      <c r="G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row>
    <row r="859">
      <c r="A859" s="271"/>
      <c r="B859" s="271"/>
      <c r="C859" s="271"/>
      <c r="D859" s="271"/>
      <c r="E859" s="271"/>
      <c r="F859" s="271"/>
      <c r="G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row>
    <row r="860">
      <c r="A860" s="271"/>
      <c r="B860" s="271"/>
      <c r="C860" s="271"/>
      <c r="D860" s="271"/>
      <c r="E860" s="271"/>
      <c r="F860" s="271"/>
      <c r="G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row>
    <row r="861">
      <c r="A861" s="271"/>
      <c r="B861" s="271"/>
      <c r="C861" s="271"/>
      <c r="D861" s="271"/>
      <c r="E861" s="271"/>
      <c r="F861" s="271"/>
      <c r="G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row>
    <row r="862">
      <c r="A862" s="271"/>
      <c r="B862" s="271"/>
      <c r="C862" s="271"/>
      <c r="D862" s="271"/>
      <c r="E862" s="271"/>
      <c r="F862" s="271"/>
      <c r="G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row>
    <row r="863">
      <c r="A863" s="271"/>
      <c r="B863" s="271"/>
      <c r="C863" s="271"/>
      <c r="D863" s="271"/>
      <c r="E863" s="271"/>
      <c r="F863" s="271"/>
      <c r="G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row>
    <row r="864">
      <c r="A864" s="271"/>
      <c r="B864" s="271"/>
      <c r="C864" s="271"/>
      <c r="D864" s="271"/>
      <c r="E864" s="271"/>
      <c r="F864" s="271"/>
      <c r="G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row>
    <row r="865">
      <c r="A865" s="271"/>
      <c r="B865" s="271"/>
      <c r="C865" s="271"/>
      <c r="D865" s="271"/>
      <c r="E865" s="271"/>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row>
    <row r="866">
      <c r="A866" s="271"/>
      <c r="B866" s="271"/>
      <c r="C866" s="271"/>
      <c r="D866" s="271"/>
      <c r="E866" s="271"/>
      <c r="F866" s="271"/>
      <c r="G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row>
    <row r="867">
      <c r="A867" s="271"/>
      <c r="B867" s="271"/>
      <c r="C867" s="271"/>
      <c r="D867" s="271"/>
      <c r="E867" s="271"/>
      <c r="F867" s="271"/>
      <c r="G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row>
    <row r="868">
      <c r="A868" s="271"/>
      <c r="B868" s="271"/>
      <c r="C868" s="271"/>
      <c r="D868" s="271"/>
      <c r="E868" s="271"/>
      <c r="F868" s="271"/>
      <c r="G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row>
    <row r="869">
      <c r="A869" s="271"/>
      <c r="B869" s="271"/>
      <c r="C869" s="271"/>
      <c r="D869" s="271"/>
      <c r="E869" s="271"/>
      <c r="F869" s="271"/>
      <c r="G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row>
    <row r="870">
      <c r="A870" s="271"/>
      <c r="B870" s="271"/>
      <c r="C870" s="271"/>
      <c r="D870" s="271"/>
      <c r="E870" s="271"/>
      <c r="F870" s="271"/>
      <c r="G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row>
    <row r="871">
      <c r="A871" s="271"/>
      <c r="B871" s="271"/>
      <c r="C871" s="271"/>
      <c r="D871" s="271"/>
      <c r="E871" s="271"/>
      <c r="F871" s="271"/>
      <c r="G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row>
    <row r="872">
      <c r="A872" s="271"/>
      <c r="B872" s="271"/>
      <c r="C872" s="271"/>
      <c r="D872" s="271"/>
      <c r="E872" s="271"/>
      <c r="F872" s="271"/>
      <c r="G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row>
    <row r="873">
      <c r="A873" s="271"/>
      <c r="B873" s="271"/>
      <c r="C873" s="271"/>
      <c r="D873" s="271"/>
      <c r="E873" s="271"/>
      <c r="F873" s="271"/>
      <c r="G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row>
    <row r="874">
      <c r="A874" s="271"/>
      <c r="B874" s="271"/>
      <c r="C874" s="271"/>
      <c r="D874" s="271"/>
      <c r="E874" s="271"/>
      <c r="F874" s="271"/>
      <c r="G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row>
    <row r="875">
      <c r="A875" s="271"/>
      <c r="B875" s="271"/>
      <c r="C875" s="271"/>
      <c r="D875" s="271"/>
      <c r="E875" s="271"/>
      <c r="F875" s="271"/>
      <c r="G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row>
    <row r="876">
      <c r="A876" s="271"/>
      <c r="B876" s="271"/>
      <c r="C876" s="271"/>
      <c r="D876" s="271"/>
      <c r="E876" s="271"/>
      <c r="F876" s="271"/>
      <c r="G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row>
    <row r="877">
      <c r="A877" s="271"/>
      <c r="B877" s="271"/>
      <c r="C877" s="271"/>
      <c r="D877" s="271"/>
      <c r="E877" s="271"/>
      <c r="F877" s="271"/>
      <c r="G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row>
    <row r="878">
      <c r="A878" s="271"/>
      <c r="B878" s="271"/>
      <c r="C878" s="271"/>
      <c r="D878" s="271"/>
      <c r="E878" s="271"/>
      <c r="F878" s="271"/>
      <c r="G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row>
    <row r="879">
      <c r="A879" s="271"/>
      <c r="B879" s="271"/>
      <c r="C879" s="271"/>
      <c r="D879" s="271"/>
      <c r="E879" s="271"/>
      <c r="F879" s="271"/>
      <c r="G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row>
    <row r="880">
      <c r="A880" s="271"/>
      <c r="B880" s="271"/>
      <c r="C880" s="271"/>
      <c r="D880" s="271"/>
      <c r="E880" s="271"/>
      <c r="F880" s="271"/>
      <c r="G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row>
    <row r="881">
      <c r="A881" s="271"/>
      <c r="B881" s="271"/>
      <c r="C881" s="271"/>
      <c r="D881" s="271"/>
      <c r="E881" s="271"/>
      <c r="F881" s="271"/>
      <c r="G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row>
    <row r="882">
      <c r="A882" s="271"/>
      <c r="B882" s="271"/>
      <c r="C882" s="271"/>
      <c r="D882" s="271"/>
      <c r="E882" s="271"/>
      <c r="F882" s="271"/>
      <c r="G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row>
    <row r="883">
      <c r="A883" s="271"/>
      <c r="B883" s="271"/>
      <c r="C883" s="271"/>
      <c r="D883" s="271"/>
      <c r="E883" s="271"/>
      <c r="F883" s="271"/>
      <c r="G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row>
    <row r="884">
      <c r="A884" s="271"/>
      <c r="B884" s="271"/>
      <c r="C884" s="271"/>
      <c r="D884" s="271"/>
      <c r="E884" s="271"/>
      <c r="F884" s="271"/>
      <c r="G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row>
    <row r="885">
      <c r="A885" s="271"/>
      <c r="B885" s="271"/>
      <c r="C885" s="271"/>
      <c r="D885" s="271"/>
      <c r="E885" s="271"/>
      <c r="F885" s="271"/>
      <c r="G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row>
    <row r="886">
      <c r="A886" s="271"/>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row>
    <row r="887">
      <c r="A887" s="271"/>
      <c r="B887" s="271"/>
      <c r="C887" s="271"/>
      <c r="D887" s="271"/>
      <c r="E887" s="271"/>
      <c r="F887" s="271"/>
      <c r="G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row>
    <row r="888">
      <c r="A888" s="271"/>
      <c r="B888" s="271"/>
      <c r="C888" s="271"/>
      <c r="D888" s="271"/>
      <c r="E888" s="271"/>
      <c r="F888" s="271"/>
      <c r="G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row>
    <row r="889">
      <c r="A889" s="271"/>
      <c r="B889" s="271"/>
      <c r="C889" s="271"/>
      <c r="D889" s="271"/>
      <c r="E889" s="271"/>
      <c r="F889" s="271"/>
      <c r="G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row>
    <row r="890">
      <c r="A890" s="271"/>
      <c r="B890" s="271"/>
      <c r="C890" s="271"/>
      <c r="D890" s="271"/>
      <c r="E890" s="271"/>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row>
    <row r="891">
      <c r="A891" s="271"/>
      <c r="B891" s="271"/>
      <c r="C891" s="271"/>
      <c r="D891" s="271"/>
      <c r="E891" s="271"/>
      <c r="F891" s="271"/>
      <c r="G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row>
    <row r="892">
      <c r="A892" s="271"/>
      <c r="B892" s="271"/>
      <c r="C892" s="271"/>
      <c r="D892" s="271"/>
      <c r="E892" s="271"/>
      <c r="F892" s="271"/>
      <c r="G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row>
    <row r="893">
      <c r="A893" s="271"/>
      <c r="B893" s="271"/>
      <c r="C893" s="271"/>
      <c r="D893" s="271"/>
      <c r="E893" s="271"/>
      <c r="F893" s="271"/>
      <c r="G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row>
    <row r="894">
      <c r="A894" s="271"/>
      <c r="B894" s="271"/>
      <c r="C894" s="271"/>
      <c r="D894" s="271"/>
      <c r="E894" s="271"/>
      <c r="F894" s="271"/>
      <c r="G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row>
    <row r="895">
      <c r="A895" s="271"/>
      <c r="B895" s="271"/>
      <c r="C895" s="271"/>
      <c r="D895" s="271"/>
      <c r="E895" s="271"/>
      <c r="F895" s="271"/>
      <c r="G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row>
    <row r="896">
      <c r="A896" s="271"/>
      <c r="B896" s="271"/>
      <c r="C896" s="271"/>
      <c r="D896" s="271"/>
      <c r="E896" s="271"/>
      <c r="F896" s="271"/>
      <c r="G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row>
    <row r="897">
      <c r="A897" s="271"/>
      <c r="B897" s="271"/>
      <c r="C897" s="271"/>
      <c r="D897" s="271"/>
      <c r="E897" s="271"/>
      <c r="F897" s="271"/>
      <c r="G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row>
    <row r="898">
      <c r="A898" s="271"/>
      <c r="B898" s="271"/>
      <c r="C898" s="271"/>
      <c r="D898" s="271"/>
      <c r="E898" s="271"/>
      <c r="F898" s="271"/>
      <c r="G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row>
    <row r="899">
      <c r="A899" s="271"/>
      <c r="B899" s="271"/>
      <c r="C899" s="271"/>
      <c r="D899" s="271"/>
      <c r="E899" s="271"/>
      <c r="F899" s="271"/>
      <c r="G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row>
    <row r="900">
      <c r="A900" s="271"/>
      <c r="B900" s="271"/>
      <c r="C900" s="271"/>
      <c r="D900" s="271"/>
      <c r="E900" s="271"/>
      <c r="F900" s="271"/>
      <c r="G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row>
    <row r="901">
      <c r="A901" s="271"/>
      <c r="B901" s="271"/>
      <c r="C901" s="271"/>
      <c r="D901" s="271"/>
      <c r="E901" s="271"/>
      <c r="F901" s="271"/>
      <c r="G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row>
    <row r="902">
      <c r="A902" s="271"/>
      <c r="B902" s="271"/>
      <c r="C902" s="271"/>
      <c r="D902" s="271"/>
      <c r="E902" s="271"/>
      <c r="F902" s="271"/>
      <c r="G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row>
    <row r="903">
      <c r="A903" s="271"/>
      <c r="B903" s="271"/>
      <c r="C903" s="271"/>
      <c r="D903" s="271"/>
      <c r="E903" s="271"/>
      <c r="F903" s="271"/>
      <c r="G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row>
    <row r="904">
      <c r="A904" s="271"/>
      <c r="B904" s="271"/>
      <c r="C904" s="271"/>
      <c r="D904" s="271"/>
      <c r="E904" s="271"/>
      <c r="F904" s="271"/>
      <c r="G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row>
    <row r="905">
      <c r="A905" s="271"/>
      <c r="B905" s="271"/>
      <c r="C905" s="271"/>
      <c r="D905" s="271"/>
      <c r="E905" s="271"/>
      <c r="F905" s="271"/>
      <c r="G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row>
    <row r="906">
      <c r="A906" s="271"/>
      <c r="B906" s="271"/>
      <c r="C906" s="271"/>
      <c r="D906" s="271"/>
      <c r="E906" s="271"/>
      <c r="F906" s="271"/>
      <c r="G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row>
    <row r="907">
      <c r="A907" s="271"/>
      <c r="B907" s="271"/>
      <c r="C907" s="271"/>
      <c r="D907" s="271"/>
      <c r="E907" s="271"/>
      <c r="F907" s="271"/>
      <c r="G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row>
    <row r="908">
      <c r="A908" s="271"/>
      <c r="B908" s="271"/>
      <c r="C908" s="271"/>
      <c r="D908" s="271"/>
      <c r="E908" s="271"/>
      <c r="F908" s="271"/>
      <c r="G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row>
    <row r="909">
      <c r="A909" s="271"/>
      <c r="B909" s="271"/>
      <c r="C909" s="271"/>
      <c r="D909" s="271"/>
      <c r="E909" s="271"/>
      <c r="F909" s="271"/>
      <c r="G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row>
    <row r="910">
      <c r="A910" s="271"/>
      <c r="B910" s="271"/>
      <c r="C910" s="271"/>
      <c r="D910" s="271"/>
      <c r="E910" s="271"/>
      <c r="F910" s="271"/>
      <c r="G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row>
    <row r="911">
      <c r="A911" s="271"/>
      <c r="B911" s="271"/>
      <c r="C911" s="271"/>
      <c r="D911" s="271"/>
      <c r="E911" s="271"/>
      <c r="F911" s="271"/>
      <c r="G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row>
    <row r="912">
      <c r="A912" s="271"/>
      <c r="B912" s="271"/>
      <c r="C912" s="271"/>
      <c r="D912" s="271"/>
      <c r="E912" s="271"/>
      <c r="F912" s="271"/>
      <c r="G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row>
    <row r="913">
      <c r="A913" s="271"/>
      <c r="B913" s="271"/>
      <c r="C913" s="271"/>
      <c r="D913" s="271"/>
      <c r="E913" s="271"/>
      <c r="F913" s="271"/>
      <c r="G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row>
    <row r="914">
      <c r="A914" s="271"/>
      <c r="B914" s="271"/>
      <c r="C914" s="271"/>
      <c r="D914" s="271"/>
      <c r="E914" s="271"/>
      <c r="F914" s="271"/>
      <c r="G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row>
    <row r="915">
      <c r="A915" s="271"/>
      <c r="B915" s="271"/>
      <c r="C915" s="271"/>
      <c r="D915" s="271"/>
      <c r="E915" s="271"/>
      <c r="F915" s="271"/>
      <c r="G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row>
    <row r="916">
      <c r="A916" s="271"/>
      <c r="B916" s="271"/>
      <c r="C916" s="271"/>
      <c r="D916" s="271"/>
      <c r="E916" s="271"/>
      <c r="F916" s="271"/>
      <c r="G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row>
    <row r="917">
      <c r="A917" s="271"/>
      <c r="B917" s="271"/>
      <c r="C917" s="271"/>
      <c r="D917" s="271"/>
      <c r="E917" s="271"/>
      <c r="F917" s="271"/>
      <c r="G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row>
    <row r="918">
      <c r="A918" s="271"/>
      <c r="B918" s="271"/>
      <c r="C918" s="271"/>
      <c r="D918" s="271"/>
      <c r="E918" s="271"/>
      <c r="F918" s="271"/>
      <c r="G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row>
    <row r="919">
      <c r="A919" s="271"/>
      <c r="B919" s="271"/>
      <c r="C919" s="271"/>
      <c r="D919" s="271"/>
      <c r="E919" s="271"/>
      <c r="F919" s="271"/>
      <c r="G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row>
    <row r="920">
      <c r="A920" s="271"/>
      <c r="B920" s="271"/>
      <c r="C920" s="271"/>
      <c r="D920" s="271"/>
      <c r="E920" s="271"/>
      <c r="F920" s="271"/>
      <c r="G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row>
    <row r="921">
      <c r="A921" s="271"/>
      <c r="B921" s="271"/>
      <c r="C921" s="271"/>
      <c r="D921" s="271"/>
      <c r="E921" s="271"/>
      <c r="F921" s="271"/>
      <c r="G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row>
    <row r="922">
      <c r="A922" s="271"/>
      <c r="B922" s="271"/>
      <c r="C922" s="271"/>
      <c r="D922" s="271"/>
      <c r="E922" s="271"/>
      <c r="F922" s="271"/>
      <c r="G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row>
    <row r="923">
      <c r="A923" s="271"/>
      <c r="B923" s="271"/>
      <c r="C923" s="271"/>
      <c r="D923" s="271"/>
      <c r="E923" s="271"/>
      <c r="F923" s="271"/>
      <c r="G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row>
    <row r="924">
      <c r="A924" s="271"/>
      <c r="B924" s="271"/>
      <c r="C924" s="271"/>
      <c r="D924" s="271"/>
      <c r="E924" s="271"/>
      <c r="F924" s="271"/>
      <c r="G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row>
    <row r="925">
      <c r="A925" s="271"/>
      <c r="B925" s="271"/>
      <c r="C925" s="271"/>
      <c r="D925" s="271"/>
      <c r="E925" s="271"/>
      <c r="F925" s="271"/>
      <c r="G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row>
    <row r="926">
      <c r="A926" s="271"/>
      <c r="B926" s="271"/>
      <c r="C926" s="271"/>
      <c r="D926" s="271"/>
      <c r="E926" s="271"/>
      <c r="F926" s="271"/>
      <c r="G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row>
    <row r="927">
      <c r="A927" s="271"/>
      <c r="B927" s="271"/>
      <c r="C927" s="271"/>
      <c r="D927" s="271"/>
      <c r="E927" s="271"/>
      <c r="F927" s="271"/>
      <c r="G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row>
    <row r="928">
      <c r="A928" s="271"/>
      <c r="B928" s="271"/>
      <c r="C928" s="271"/>
      <c r="D928" s="271"/>
      <c r="E928" s="271"/>
      <c r="F928" s="271"/>
      <c r="G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row>
    <row r="929">
      <c r="A929" s="271"/>
      <c r="B929" s="271"/>
      <c r="C929" s="271"/>
      <c r="D929" s="271"/>
      <c r="E929" s="271"/>
      <c r="F929" s="271"/>
      <c r="G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row>
    <row r="930">
      <c r="A930" s="271"/>
      <c r="B930" s="271"/>
      <c r="C930" s="271"/>
      <c r="D930" s="271"/>
      <c r="E930" s="271"/>
      <c r="F930" s="271"/>
      <c r="G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row>
    <row r="931">
      <c r="A931" s="271"/>
      <c r="B931" s="271"/>
      <c r="C931" s="271"/>
      <c r="D931" s="271"/>
      <c r="E931" s="271"/>
      <c r="F931" s="271"/>
      <c r="G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row>
    <row r="932">
      <c r="A932" s="271"/>
      <c r="B932" s="271"/>
      <c r="C932" s="271"/>
      <c r="D932" s="271"/>
      <c r="E932" s="271"/>
      <c r="F932" s="271"/>
      <c r="G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row>
    <row r="933">
      <c r="A933" s="271"/>
      <c r="B933" s="271"/>
      <c r="C933" s="271"/>
      <c r="D933" s="271"/>
      <c r="E933" s="271"/>
      <c r="F933" s="271"/>
      <c r="G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row>
    <row r="934">
      <c r="A934" s="271"/>
      <c r="B934" s="271"/>
      <c r="C934" s="271"/>
      <c r="D934" s="271"/>
      <c r="E934" s="271"/>
      <c r="F934" s="271"/>
      <c r="G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row>
    <row r="935">
      <c r="A935" s="271"/>
      <c r="B935" s="271"/>
      <c r="C935" s="271"/>
      <c r="D935" s="271"/>
      <c r="E935" s="271"/>
      <c r="F935" s="271"/>
      <c r="G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row>
    <row r="936">
      <c r="A936" s="271"/>
      <c r="B936" s="271"/>
      <c r="C936" s="271"/>
      <c r="D936" s="271"/>
      <c r="E936" s="271"/>
      <c r="F936" s="271"/>
      <c r="G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row>
    <row r="937">
      <c r="A937" s="271"/>
      <c r="B937" s="271"/>
      <c r="C937" s="271"/>
      <c r="D937" s="271"/>
      <c r="E937" s="271"/>
      <c r="F937" s="271"/>
      <c r="G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row>
    <row r="938">
      <c r="A938" s="271"/>
      <c r="B938" s="271"/>
      <c r="C938" s="271"/>
      <c r="D938" s="271"/>
      <c r="E938" s="271"/>
      <c r="F938" s="271"/>
      <c r="G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row>
    <row r="939">
      <c r="A939" s="271"/>
      <c r="B939" s="271"/>
      <c r="C939" s="271"/>
      <c r="D939" s="271"/>
      <c r="E939" s="271"/>
      <c r="F939" s="271"/>
      <c r="G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row>
    <row r="940">
      <c r="A940" s="271"/>
      <c r="B940" s="271"/>
      <c r="C940" s="271"/>
      <c r="D940" s="271"/>
      <c r="E940" s="271"/>
      <c r="F940" s="271"/>
      <c r="G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row>
    <row r="941">
      <c r="A941" s="271"/>
      <c r="B941" s="271"/>
      <c r="C941" s="271"/>
      <c r="D941" s="271"/>
      <c r="E941" s="271"/>
      <c r="F941" s="271"/>
      <c r="G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row>
    <row r="942">
      <c r="A942" s="271"/>
      <c r="B942" s="271"/>
      <c r="C942" s="271"/>
      <c r="D942" s="271"/>
      <c r="E942" s="271"/>
      <c r="F942" s="271"/>
      <c r="G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row>
    <row r="943">
      <c r="A943" s="271"/>
      <c r="B943" s="271"/>
      <c r="C943" s="271"/>
      <c r="D943" s="271"/>
      <c r="E943" s="271"/>
      <c r="F943" s="271"/>
      <c r="G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row>
    <row r="944">
      <c r="A944" s="271"/>
      <c r="B944" s="271"/>
      <c r="C944" s="271"/>
      <c r="D944" s="271"/>
      <c r="E944" s="271"/>
      <c r="F944" s="271"/>
      <c r="G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row>
    <row r="945">
      <c r="A945" s="271"/>
      <c r="B945" s="271"/>
      <c r="C945" s="271"/>
      <c r="D945" s="271"/>
      <c r="E945" s="271"/>
      <c r="F945" s="271"/>
      <c r="G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row>
    <row r="946">
      <c r="A946" s="271"/>
      <c r="B946" s="271"/>
      <c r="C946" s="271"/>
      <c r="D946" s="271"/>
      <c r="E946" s="271"/>
      <c r="F946" s="271"/>
      <c r="G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row>
    <row r="947">
      <c r="A947" s="271"/>
      <c r="B947" s="271"/>
      <c r="C947" s="271"/>
      <c r="D947" s="271"/>
      <c r="E947" s="271"/>
      <c r="F947" s="271"/>
      <c r="G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row>
    <row r="948">
      <c r="A948" s="271"/>
      <c r="B948" s="271"/>
      <c r="C948" s="271"/>
      <c r="D948" s="271"/>
      <c r="E948" s="271"/>
      <c r="F948" s="271"/>
      <c r="G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row>
    <row r="949">
      <c r="A949" s="271"/>
      <c r="B949" s="271"/>
      <c r="C949" s="271"/>
      <c r="D949" s="271"/>
      <c r="E949" s="271"/>
      <c r="F949" s="271"/>
      <c r="G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row>
    <row r="950">
      <c r="A950" s="271"/>
      <c r="B950" s="271"/>
      <c r="C950" s="271"/>
      <c r="D950" s="271"/>
      <c r="E950" s="271"/>
      <c r="F950" s="271"/>
      <c r="G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row>
    <row r="951">
      <c r="A951" s="271"/>
      <c r="B951" s="271"/>
      <c r="C951" s="271"/>
      <c r="D951" s="271"/>
      <c r="E951" s="271"/>
      <c r="F951" s="271"/>
      <c r="G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row>
    <row r="952">
      <c r="A952" s="271"/>
      <c r="B952" s="271"/>
      <c r="C952" s="271"/>
      <c r="D952" s="271"/>
      <c r="E952" s="271"/>
      <c r="F952" s="271"/>
      <c r="G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row>
    <row r="953">
      <c r="A953" s="271"/>
      <c r="B953" s="271"/>
      <c r="C953" s="271"/>
      <c r="D953" s="271"/>
      <c r="E953" s="271"/>
      <c r="F953" s="271"/>
      <c r="G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row>
    <row r="954">
      <c r="A954" s="271"/>
      <c r="B954" s="271"/>
      <c r="C954" s="271"/>
      <c r="D954" s="271"/>
      <c r="E954" s="271"/>
      <c r="F954" s="271"/>
      <c r="G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row>
    <row r="955">
      <c r="A955" s="271"/>
      <c r="B955" s="271"/>
      <c r="C955" s="271"/>
      <c r="D955" s="271"/>
      <c r="E955" s="271"/>
      <c r="F955" s="271"/>
      <c r="G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row>
    <row r="956">
      <c r="A956" s="271"/>
      <c r="B956" s="271"/>
      <c r="C956" s="271"/>
      <c r="D956" s="271"/>
      <c r="E956" s="271"/>
      <c r="F956" s="271"/>
      <c r="G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row>
    <row r="957">
      <c r="A957" s="271"/>
      <c r="B957" s="271"/>
      <c r="C957" s="271"/>
      <c r="D957" s="271"/>
      <c r="E957" s="271"/>
      <c r="F957" s="271"/>
      <c r="G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row>
    <row r="958">
      <c r="A958" s="271"/>
      <c r="B958" s="271"/>
      <c r="C958" s="271"/>
      <c r="D958" s="271"/>
      <c r="E958" s="271"/>
      <c r="F958" s="271"/>
      <c r="G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row>
    <row r="959">
      <c r="A959" s="271"/>
      <c r="B959" s="271"/>
      <c r="C959" s="271"/>
      <c r="D959" s="271"/>
      <c r="E959" s="271"/>
      <c r="F959" s="271"/>
      <c r="G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row>
    <row r="960">
      <c r="A960" s="271"/>
      <c r="B960" s="271"/>
      <c r="C960" s="271"/>
      <c r="D960" s="271"/>
      <c r="E960" s="271"/>
      <c r="F960" s="271"/>
      <c r="G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row>
    <row r="961">
      <c r="A961" s="271"/>
      <c r="B961" s="271"/>
      <c r="C961" s="271"/>
      <c r="D961" s="271"/>
      <c r="E961" s="271"/>
      <c r="F961" s="271"/>
      <c r="G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row>
    <row r="962">
      <c r="A962" s="271"/>
      <c r="B962" s="271"/>
      <c r="C962" s="271"/>
      <c r="D962" s="271"/>
      <c r="E962" s="271"/>
      <c r="F962" s="271"/>
      <c r="G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row>
    <row r="963">
      <c r="A963" s="271"/>
      <c r="B963" s="271"/>
      <c r="C963" s="271"/>
      <c r="D963" s="271"/>
      <c r="E963" s="271"/>
      <c r="F963" s="271"/>
      <c r="G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row>
    <row r="964">
      <c r="A964" s="271"/>
      <c r="B964" s="271"/>
      <c r="C964" s="271"/>
      <c r="D964" s="271"/>
      <c r="E964" s="271"/>
      <c r="F964" s="271"/>
      <c r="G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row>
    <row r="965">
      <c r="A965" s="271"/>
      <c r="B965" s="271"/>
      <c r="C965" s="271"/>
      <c r="D965" s="271"/>
      <c r="E965" s="271"/>
      <c r="F965" s="271"/>
      <c r="G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row>
    <row r="966">
      <c r="A966" s="271"/>
      <c r="B966" s="271"/>
      <c r="C966" s="271"/>
      <c r="D966" s="271"/>
      <c r="E966" s="271"/>
      <c r="F966" s="271"/>
      <c r="G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row>
    <row r="967">
      <c r="A967" s="271"/>
      <c r="B967" s="271"/>
      <c r="C967" s="271"/>
      <c r="D967" s="271"/>
      <c r="E967" s="271"/>
      <c r="F967" s="271"/>
      <c r="G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row>
    <row r="968">
      <c r="A968" s="271"/>
      <c r="B968" s="271"/>
      <c r="C968" s="271"/>
      <c r="D968" s="271"/>
      <c r="E968" s="271"/>
      <c r="F968" s="271"/>
      <c r="G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row>
    <row r="969">
      <c r="A969" s="271"/>
      <c r="B969" s="271"/>
      <c r="C969" s="271"/>
      <c r="D969" s="271"/>
      <c r="E969" s="271"/>
      <c r="F969" s="271"/>
      <c r="G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row>
    <row r="970">
      <c r="A970" s="271"/>
      <c r="B970" s="271"/>
      <c r="C970" s="271"/>
      <c r="D970" s="271"/>
      <c r="E970" s="271"/>
      <c r="F970" s="271"/>
      <c r="G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row>
    <row r="971">
      <c r="A971" s="271"/>
      <c r="B971" s="271"/>
      <c r="C971" s="271"/>
      <c r="D971" s="271"/>
      <c r="E971" s="271"/>
      <c r="F971" s="271"/>
      <c r="G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row>
    <row r="972">
      <c r="A972" s="271"/>
      <c r="B972" s="271"/>
      <c r="C972" s="271"/>
      <c r="D972" s="271"/>
      <c r="E972" s="271"/>
      <c r="F972" s="271"/>
      <c r="G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row>
    <row r="973">
      <c r="A973" s="271"/>
      <c r="B973" s="271"/>
      <c r="C973" s="271"/>
      <c r="D973" s="271"/>
      <c r="E973" s="271"/>
      <c r="F973" s="271"/>
      <c r="G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row>
    <row r="974">
      <c r="A974" s="271"/>
      <c r="B974" s="271"/>
      <c r="C974" s="271"/>
      <c r="D974" s="271"/>
      <c r="E974" s="271"/>
      <c r="F974" s="271"/>
      <c r="G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row>
    <row r="975">
      <c r="A975" s="271"/>
      <c r="B975" s="271"/>
      <c r="C975" s="271"/>
      <c r="D975" s="271"/>
      <c r="E975" s="271"/>
      <c r="F975" s="271"/>
      <c r="G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row>
    <row r="976">
      <c r="A976" s="271"/>
      <c r="B976" s="271"/>
      <c r="C976" s="271"/>
      <c r="D976" s="271"/>
      <c r="E976" s="271"/>
      <c r="F976" s="271"/>
      <c r="G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row>
    <row r="977">
      <c r="A977" s="271"/>
      <c r="B977" s="271"/>
      <c r="C977" s="271"/>
      <c r="D977" s="271"/>
      <c r="E977" s="271"/>
      <c r="F977" s="271"/>
      <c r="G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row>
    <row r="978">
      <c r="A978" s="271"/>
      <c r="B978" s="271"/>
      <c r="C978" s="271"/>
      <c r="D978" s="271"/>
      <c r="E978" s="271"/>
      <c r="F978" s="271"/>
      <c r="G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row>
    <row r="979">
      <c r="A979" s="271"/>
      <c r="B979" s="271"/>
      <c r="C979" s="271"/>
      <c r="D979" s="271"/>
      <c r="E979" s="271"/>
      <c r="F979" s="271"/>
      <c r="G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row>
    <row r="980">
      <c r="A980" s="271"/>
      <c r="B980" s="271"/>
      <c r="C980" s="271"/>
      <c r="D980" s="271"/>
      <c r="E980" s="271"/>
      <c r="F980" s="271"/>
      <c r="G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row>
    <row r="981">
      <c r="A981" s="271"/>
      <c r="B981" s="271"/>
      <c r="C981" s="271"/>
      <c r="D981" s="271"/>
      <c r="E981" s="271"/>
      <c r="F981" s="271"/>
      <c r="G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row>
    <row r="982">
      <c r="A982" s="271"/>
      <c r="B982" s="271"/>
      <c r="C982" s="271"/>
      <c r="D982" s="271"/>
      <c r="E982" s="271"/>
      <c r="F982" s="271"/>
      <c r="G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row>
    <row r="983">
      <c r="A983" s="271"/>
      <c r="B983" s="271"/>
      <c r="C983" s="271"/>
      <c r="D983" s="271"/>
      <c r="E983" s="271"/>
      <c r="F983" s="271"/>
      <c r="G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row>
    <row r="984">
      <c r="A984" s="271"/>
      <c r="B984" s="271"/>
      <c r="C984" s="271"/>
      <c r="D984" s="271"/>
      <c r="E984" s="271"/>
      <c r="F984" s="271"/>
      <c r="G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row>
    <row r="985">
      <c r="A985" s="271"/>
      <c r="B985" s="271"/>
      <c r="C985" s="271"/>
      <c r="D985" s="271"/>
      <c r="E985" s="271"/>
      <c r="F985" s="271"/>
      <c r="G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row>
    <row r="986">
      <c r="A986" s="271"/>
      <c r="B986" s="271"/>
      <c r="C986" s="271"/>
      <c r="D986" s="271"/>
      <c r="E986" s="271"/>
      <c r="F986" s="271"/>
      <c r="G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row>
    <row r="987">
      <c r="A987" s="271"/>
      <c r="B987" s="271"/>
      <c r="C987" s="271"/>
      <c r="D987" s="271"/>
      <c r="E987" s="271"/>
      <c r="F987" s="271"/>
      <c r="G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row>
    <row r="988">
      <c r="A988" s="271"/>
      <c r="B988" s="271"/>
      <c r="C988" s="271"/>
      <c r="D988" s="271"/>
      <c r="E988" s="271"/>
      <c r="F988" s="271"/>
      <c r="G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row>
    <row r="989">
      <c r="A989" s="271"/>
      <c r="B989" s="271"/>
      <c r="C989" s="271"/>
      <c r="D989" s="271"/>
      <c r="E989" s="271"/>
      <c r="F989" s="271"/>
      <c r="G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row>
    <row r="990">
      <c r="A990" s="271"/>
      <c r="B990" s="271"/>
      <c r="C990" s="271"/>
      <c r="D990" s="271"/>
      <c r="E990" s="271"/>
      <c r="F990" s="271"/>
      <c r="G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row>
    <row r="991">
      <c r="A991" s="271"/>
      <c r="B991" s="271"/>
      <c r="C991" s="271"/>
      <c r="D991" s="271"/>
      <c r="E991" s="271"/>
      <c r="F991" s="271"/>
      <c r="G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row>
    <row r="992">
      <c r="A992" s="271"/>
      <c r="B992" s="271"/>
      <c r="C992" s="271"/>
      <c r="D992" s="271"/>
      <c r="E992" s="271"/>
      <c r="F992" s="271"/>
      <c r="G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row>
    <row r="993">
      <c r="A993" s="271"/>
      <c r="B993" s="271"/>
      <c r="C993" s="271"/>
      <c r="D993" s="271"/>
      <c r="E993" s="271"/>
      <c r="F993" s="271"/>
      <c r="G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row>
    <row r="994">
      <c r="A994" s="271"/>
      <c r="B994" s="271"/>
      <c r="C994" s="271"/>
      <c r="D994" s="271"/>
      <c r="E994" s="271"/>
      <c r="F994" s="271"/>
      <c r="G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row>
    <row r="995">
      <c r="A995" s="271"/>
      <c r="B995" s="271"/>
      <c r="C995" s="271"/>
      <c r="D995" s="271"/>
      <c r="E995" s="271"/>
      <c r="F995" s="271"/>
      <c r="G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row>
    <row r="996">
      <c r="A996" s="271"/>
      <c r="B996" s="271"/>
      <c r="C996" s="271"/>
      <c r="D996" s="271"/>
      <c r="E996" s="271"/>
      <c r="F996" s="271"/>
      <c r="G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row>
    <row r="997">
      <c r="A997" s="271"/>
      <c r="B997" s="271"/>
      <c r="C997" s="271"/>
      <c r="D997" s="271"/>
      <c r="E997" s="271"/>
      <c r="F997" s="271"/>
      <c r="G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row>
    <row r="998">
      <c r="A998" s="271"/>
      <c r="B998" s="271"/>
      <c r="C998" s="271"/>
      <c r="D998" s="271"/>
      <c r="E998" s="271"/>
      <c r="F998" s="271"/>
      <c r="G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row>
    <row r="999">
      <c r="A999" s="271"/>
      <c r="B999" s="271"/>
      <c r="C999" s="271"/>
      <c r="D999" s="271"/>
      <c r="E999" s="271"/>
      <c r="F999" s="271"/>
      <c r="G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row>
    <row r="1000">
      <c r="A1000" s="271"/>
      <c r="B1000" s="271"/>
      <c r="C1000" s="271"/>
      <c r="D1000" s="271"/>
      <c r="E1000" s="271"/>
      <c r="F1000" s="271"/>
      <c r="G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t="str">
        <f t="shared" ref="A1:O1" si="1">'Municipality Case Trends'!A5</f>
        <v>#REF!</v>
      </c>
      <c r="B1" s="254" t="str">
        <f t="shared" si="1"/>
        <v>#REF!</v>
      </c>
      <c r="C1" s="254" t="str">
        <f t="shared" si="1"/>
        <v>#REF!</v>
      </c>
      <c r="D1" s="254" t="str">
        <f t="shared" si="1"/>
        <v>#REF!</v>
      </c>
      <c r="E1" s="254" t="str">
        <f t="shared" si="1"/>
        <v>#REF!</v>
      </c>
      <c r="F1" s="254" t="str">
        <f t="shared" si="1"/>
        <v>#REF!</v>
      </c>
      <c r="G1" s="254" t="str">
        <f t="shared" si="1"/>
        <v>#REF!</v>
      </c>
      <c r="H1" s="254" t="str">
        <f t="shared" si="1"/>
        <v>#REF!</v>
      </c>
      <c r="I1" s="254" t="str">
        <f t="shared" si="1"/>
        <v>#REF!</v>
      </c>
      <c r="J1" s="254" t="str">
        <f t="shared" si="1"/>
        <v>#REF!</v>
      </c>
      <c r="K1" s="254" t="str">
        <f t="shared" si="1"/>
        <v>#REF!</v>
      </c>
      <c r="L1" s="254" t="str">
        <f t="shared" si="1"/>
        <v>#REF!</v>
      </c>
      <c r="M1" s="254" t="str">
        <f t="shared" si="1"/>
        <v>#REF!</v>
      </c>
      <c r="N1" s="254" t="str">
        <f t="shared" si="1"/>
        <v>#REF!</v>
      </c>
      <c r="O1" s="254" t="str">
        <f t="shared" si="1"/>
        <v>#REF!</v>
      </c>
      <c r="P1" s="254" t="str">
        <f t="shared" ref="P1:Z1" si="2">#REF!</f>
        <v>#REF!</v>
      </c>
      <c r="Q1" s="254" t="str">
        <f t="shared" si="2"/>
        <v>#REF!</v>
      </c>
      <c r="R1" s="254" t="str">
        <f t="shared" si="2"/>
        <v>#REF!</v>
      </c>
      <c r="S1" s="254" t="str">
        <f t="shared" si="2"/>
        <v>#REF!</v>
      </c>
      <c r="T1" s="254" t="str">
        <f t="shared" si="2"/>
        <v>#REF!</v>
      </c>
      <c r="U1" s="254" t="str">
        <f t="shared" si="2"/>
        <v>#REF!</v>
      </c>
      <c r="V1" s="254" t="str">
        <f t="shared" si="2"/>
        <v>#REF!</v>
      </c>
      <c r="W1" s="254" t="str">
        <f t="shared" si="2"/>
        <v>#REF!</v>
      </c>
      <c r="X1" s="254" t="str">
        <f t="shared" si="2"/>
        <v>#REF!</v>
      </c>
      <c r="Y1" s="254" t="str">
        <f t="shared" si="2"/>
        <v>#REF!</v>
      </c>
      <c r="Z1" s="254" t="str">
        <f t="shared" si="2"/>
        <v>#REF!</v>
      </c>
    </row>
    <row r="2">
      <c r="A2" s="254" t="str">
        <f t="shared" ref="A2:O2" si="3">'Municipality Case Trends'!A6</f>
        <v>#REF!</v>
      </c>
      <c r="B2" s="254" t="str">
        <f t="shared" si="3"/>
        <v>#REF!</v>
      </c>
      <c r="C2" s="254" t="str">
        <f t="shared" si="3"/>
        <v>#REF!</v>
      </c>
      <c r="D2" s="254" t="str">
        <f t="shared" si="3"/>
        <v>#REF!</v>
      </c>
      <c r="E2" s="254" t="str">
        <f t="shared" si="3"/>
        <v>#REF!</v>
      </c>
      <c r="F2" s="254" t="str">
        <f t="shared" si="3"/>
        <v>#REF!</v>
      </c>
      <c r="G2" s="254" t="str">
        <f t="shared" si="3"/>
        <v>#REF!</v>
      </c>
      <c r="H2" s="254" t="str">
        <f t="shared" si="3"/>
        <v>#REF!</v>
      </c>
      <c r="I2" s="254" t="str">
        <f t="shared" si="3"/>
        <v>#REF!</v>
      </c>
      <c r="J2" s="254" t="str">
        <f t="shared" si="3"/>
        <v>#REF!</v>
      </c>
      <c r="K2" s="254" t="str">
        <f t="shared" si="3"/>
        <v>#REF!</v>
      </c>
      <c r="L2" s="254" t="str">
        <f t="shared" si="3"/>
        <v>#REF!</v>
      </c>
      <c r="M2" s="254" t="str">
        <f t="shared" si="3"/>
        <v>#REF!</v>
      </c>
      <c r="N2" s="254" t="str">
        <f t="shared" si="3"/>
        <v>#REF!</v>
      </c>
      <c r="O2" s="254" t="str">
        <f t="shared" si="3"/>
        <v>#REF!</v>
      </c>
      <c r="P2" s="254" t="str">
        <f t="shared" ref="P2:X2" si="4">#REF!</f>
        <v>#REF!</v>
      </c>
      <c r="Q2" s="254" t="str">
        <f t="shared" si="4"/>
        <v>#REF!</v>
      </c>
      <c r="R2" s="254" t="str">
        <f t="shared" si="4"/>
        <v>#REF!</v>
      </c>
      <c r="S2" s="254" t="str">
        <f t="shared" si="4"/>
        <v>#REF!</v>
      </c>
      <c r="T2" s="254" t="str">
        <f t="shared" si="4"/>
        <v>#REF!</v>
      </c>
      <c r="U2" s="254" t="str">
        <f t="shared" si="4"/>
        <v>#REF!</v>
      </c>
      <c r="V2" s="254" t="str">
        <f t="shared" si="4"/>
        <v>#REF!</v>
      </c>
      <c r="W2" s="254" t="str">
        <f t="shared" si="4"/>
        <v>#REF!</v>
      </c>
      <c r="X2" s="254" t="str">
        <f t="shared" si="4"/>
        <v>#REF!</v>
      </c>
    </row>
    <row r="3">
      <c r="A3" s="254" t="str">
        <f t="shared" ref="A3:O3" si="5">'Municipality Case Trends'!A7</f>
        <v>#REF!</v>
      </c>
      <c r="B3" s="254" t="str">
        <f t="shared" si="5"/>
        <v>#REF!</v>
      </c>
      <c r="C3" s="254" t="str">
        <f t="shared" si="5"/>
        <v>#REF!</v>
      </c>
      <c r="D3" s="254" t="str">
        <f t="shared" si="5"/>
        <v>#REF!</v>
      </c>
      <c r="E3" s="254" t="str">
        <f t="shared" si="5"/>
        <v>#REF!</v>
      </c>
      <c r="F3" s="254" t="str">
        <f t="shared" si="5"/>
        <v>#REF!</v>
      </c>
      <c r="G3" s="254" t="str">
        <f t="shared" si="5"/>
        <v>#REF!</v>
      </c>
      <c r="H3" s="254" t="str">
        <f t="shared" si="5"/>
        <v>#REF!</v>
      </c>
      <c r="I3" s="254" t="str">
        <f t="shared" si="5"/>
        <v>#REF!</v>
      </c>
      <c r="J3" s="254" t="str">
        <f t="shared" si="5"/>
        <v>#REF!</v>
      </c>
      <c r="K3" s="254" t="str">
        <f t="shared" si="5"/>
        <v>#REF!</v>
      </c>
      <c r="L3" s="254" t="str">
        <f t="shared" si="5"/>
        <v>#REF!</v>
      </c>
      <c r="M3" s="254" t="str">
        <f t="shared" si="5"/>
        <v>#REF!</v>
      </c>
      <c r="N3" s="254" t="str">
        <f t="shared" si="5"/>
        <v>#REF!</v>
      </c>
      <c r="O3" s="254" t="str">
        <f t="shared" si="5"/>
        <v>#REF!</v>
      </c>
      <c r="P3" s="254" t="str">
        <f t="shared" ref="P3:X3" si="6">#REF!</f>
        <v>#REF!</v>
      </c>
      <c r="Q3" s="254" t="str">
        <f t="shared" si="6"/>
        <v>#REF!</v>
      </c>
      <c r="R3" s="254" t="str">
        <f t="shared" si="6"/>
        <v>#REF!</v>
      </c>
      <c r="S3" s="254" t="str">
        <f t="shared" si="6"/>
        <v>#REF!</v>
      </c>
      <c r="T3" s="254" t="str">
        <f t="shared" si="6"/>
        <v>#REF!</v>
      </c>
      <c r="U3" s="254" t="str">
        <f t="shared" si="6"/>
        <v>#REF!</v>
      </c>
      <c r="V3" s="254" t="str">
        <f t="shared" si="6"/>
        <v>#REF!</v>
      </c>
      <c r="W3" s="254" t="str">
        <f t="shared" si="6"/>
        <v>#REF!</v>
      </c>
      <c r="X3" s="254" t="str">
        <f t="shared" si="6"/>
        <v>#REF!</v>
      </c>
    </row>
    <row r="4">
      <c r="A4" s="254" t="str">
        <f t="shared" ref="A4:O4" si="7">'Municipality Case Trends'!A8</f>
        <v>#REF!</v>
      </c>
      <c r="B4" s="254" t="str">
        <f t="shared" si="7"/>
        <v>#REF!</v>
      </c>
      <c r="C4" s="254" t="str">
        <f t="shared" si="7"/>
        <v>#REF!</v>
      </c>
      <c r="D4" s="254" t="str">
        <f t="shared" si="7"/>
        <v>#REF!</v>
      </c>
      <c r="E4" s="254" t="str">
        <f t="shared" si="7"/>
        <v>#REF!</v>
      </c>
      <c r="F4" s="254" t="str">
        <f t="shared" si="7"/>
        <v>#REF!</v>
      </c>
      <c r="G4" s="254" t="str">
        <f t="shared" si="7"/>
        <v>#REF!</v>
      </c>
      <c r="H4" s="254" t="str">
        <f t="shared" si="7"/>
        <v>#REF!</v>
      </c>
      <c r="I4" s="254" t="str">
        <f t="shared" si="7"/>
        <v>#REF!</v>
      </c>
      <c r="J4" s="254" t="str">
        <f t="shared" si="7"/>
        <v>#REF!</v>
      </c>
      <c r="K4" s="254" t="str">
        <f t="shared" si="7"/>
        <v>#REF!</v>
      </c>
      <c r="L4" s="254" t="str">
        <f t="shared" si="7"/>
        <v>#REF!</v>
      </c>
      <c r="M4" s="254" t="str">
        <f t="shared" si="7"/>
        <v>#REF!</v>
      </c>
      <c r="N4" s="254" t="str">
        <f t="shared" si="7"/>
        <v>#REF!</v>
      </c>
      <c r="O4" s="254" t="str">
        <f t="shared" si="7"/>
        <v>#REF!</v>
      </c>
      <c r="P4" s="254" t="str">
        <f t="shared" ref="P4:X4" si="8">#REF!</f>
        <v>#REF!</v>
      </c>
      <c r="Q4" s="254" t="str">
        <f t="shared" si="8"/>
        <v>#REF!</v>
      </c>
      <c r="R4" s="254" t="str">
        <f t="shared" si="8"/>
        <v>#REF!</v>
      </c>
      <c r="S4" s="254" t="str">
        <f t="shared" si="8"/>
        <v>#REF!</v>
      </c>
      <c r="T4" s="254" t="str">
        <f t="shared" si="8"/>
        <v>#REF!</v>
      </c>
      <c r="U4" s="254" t="str">
        <f t="shared" si="8"/>
        <v>#REF!</v>
      </c>
      <c r="V4" s="254" t="str">
        <f t="shared" si="8"/>
        <v>#REF!</v>
      </c>
      <c r="W4" s="254" t="str">
        <f t="shared" si="8"/>
        <v>#REF!</v>
      </c>
      <c r="X4" s="254" t="str">
        <f t="shared" si="8"/>
        <v>#REF!</v>
      </c>
    </row>
    <row r="5">
      <c r="A5" s="254" t="str">
        <f t="shared" ref="A5:O5" si="9">'Municipality Case Trends'!A9</f>
        <v>#REF!</v>
      </c>
      <c r="B5" s="254" t="str">
        <f t="shared" si="9"/>
        <v>#REF!</v>
      </c>
      <c r="C5" s="254" t="str">
        <f t="shared" si="9"/>
        <v>#REF!</v>
      </c>
      <c r="D5" s="254" t="str">
        <f t="shared" si="9"/>
        <v>#REF!</v>
      </c>
      <c r="E5" s="254" t="str">
        <f t="shared" si="9"/>
        <v>#REF!</v>
      </c>
      <c r="F5" s="254" t="str">
        <f t="shared" si="9"/>
        <v>#REF!</v>
      </c>
      <c r="G5" s="254" t="str">
        <f t="shared" si="9"/>
        <v>#REF!</v>
      </c>
      <c r="H5" s="254" t="str">
        <f t="shared" si="9"/>
        <v>#REF!</v>
      </c>
      <c r="I5" s="254" t="str">
        <f t="shared" si="9"/>
        <v>#REF!</v>
      </c>
      <c r="J5" s="254" t="str">
        <f t="shared" si="9"/>
        <v>#REF!</v>
      </c>
      <c r="K5" s="254" t="str">
        <f t="shared" si="9"/>
        <v>#REF!</v>
      </c>
      <c r="L5" s="254" t="str">
        <f t="shared" si="9"/>
        <v>#REF!</v>
      </c>
      <c r="M5" s="254" t="str">
        <f t="shared" si="9"/>
        <v>#REF!</v>
      </c>
      <c r="N5" s="254" t="str">
        <f t="shared" si="9"/>
        <v>#REF!</v>
      </c>
      <c r="O5" s="254" t="str">
        <f t="shared" si="9"/>
        <v>#REF!</v>
      </c>
      <c r="P5" s="254" t="str">
        <f t="shared" ref="P5:X5" si="10">#REF!</f>
        <v>#REF!</v>
      </c>
      <c r="Q5" s="254" t="str">
        <f t="shared" si="10"/>
        <v>#REF!</v>
      </c>
      <c r="R5" s="254" t="str">
        <f t="shared" si="10"/>
        <v>#REF!</v>
      </c>
      <c r="S5" s="254" t="str">
        <f t="shared" si="10"/>
        <v>#REF!</v>
      </c>
      <c r="T5" s="254" t="str">
        <f t="shared" si="10"/>
        <v>#REF!</v>
      </c>
      <c r="U5" s="254" t="str">
        <f t="shared" si="10"/>
        <v>#REF!</v>
      </c>
      <c r="V5" s="254" t="str">
        <f t="shared" si="10"/>
        <v>#REF!</v>
      </c>
      <c r="W5" s="254" t="str">
        <f t="shared" si="10"/>
        <v>#REF!</v>
      </c>
      <c r="X5" s="254" t="str">
        <f t="shared" si="10"/>
        <v>#REF!</v>
      </c>
    </row>
    <row r="6">
      <c r="A6" s="254" t="str">
        <f t="shared" ref="A6:O6" si="11">'Municipality Case Trends'!A10</f>
        <v>#REF!</v>
      </c>
      <c r="B6" s="254" t="str">
        <f t="shared" si="11"/>
        <v>#REF!</v>
      </c>
      <c r="C6" s="254" t="str">
        <f t="shared" si="11"/>
        <v>#REF!</v>
      </c>
      <c r="D6" s="254" t="str">
        <f t="shared" si="11"/>
        <v>#REF!</v>
      </c>
      <c r="E6" s="254" t="str">
        <f t="shared" si="11"/>
        <v>#REF!</v>
      </c>
      <c r="F6" s="254" t="str">
        <f t="shared" si="11"/>
        <v>#REF!</v>
      </c>
      <c r="G6" s="254" t="str">
        <f t="shared" si="11"/>
        <v>#REF!</v>
      </c>
      <c r="H6" s="254" t="str">
        <f t="shared" si="11"/>
        <v>#REF!</v>
      </c>
      <c r="I6" s="254" t="str">
        <f t="shared" si="11"/>
        <v>#REF!</v>
      </c>
      <c r="J6" s="254" t="str">
        <f t="shared" si="11"/>
        <v>#REF!</v>
      </c>
      <c r="K6" s="254" t="str">
        <f t="shared" si="11"/>
        <v>#REF!</v>
      </c>
      <c r="L6" s="254" t="str">
        <f t="shared" si="11"/>
        <v>#REF!</v>
      </c>
      <c r="M6" s="254" t="str">
        <f t="shared" si="11"/>
        <v>#REF!</v>
      </c>
      <c r="N6" s="254" t="str">
        <f t="shared" si="11"/>
        <v>#REF!</v>
      </c>
      <c r="O6" s="254" t="str">
        <f t="shared" si="11"/>
        <v>#REF!</v>
      </c>
      <c r="P6" s="254" t="str">
        <f t="shared" ref="P6:X6" si="12">#REF!</f>
        <v>#REF!</v>
      </c>
      <c r="Q6" s="254" t="str">
        <f t="shared" si="12"/>
        <v>#REF!</v>
      </c>
      <c r="R6" s="254" t="str">
        <f t="shared" si="12"/>
        <v>#REF!</v>
      </c>
      <c r="S6" s="254" t="str">
        <f t="shared" si="12"/>
        <v>#REF!</v>
      </c>
      <c r="T6" s="254" t="str">
        <f t="shared" si="12"/>
        <v>#REF!</v>
      </c>
      <c r="U6" s="254" t="str">
        <f t="shared" si="12"/>
        <v>#REF!</v>
      </c>
      <c r="V6" s="254" t="str">
        <f t="shared" si="12"/>
        <v>#REF!</v>
      </c>
      <c r="W6" s="254" t="str">
        <f t="shared" si="12"/>
        <v>#REF!</v>
      </c>
      <c r="X6" s="254" t="str">
        <f t="shared" si="12"/>
        <v>#REF!</v>
      </c>
    </row>
    <row r="7">
      <c r="A7" s="254" t="str">
        <f t="shared" ref="A7:O7" si="13">'Municipality Case Trends'!A11</f>
        <v>#REF!</v>
      </c>
      <c r="B7" s="254" t="str">
        <f t="shared" si="13"/>
        <v>#REF!</v>
      </c>
      <c r="C7" s="254" t="str">
        <f t="shared" si="13"/>
        <v>#REF!</v>
      </c>
      <c r="D7" s="254" t="str">
        <f t="shared" si="13"/>
        <v>#REF!</v>
      </c>
      <c r="E7" s="254" t="str">
        <f t="shared" si="13"/>
        <v>#REF!</v>
      </c>
      <c r="F7" s="254" t="str">
        <f t="shared" si="13"/>
        <v>#REF!</v>
      </c>
      <c r="G7" s="254" t="str">
        <f t="shared" si="13"/>
        <v>#REF!</v>
      </c>
      <c r="H7" s="254" t="str">
        <f t="shared" si="13"/>
        <v>#REF!</v>
      </c>
      <c r="I7" s="254" t="str">
        <f t="shared" si="13"/>
        <v>#REF!</v>
      </c>
      <c r="J7" s="254" t="str">
        <f t="shared" si="13"/>
        <v>#REF!</v>
      </c>
      <c r="K7" s="254" t="str">
        <f t="shared" si="13"/>
        <v>#REF!</v>
      </c>
      <c r="L7" s="254" t="str">
        <f t="shared" si="13"/>
        <v>#REF!</v>
      </c>
      <c r="M7" s="254" t="str">
        <f t="shared" si="13"/>
        <v>#REF!</v>
      </c>
      <c r="N7" s="254" t="str">
        <f t="shared" si="13"/>
        <v>#REF!</v>
      </c>
      <c r="O7" s="254" t="str">
        <f t="shared" si="13"/>
        <v>#REF!</v>
      </c>
      <c r="P7" s="254" t="str">
        <f t="shared" ref="P7:X7" si="14">#REF!</f>
        <v>#REF!</v>
      </c>
      <c r="Q7" s="254" t="str">
        <f t="shared" si="14"/>
        <v>#REF!</v>
      </c>
      <c r="R7" s="254" t="str">
        <f t="shared" si="14"/>
        <v>#REF!</v>
      </c>
      <c r="S7" s="254" t="str">
        <f t="shared" si="14"/>
        <v>#REF!</v>
      </c>
      <c r="T7" s="254" t="str">
        <f t="shared" si="14"/>
        <v>#REF!</v>
      </c>
      <c r="U7" s="254" t="str">
        <f t="shared" si="14"/>
        <v>#REF!</v>
      </c>
      <c r="V7" s="254" t="str">
        <f t="shared" si="14"/>
        <v>#REF!</v>
      </c>
      <c r="W7" s="254" t="str">
        <f t="shared" si="14"/>
        <v>#REF!</v>
      </c>
      <c r="X7" s="254" t="str">
        <f t="shared" si="14"/>
        <v>#REF!</v>
      </c>
    </row>
    <row r="8">
      <c r="A8" s="254" t="str">
        <f t="shared" ref="A8:O8" si="15">'Municipality Case Trends'!A12</f>
        <v>#REF!</v>
      </c>
      <c r="B8" s="254" t="str">
        <f t="shared" si="15"/>
        <v>#REF!</v>
      </c>
      <c r="C8" s="254" t="str">
        <f t="shared" si="15"/>
        <v>#REF!</v>
      </c>
      <c r="D8" s="254" t="str">
        <f t="shared" si="15"/>
        <v>#REF!</v>
      </c>
      <c r="E8" s="254" t="str">
        <f t="shared" si="15"/>
        <v>#REF!</v>
      </c>
      <c r="F8" s="254" t="str">
        <f t="shared" si="15"/>
        <v>#REF!</v>
      </c>
      <c r="G8" s="254" t="str">
        <f t="shared" si="15"/>
        <v>#REF!</v>
      </c>
      <c r="H8" s="254" t="str">
        <f t="shared" si="15"/>
        <v>#REF!</v>
      </c>
      <c r="I8" s="254" t="str">
        <f t="shared" si="15"/>
        <v>#REF!</v>
      </c>
      <c r="J8" s="254" t="str">
        <f t="shared" si="15"/>
        <v>#REF!</v>
      </c>
      <c r="K8" s="254" t="str">
        <f t="shared" si="15"/>
        <v>#REF!</v>
      </c>
      <c r="L8" s="254" t="str">
        <f t="shared" si="15"/>
        <v>#REF!</v>
      </c>
      <c r="M8" s="254" t="str">
        <f t="shared" si="15"/>
        <v>#REF!</v>
      </c>
      <c r="N8" s="254" t="str">
        <f t="shared" si="15"/>
        <v>#REF!</v>
      </c>
      <c r="O8" s="254" t="str">
        <f t="shared" si="15"/>
        <v>#REF!</v>
      </c>
      <c r="P8" s="254" t="str">
        <f t="shared" ref="P8:X8" si="16">#REF!</f>
        <v>#REF!</v>
      </c>
      <c r="Q8" s="254" t="str">
        <f t="shared" si="16"/>
        <v>#REF!</v>
      </c>
      <c r="R8" s="254" t="str">
        <f t="shared" si="16"/>
        <v>#REF!</v>
      </c>
      <c r="S8" s="254" t="str">
        <f t="shared" si="16"/>
        <v>#REF!</v>
      </c>
      <c r="T8" s="254" t="str">
        <f t="shared" si="16"/>
        <v>#REF!</v>
      </c>
      <c r="U8" s="254" t="str">
        <f t="shared" si="16"/>
        <v>#REF!</v>
      </c>
      <c r="V8" s="254" t="str">
        <f t="shared" si="16"/>
        <v>#REF!</v>
      </c>
      <c r="W8" s="254" t="str">
        <f t="shared" si="16"/>
        <v>#REF!</v>
      </c>
      <c r="X8" s="254" t="str">
        <f t="shared" si="16"/>
        <v>#REF!</v>
      </c>
    </row>
    <row r="9">
      <c r="A9" s="254" t="str">
        <f t="shared" ref="A9:O9" si="17">'Municipality Case Trends'!A13</f>
        <v>#REF!</v>
      </c>
      <c r="B9" s="254" t="str">
        <f t="shared" si="17"/>
        <v>#REF!</v>
      </c>
      <c r="C9" s="254" t="str">
        <f t="shared" si="17"/>
        <v>#REF!</v>
      </c>
      <c r="D9" s="254" t="str">
        <f t="shared" si="17"/>
        <v>#REF!</v>
      </c>
      <c r="E9" s="254" t="str">
        <f t="shared" si="17"/>
        <v>#REF!</v>
      </c>
      <c r="F9" s="254" t="str">
        <f t="shared" si="17"/>
        <v>#REF!</v>
      </c>
      <c r="G9" s="254" t="str">
        <f t="shared" si="17"/>
        <v>#REF!</v>
      </c>
      <c r="H9" s="254" t="str">
        <f t="shared" si="17"/>
        <v>#REF!</v>
      </c>
      <c r="I9" s="254" t="str">
        <f t="shared" si="17"/>
        <v>#REF!</v>
      </c>
      <c r="J9" s="254" t="str">
        <f t="shared" si="17"/>
        <v>#REF!</v>
      </c>
      <c r="K9" s="254" t="str">
        <f t="shared" si="17"/>
        <v>#REF!</v>
      </c>
      <c r="L9" s="254" t="str">
        <f t="shared" si="17"/>
        <v>#REF!</v>
      </c>
      <c r="M9" s="254" t="str">
        <f t="shared" si="17"/>
        <v>#REF!</v>
      </c>
      <c r="N9" s="254" t="str">
        <f t="shared" si="17"/>
        <v>#REF!</v>
      </c>
      <c r="O9" s="254" t="str">
        <f t="shared" si="17"/>
        <v>#REF!</v>
      </c>
      <c r="P9" s="254" t="str">
        <f t="shared" ref="P9:X9" si="18">#REF!</f>
        <v>#REF!</v>
      </c>
      <c r="Q9" s="254" t="str">
        <f t="shared" si="18"/>
        <v>#REF!</v>
      </c>
      <c r="R9" s="254" t="str">
        <f t="shared" si="18"/>
        <v>#REF!</v>
      </c>
      <c r="S9" s="254" t="str">
        <f t="shared" si="18"/>
        <v>#REF!</v>
      </c>
      <c r="T9" s="254" t="str">
        <f t="shared" si="18"/>
        <v>#REF!</v>
      </c>
      <c r="U9" s="254" t="str">
        <f t="shared" si="18"/>
        <v>#REF!</v>
      </c>
      <c r="V9" s="254" t="str">
        <f t="shared" si="18"/>
        <v>#REF!</v>
      </c>
      <c r="W9" s="254" t="str">
        <f t="shared" si="18"/>
        <v>#REF!</v>
      </c>
      <c r="X9" s="254" t="str">
        <f t="shared" si="18"/>
        <v>#REF!</v>
      </c>
    </row>
    <row r="10">
      <c r="A10" s="254" t="str">
        <f t="shared" ref="A10:O10" si="19">'Municipality Case Trends'!A14</f>
        <v>#REF!</v>
      </c>
      <c r="B10" s="254" t="str">
        <f t="shared" si="19"/>
        <v>#REF!</v>
      </c>
      <c r="C10" s="254" t="str">
        <f t="shared" si="19"/>
        <v>#REF!</v>
      </c>
      <c r="D10" s="254" t="str">
        <f t="shared" si="19"/>
        <v>#REF!</v>
      </c>
      <c r="E10" s="254" t="str">
        <f t="shared" si="19"/>
        <v>#REF!</v>
      </c>
      <c r="F10" s="254" t="str">
        <f t="shared" si="19"/>
        <v>#REF!</v>
      </c>
      <c r="G10" s="254" t="str">
        <f t="shared" si="19"/>
        <v>#REF!</v>
      </c>
      <c r="H10" s="254" t="str">
        <f t="shared" si="19"/>
        <v>#REF!</v>
      </c>
      <c r="I10" s="254" t="str">
        <f t="shared" si="19"/>
        <v>#REF!</v>
      </c>
      <c r="J10" s="254" t="str">
        <f t="shared" si="19"/>
        <v>#REF!</v>
      </c>
      <c r="K10" s="254" t="str">
        <f t="shared" si="19"/>
        <v>#REF!</v>
      </c>
      <c r="L10" s="254" t="str">
        <f t="shared" si="19"/>
        <v>#REF!</v>
      </c>
      <c r="M10" s="254" t="str">
        <f t="shared" si="19"/>
        <v>#REF!</v>
      </c>
      <c r="N10" s="254" t="str">
        <f t="shared" si="19"/>
        <v>#REF!</v>
      </c>
      <c r="O10" s="254" t="str">
        <f t="shared" si="19"/>
        <v>#REF!</v>
      </c>
      <c r="P10" s="254" t="str">
        <f t="shared" ref="P10:X10" si="20">#REF!</f>
        <v>#REF!</v>
      </c>
      <c r="Q10" s="254" t="str">
        <f t="shared" si="20"/>
        <v>#REF!</v>
      </c>
      <c r="R10" s="254" t="str">
        <f t="shared" si="20"/>
        <v>#REF!</v>
      </c>
      <c r="S10" s="254" t="str">
        <f t="shared" si="20"/>
        <v>#REF!</v>
      </c>
      <c r="T10" s="254" t="str">
        <f t="shared" si="20"/>
        <v>#REF!</v>
      </c>
      <c r="U10" s="254" t="str">
        <f t="shared" si="20"/>
        <v>#REF!</v>
      </c>
      <c r="V10" s="254" t="str">
        <f t="shared" si="20"/>
        <v>#REF!</v>
      </c>
      <c r="W10" s="254" t="str">
        <f t="shared" si="20"/>
        <v>#REF!</v>
      </c>
      <c r="X10" s="254" t="str">
        <f t="shared" si="20"/>
        <v>#REF!</v>
      </c>
    </row>
    <row r="11">
      <c r="A11" s="254" t="str">
        <f t="shared" ref="A11:O11" si="21">'Municipality Case Trends'!A15</f>
        <v>#REF!</v>
      </c>
      <c r="B11" s="254" t="str">
        <f t="shared" si="21"/>
        <v>#REF!</v>
      </c>
      <c r="C11" s="254" t="str">
        <f t="shared" si="21"/>
        <v>#REF!</v>
      </c>
      <c r="D11" s="254" t="str">
        <f t="shared" si="21"/>
        <v>#REF!</v>
      </c>
      <c r="E11" s="254" t="str">
        <f t="shared" si="21"/>
        <v>#REF!</v>
      </c>
      <c r="F11" s="254" t="str">
        <f t="shared" si="21"/>
        <v>#REF!</v>
      </c>
      <c r="G11" s="254" t="str">
        <f t="shared" si="21"/>
        <v>#REF!</v>
      </c>
      <c r="H11" s="254" t="str">
        <f t="shared" si="21"/>
        <v>#REF!</v>
      </c>
      <c r="I11" s="254" t="str">
        <f t="shared" si="21"/>
        <v>#REF!</v>
      </c>
      <c r="J11" s="254" t="str">
        <f t="shared" si="21"/>
        <v>#REF!</v>
      </c>
      <c r="K11" s="254" t="str">
        <f t="shared" si="21"/>
        <v>#REF!</v>
      </c>
      <c r="L11" s="254" t="str">
        <f t="shared" si="21"/>
        <v>#REF!</v>
      </c>
      <c r="M11" s="254" t="str">
        <f t="shared" si="21"/>
        <v>#REF!</v>
      </c>
      <c r="N11" s="254" t="str">
        <f t="shared" si="21"/>
        <v>#REF!</v>
      </c>
      <c r="O11" s="254" t="str">
        <f t="shared" si="21"/>
        <v>#REF!</v>
      </c>
      <c r="P11" s="254" t="str">
        <f t="shared" ref="P11:X11" si="22">#REF!</f>
        <v>#REF!</v>
      </c>
      <c r="Q11" s="254" t="str">
        <f t="shared" si="22"/>
        <v>#REF!</v>
      </c>
      <c r="R11" s="254" t="str">
        <f t="shared" si="22"/>
        <v>#REF!</v>
      </c>
      <c r="S11" s="254" t="str">
        <f t="shared" si="22"/>
        <v>#REF!</v>
      </c>
      <c r="T11" s="254" t="str">
        <f t="shared" si="22"/>
        <v>#REF!</v>
      </c>
      <c r="U11" s="254" t="str">
        <f t="shared" si="22"/>
        <v>#REF!</v>
      </c>
      <c r="V11" s="254" t="str">
        <f t="shared" si="22"/>
        <v>#REF!</v>
      </c>
      <c r="W11" s="254" t="str">
        <f t="shared" si="22"/>
        <v>#REF!</v>
      </c>
      <c r="X11" s="254" t="str">
        <f t="shared" si="22"/>
        <v>#REF!</v>
      </c>
    </row>
    <row r="12">
      <c r="A12" s="254" t="str">
        <f t="shared" ref="A12:O12" si="23">'Municipality Case Trends'!A16</f>
        <v>#REF!</v>
      </c>
      <c r="B12" s="254" t="str">
        <f t="shared" si="23"/>
        <v>#REF!</v>
      </c>
      <c r="C12" s="254" t="str">
        <f t="shared" si="23"/>
        <v>#REF!</v>
      </c>
      <c r="D12" s="254" t="str">
        <f t="shared" si="23"/>
        <v>#REF!</v>
      </c>
      <c r="E12" s="254" t="str">
        <f t="shared" si="23"/>
        <v>#REF!</v>
      </c>
      <c r="F12" s="254" t="str">
        <f t="shared" si="23"/>
        <v>#REF!</v>
      </c>
      <c r="G12" s="254" t="str">
        <f t="shared" si="23"/>
        <v>#REF!</v>
      </c>
      <c r="H12" s="254" t="str">
        <f t="shared" si="23"/>
        <v>#REF!</v>
      </c>
      <c r="I12" s="254" t="str">
        <f t="shared" si="23"/>
        <v>#REF!</v>
      </c>
      <c r="J12" s="254" t="str">
        <f t="shared" si="23"/>
        <v>#REF!</v>
      </c>
      <c r="K12" s="254" t="str">
        <f t="shared" si="23"/>
        <v>#REF!</v>
      </c>
      <c r="L12" s="254" t="str">
        <f t="shared" si="23"/>
        <v>#REF!</v>
      </c>
      <c r="M12" s="254" t="str">
        <f t="shared" si="23"/>
        <v>#REF!</v>
      </c>
      <c r="N12" s="254" t="str">
        <f t="shared" si="23"/>
        <v>#REF!</v>
      </c>
      <c r="O12" s="254" t="str">
        <f t="shared" si="23"/>
        <v>#REF!</v>
      </c>
      <c r="P12" s="254" t="str">
        <f t="shared" ref="P12:X12" si="24">#REF!</f>
        <v>#REF!</v>
      </c>
      <c r="Q12" s="254" t="str">
        <f t="shared" si="24"/>
        <v>#REF!</v>
      </c>
      <c r="R12" s="254" t="str">
        <f t="shared" si="24"/>
        <v>#REF!</v>
      </c>
      <c r="S12" s="254" t="str">
        <f t="shared" si="24"/>
        <v>#REF!</v>
      </c>
      <c r="T12" s="254" t="str">
        <f t="shared" si="24"/>
        <v>#REF!</v>
      </c>
      <c r="U12" s="254" t="str">
        <f t="shared" si="24"/>
        <v>#REF!</v>
      </c>
      <c r="V12" s="254" t="str">
        <f t="shared" si="24"/>
        <v>#REF!</v>
      </c>
      <c r="W12" s="254" t="str">
        <f t="shared" si="24"/>
        <v>#REF!</v>
      </c>
      <c r="X12" s="254" t="str">
        <f t="shared" si="24"/>
        <v>#REF!</v>
      </c>
    </row>
    <row r="13">
      <c r="A13" s="254" t="str">
        <f t="shared" ref="A13:O13" si="25">'Municipality Case Trends'!A17</f>
        <v>#REF!</v>
      </c>
      <c r="B13" s="254" t="str">
        <f t="shared" si="25"/>
        <v>#REF!</v>
      </c>
      <c r="C13" s="254" t="str">
        <f t="shared" si="25"/>
        <v>#REF!</v>
      </c>
      <c r="D13" s="254" t="str">
        <f t="shared" si="25"/>
        <v>#REF!</v>
      </c>
      <c r="E13" s="254" t="str">
        <f t="shared" si="25"/>
        <v>#REF!</v>
      </c>
      <c r="F13" s="254" t="str">
        <f t="shared" si="25"/>
        <v>#REF!</v>
      </c>
      <c r="G13" s="254" t="str">
        <f t="shared" si="25"/>
        <v>#REF!</v>
      </c>
      <c r="H13" s="254" t="str">
        <f t="shared" si="25"/>
        <v>#REF!</v>
      </c>
      <c r="I13" s="254" t="str">
        <f t="shared" si="25"/>
        <v>#REF!</v>
      </c>
      <c r="J13" s="254" t="str">
        <f t="shared" si="25"/>
        <v>#REF!</v>
      </c>
      <c r="K13" s="254" t="str">
        <f t="shared" si="25"/>
        <v>#REF!</v>
      </c>
      <c r="L13" s="254" t="str">
        <f t="shared" si="25"/>
        <v>#REF!</v>
      </c>
      <c r="M13" s="254" t="str">
        <f t="shared" si="25"/>
        <v>#REF!</v>
      </c>
      <c r="N13" s="254" t="str">
        <f t="shared" si="25"/>
        <v>#REF!</v>
      </c>
      <c r="O13" s="254" t="str">
        <f t="shared" si="25"/>
        <v>#REF!</v>
      </c>
      <c r="P13" s="254" t="str">
        <f t="shared" ref="P13:X13" si="26">#REF!</f>
        <v>#REF!</v>
      </c>
      <c r="Q13" s="254" t="str">
        <f t="shared" si="26"/>
        <v>#REF!</v>
      </c>
      <c r="R13" s="254" t="str">
        <f t="shared" si="26"/>
        <v>#REF!</v>
      </c>
      <c r="S13" s="254" t="str">
        <f t="shared" si="26"/>
        <v>#REF!</v>
      </c>
      <c r="T13" s="254" t="str">
        <f t="shared" si="26"/>
        <v>#REF!</v>
      </c>
      <c r="U13" s="254" t="str">
        <f t="shared" si="26"/>
        <v>#REF!</v>
      </c>
      <c r="V13" s="254" t="str">
        <f t="shared" si="26"/>
        <v>#REF!</v>
      </c>
      <c r="W13" s="254" t="str">
        <f t="shared" si="26"/>
        <v>#REF!</v>
      </c>
      <c r="X13" s="254" t="str">
        <f t="shared" si="26"/>
        <v>#REF!</v>
      </c>
    </row>
    <row r="14">
      <c r="A14" s="254" t="str">
        <f t="shared" ref="A14:O14" si="27">'Municipality Case Trends'!A18</f>
        <v>#REF!</v>
      </c>
      <c r="B14" s="254" t="str">
        <f t="shared" si="27"/>
        <v>#REF!</v>
      </c>
      <c r="C14" s="254" t="str">
        <f t="shared" si="27"/>
        <v>#REF!</v>
      </c>
      <c r="D14" s="254" t="str">
        <f t="shared" si="27"/>
        <v>#REF!</v>
      </c>
      <c r="E14" s="254" t="str">
        <f t="shared" si="27"/>
        <v>#REF!</v>
      </c>
      <c r="F14" s="254" t="str">
        <f t="shared" si="27"/>
        <v>#REF!</v>
      </c>
      <c r="G14" s="254" t="str">
        <f t="shared" si="27"/>
        <v>#REF!</v>
      </c>
      <c r="H14" s="254" t="str">
        <f t="shared" si="27"/>
        <v>#REF!</v>
      </c>
      <c r="I14" s="254" t="str">
        <f t="shared" si="27"/>
        <v>#REF!</v>
      </c>
      <c r="J14" s="254" t="str">
        <f t="shared" si="27"/>
        <v>#REF!</v>
      </c>
      <c r="K14" s="254" t="str">
        <f t="shared" si="27"/>
        <v>#REF!</v>
      </c>
      <c r="L14" s="254" t="str">
        <f t="shared" si="27"/>
        <v>#REF!</v>
      </c>
      <c r="M14" s="254" t="str">
        <f t="shared" si="27"/>
        <v>#REF!</v>
      </c>
      <c r="N14" s="254" t="str">
        <f t="shared" si="27"/>
        <v>#REF!</v>
      </c>
      <c r="O14" s="254" t="str">
        <f t="shared" si="27"/>
        <v>#REF!</v>
      </c>
      <c r="P14" s="254" t="str">
        <f t="shared" ref="P14:X14" si="28">#REF!</f>
        <v>#REF!</v>
      </c>
      <c r="Q14" s="254" t="str">
        <f t="shared" si="28"/>
        <v>#REF!</v>
      </c>
      <c r="R14" s="254" t="str">
        <f t="shared" si="28"/>
        <v>#REF!</v>
      </c>
      <c r="S14" s="254" t="str">
        <f t="shared" si="28"/>
        <v>#REF!</v>
      </c>
      <c r="T14" s="254" t="str">
        <f t="shared" si="28"/>
        <v>#REF!</v>
      </c>
      <c r="U14" s="254" t="str">
        <f t="shared" si="28"/>
        <v>#REF!</v>
      </c>
      <c r="V14" s="254" t="str">
        <f t="shared" si="28"/>
        <v>#REF!</v>
      </c>
      <c r="W14" s="254" t="str">
        <f t="shared" si="28"/>
        <v>#REF!</v>
      </c>
      <c r="X14" s="254" t="str">
        <f t="shared" si="28"/>
        <v>#REF!</v>
      </c>
    </row>
    <row r="15">
      <c r="A15" s="254" t="str">
        <f t="shared" ref="A15:O15" si="29">'Municipality Case Trends'!A19</f>
        <v>#REF!</v>
      </c>
      <c r="B15" s="254" t="str">
        <f t="shared" si="29"/>
        <v>#REF!</v>
      </c>
      <c r="C15" s="254" t="str">
        <f t="shared" si="29"/>
        <v>#REF!</v>
      </c>
      <c r="D15" s="254" t="str">
        <f t="shared" si="29"/>
        <v>#REF!</v>
      </c>
      <c r="E15" s="254" t="str">
        <f t="shared" si="29"/>
        <v>#REF!</v>
      </c>
      <c r="F15" s="254" t="str">
        <f t="shared" si="29"/>
        <v>#REF!</v>
      </c>
      <c r="G15" s="254" t="str">
        <f t="shared" si="29"/>
        <v>#REF!</v>
      </c>
      <c r="H15" s="254" t="str">
        <f t="shared" si="29"/>
        <v>#REF!</v>
      </c>
      <c r="I15" s="254" t="str">
        <f t="shared" si="29"/>
        <v>#REF!</v>
      </c>
      <c r="J15" s="254" t="str">
        <f t="shared" si="29"/>
        <v>#REF!</v>
      </c>
      <c r="K15" s="254" t="str">
        <f t="shared" si="29"/>
        <v>#REF!</v>
      </c>
      <c r="L15" s="254" t="str">
        <f t="shared" si="29"/>
        <v>#REF!</v>
      </c>
      <c r="M15" s="254" t="str">
        <f t="shared" si="29"/>
        <v>#REF!</v>
      </c>
      <c r="N15" s="254" t="str">
        <f t="shared" si="29"/>
        <v>#REF!</v>
      </c>
      <c r="O15" s="254" t="str">
        <f t="shared" si="29"/>
        <v>#REF!</v>
      </c>
      <c r="P15" s="254" t="str">
        <f t="shared" ref="P15:X15" si="30">#REF!</f>
        <v>#REF!</v>
      </c>
      <c r="Q15" s="254" t="str">
        <f t="shared" si="30"/>
        <v>#REF!</v>
      </c>
      <c r="R15" s="254" t="str">
        <f t="shared" si="30"/>
        <v>#REF!</v>
      </c>
      <c r="S15" s="254" t="str">
        <f t="shared" si="30"/>
        <v>#REF!</v>
      </c>
      <c r="T15" s="254" t="str">
        <f t="shared" si="30"/>
        <v>#REF!</v>
      </c>
      <c r="U15" s="254" t="str">
        <f t="shared" si="30"/>
        <v>#REF!</v>
      </c>
      <c r="V15" s="254" t="str">
        <f t="shared" si="30"/>
        <v>#REF!</v>
      </c>
      <c r="W15" s="254" t="str">
        <f t="shared" si="30"/>
        <v>#REF!</v>
      </c>
      <c r="X15" s="254" t="str">
        <f t="shared" si="30"/>
        <v>#REF!</v>
      </c>
    </row>
    <row r="16">
      <c r="A16" s="254" t="str">
        <f t="shared" ref="A16:O16" si="31">'Municipality Case Trends'!A20</f>
        <v>#REF!</v>
      </c>
      <c r="B16" s="254" t="str">
        <f t="shared" si="31"/>
        <v>#REF!</v>
      </c>
      <c r="C16" s="254" t="str">
        <f t="shared" si="31"/>
        <v>#REF!</v>
      </c>
      <c r="D16" s="254" t="str">
        <f t="shared" si="31"/>
        <v>#REF!</v>
      </c>
      <c r="E16" s="254" t="str">
        <f t="shared" si="31"/>
        <v>#REF!</v>
      </c>
      <c r="F16" s="254" t="str">
        <f t="shared" si="31"/>
        <v>#REF!</v>
      </c>
      <c r="G16" s="254" t="str">
        <f t="shared" si="31"/>
        <v>#REF!</v>
      </c>
      <c r="H16" s="254" t="str">
        <f t="shared" si="31"/>
        <v>#REF!</v>
      </c>
      <c r="I16" s="254" t="str">
        <f t="shared" si="31"/>
        <v>#REF!</v>
      </c>
      <c r="J16" s="254" t="str">
        <f t="shared" si="31"/>
        <v>#REF!</v>
      </c>
      <c r="K16" s="254" t="str">
        <f t="shared" si="31"/>
        <v>#REF!</v>
      </c>
      <c r="L16" s="254" t="str">
        <f t="shared" si="31"/>
        <v>#REF!</v>
      </c>
      <c r="M16" s="254" t="str">
        <f t="shared" si="31"/>
        <v>#REF!</v>
      </c>
      <c r="N16" s="254" t="str">
        <f t="shared" si="31"/>
        <v>#REF!</v>
      </c>
      <c r="O16" s="254" t="str">
        <f t="shared" si="31"/>
        <v>#REF!</v>
      </c>
      <c r="P16" s="254" t="str">
        <f t="shared" ref="P16:X16" si="32">#REF!</f>
        <v>#REF!</v>
      </c>
      <c r="Q16" s="254" t="str">
        <f t="shared" si="32"/>
        <v>#REF!</v>
      </c>
      <c r="R16" s="254" t="str">
        <f t="shared" si="32"/>
        <v>#REF!</v>
      </c>
      <c r="S16" s="254" t="str">
        <f t="shared" si="32"/>
        <v>#REF!</v>
      </c>
      <c r="T16" s="254" t="str">
        <f t="shared" si="32"/>
        <v>#REF!</v>
      </c>
      <c r="U16" s="254" t="str">
        <f t="shared" si="32"/>
        <v>#REF!</v>
      </c>
      <c r="V16" s="254" t="str">
        <f t="shared" si="32"/>
        <v>#REF!</v>
      </c>
      <c r="W16" s="254" t="str">
        <f t="shared" si="32"/>
        <v>#REF!</v>
      </c>
      <c r="X16" s="254" t="str">
        <f t="shared" si="32"/>
        <v>#REF!</v>
      </c>
    </row>
    <row r="17">
      <c r="A17" s="254" t="str">
        <f t="shared" ref="A17:O17" si="33">'Municipality Case Trends'!A21</f>
        <v>#REF!</v>
      </c>
      <c r="B17" s="254" t="str">
        <f t="shared" si="33"/>
        <v>#REF!</v>
      </c>
      <c r="C17" s="254" t="str">
        <f t="shared" si="33"/>
        <v>#REF!</v>
      </c>
      <c r="D17" s="254" t="str">
        <f t="shared" si="33"/>
        <v>#REF!</v>
      </c>
      <c r="E17" s="254" t="str">
        <f t="shared" si="33"/>
        <v>#REF!</v>
      </c>
      <c r="F17" s="254" t="str">
        <f t="shared" si="33"/>
        <v>#REF!</v>
      </c>
      <c r="G17" s="254" t="str">
        <f t="shared" si="33"/>
        <v>#REF!</v>
      </c>
      <c r="H17" s="254" t="str">
        <f t="shared" si="33"/>
        <v>#REF!</v>
      </c>
      <c r="I17" s="254" t="str">
        <f t="shared" si="33"/>
        <v>#REF!</v>
      </c>
      <c r="J17" s="254" t="str">
        <f t="shared" si="33"/>
        <v>#REF!</v>
      </c>
      <c r="K17" s="254" t="str">
        <f t="shared" si="33"/>
        <v>#REF!</v>
      </c>
      <c r="L17" s="254" t="str">
        <f t="shared" si="33"/>
        <v>#REF!</v>
      </c>
      <c r="M17" s="254" t="str">
        <f t="shared" si="33"/>
        <v>#REF!</v>
      </c>
      <c r="N17" s="254" t="str">
        <f t="shared" si="33"/>
        <v>#REF!</v>
      </c>
      <c r="O17" s="254" t="str">
        <f t="shared" si="33"/>
        <v>#REF!</v>
      </c>
      <c r="P17" s="254" t="str">
        <f t="shared" ref="P17:X17" si="34">#REF!</f>
        <v>#REF!</v>
      </c>
      <c r="Q17" s="254" t="str">
        <f t="shared" si="34"/>
        <v>#REF!</v>
      </c>
      <c r="R17" s="254" t="str">
        <f t="shared" si="34"/>
        <v>#REF!</v>
      </c>
      <c r="S17" s="254" t="str">
        <f t="shared" si="34"/>
        <v>#REF!</v>
      </c>
      <c r="T17" s="254" t="str">
        <f t="shared" si="34"/>
        <v>#REF!</v>
      </c>
      <c r="U17" s="254" t="str">
        <f t="shared" si="34"/>
        <v>#REF!</v>
      </c>
      <c r="V17" s="254" t="str">
        <f t="shared" si="34"/>
        <v>#REF!</v>
      </c>
      <c r="W17" s="254" t="str">
        <f t="shared" si="34"/>
        <v>#REF!</v>
      </c>
      <c r="X17" s="254" t="str">
        <f t="shared" si="34"/>
        <v>#REF!</v>
      </c>
    </row>
    <row r="18">
      <c r="A18" s="254" t="str">
        <f t="shared" ref="A18:O18" si="35">'Municipality Case Trends'!A22</f>
        <v>#REF!</v>
      </c>
      <c r="B18" s="254" t="str">
        <f t="shared" si="35"/>
        <v>#REF!</v>
      </c>
      <c r="C18" s="254" t="str">
        <f t="shared" si="35"/>
        <v>#REF!</v>
      </c>
      <c r="D18" s="254" t="str">
        <f t="shared" si="35"/>
        <v>#REF!</v>
      </c>
      <c r="E18" s="254" t="str">
        <f t="shared" si="35"/>
        <v>#REF!</v>
      </c>
      <c r="F18" s="254" t="str">
        <f t="shared" si="35"/>
        <v>#REF!</v>
      </c>
      <c r="G18" s="254" t="str">
        <f t="shared" si="35"/>
        <v>#REF!</v>
      </c>
      <c r="H18" s="254" t="str">
        <f t="shared" si="35"/>
        <v>#REF!</v>
      </c>
      <c r="I18" s="254" t="str">
        <f t="shared" si="35"/>
        <v>#REF!</v>
      </c>
      <c r="J18" s="254" t="str">
        <f t="shared" si="35"/>
        <v>#REF!</v>
      </c>
      <c r="K18" s="254" t="str">
        <f t="shared" si="35"/>
        <v>#REF!</v>
      </c>
      <c r="L18" s="254" t="str">
        <f t="shared" si="35"/>
        <v>#REF!</v>
      </c>
      <c r="M18" s="254" t="str">
        <f t="shared" si="35"/>
        <v>#REF!</v>
      </c>
      <c r="N18" s="254" t="str">
        <f t="shared" si="35"/>
        <v>#REF!</v>
      </c>
      <c r="O18" s="254" t="str">
        <f t="shared" si="35"/>
        <v>#REF!</v>
      </c>
      <c r="P18" s="254" t="str">
        <f t="shared" ref="P18:X18" si="36">#REF!</f>
        <v>#REF!</v>
      </c>
      <c r="Q18" s="254" t="str">
        <f t="shared" si="36"/>
        <v>#REF!</v>
      </c>
      <c r="R18" s="254" t="str">
        <f t="shared" si="36"/>
        <v>#REF!</v>
      </c>
      <c r="S18" s="254" t="str">
        <f t="shared" si="36"/>
        <v>#REF!</v>
      </c>
      <c r="T18" s="254" t="str">
        <f t="shared" si="36"/>
        <v>#REF!</v>
      </c>
      <c r="U18" s="254" t="str">
        <f t="shared" si="36"/>
        <v>#REF!</v>
      </c>
      <c r="V18" s="254" t="str">
        <f t="shared" si="36"/>
        <v>#REF!</v>
      </c>
      <c r="W18" s="254" t="str">
        <f t="shared" si="36"/>
        <v>#REF!</v>
      </c>
      <c r="X18" s="254" t="str">
        <f t="shared" si="36"/>
        <v>#REF!</v>
      </c>
    </row>
    <row r="19">
      <c r="A19" s="254" t="str">
        <f t="shared" ref="A19:O19" si="37">'Municipality Case Trends'!A23</f>
        <v>#REF!</v>
      </c>
      <c r="B19" s="254" t="str">
        <f t="shared" si="37"/>
        <v>#REF!</v>
      </c>
      <c r="C19" s="254" t="str">
        <f t="shared" si="37"/>
        <v>#REF!</v>
      </c>
      <c r="D19" s="254" t="str">
        <f t="shared" si="37"/>
        <v>#REF!</v>
      </c>
      <c r="E19" s="254" t="str">
        <f t="shared" si="37"/>
        <v>#REF!</v>
      </c>
      <c r="F19" s="254" t="str">
        <f t="shared" si="37"/>
        <v>#REF!</v>
      </c>
      <c r="G19" s="254" t="str">
        <f t="shared" si="37"/>
        <v>#REF!</v>
      </c>
      <c r="H19" s="254" t="str">
        <f t="shared" si="37"/>
        <v>#REF!</v>
      </c>
      <c r="I19" s="254" t="str">
        <f t="shared" si="37"/>
        <v>#REF!</v>
      </c>
      <c r="J19" s="254" t="str">
        <f t="shared" si="37"/>
        <v>#REF!</v>
      </c>
      <c r="K19" s="254" t="str">
        <f t="shared" si="37"/>
        <v>#REF!</v>
      </c>
      <c r="L19" s="254" t="str">
        <f t="shared" si="37"/>
        <v>#REF!</v>
      </c>
      <c r="M19" s="254" t="str">
        <f t="shared" si="37"/>
        <v>#REF!</v>
      </c>
      <c r="N19" s="254" t="str">
        <f t="shared" si="37"/>
        <v>#REF!</v>
      </c>
      <c r="O19" s="254" t="str">
        <f t="shared" si="37"/>
        <v>#REF!</v>
      </c>
      <c r="P19" s="254" t="str">
        <f t="shared" ref="P19:X19" si="38">#REF!</f>
        <v>#REF!</v>
      </c>
      <c r="Q19" s="254" t="str">
        <f t="shared" si="38"/>
        <v>#REF!</v>
      </c>
      <c r="R19" s="254" t="str">
        <f t="shared" si="38"/>
        <v>#REF!</v>
      </c>
      <c r="S19" s="254" t="str">
        <f t="shared" si="38"/>
        <v>#REF!</v>
      </c>
      <c r="T19" s="254" t="str">
        <f t="shared" si="38"/>
        <v>#REF!</v>
      </c>
      <c r="U19" s="254" t="str">
        <f t="shared" si="38"/>
        <v>#REF!</v>
      </c>
      <c r="V19" s="254" t="str">
        <f t="shared" si="38"/>
        <v>#REF!</v>
      </c>
      <c r="W19" s="254" t="str">
        <f t="shared" si="38"/>
        <v>#REF!</v>
      </c>
      <c r="X19" s="254" t="str">
        <f t="shared" si="38"/>
        <v>#REF!</v>
      </c>
    </row>
    <row r="20">
      <c r="A20" s="254" t="str">
        <f t="shared" ref="A20:O20" si="39">'Municipality Case Trends'!A24</f>
        <v>#REF!</v>
      </c>
      <c r="B20" s="254" t="str">
        <f t="shared" si="39"/>
        <v>#REF!</v>
      </c>
      <c r="C20" s="254" t="str">
        <f t="shared" si="39"/>
        <v>#REF!</v>
      </c>
      <c r="D20" s="254" t="str">
        <f t="shared" si="39"/>
        <v>#REF!</v>
      </c>
      <c r="E20" s="254" t="str">
        <f t="shared" si="39"/>
        <v>#REF!</v>
      </c>
      <c r="F20" s="254" t="str">
        <f t="shared" si="39"/>
        <v>#REF!</v>
      </c>
      <c r="G20" s="254" t="str">
        <f t="shared" si="39"/>
        <v>#REF!</v>
      </c>
      <c r="H20" s="254" t="str">
        <f t="shared" si="39"/>
        <v>#REF!</v>
      </c>
      <c r="I20" s="254" t="str">
        <f t="shared" si="39"/>
        <v>#REF!</v>
      </c>
      <c r="J20" s="254" t="str">
        <f t="shared" si="39"/>
        <v>#REF!</v>
      </c>
      <c r="K20" s="254" t="str">
        <f t="shared" si="39"/>
        <v>#REF!</v>
      </c>
      <c r="L20" s="254" t="str">
        <f t="shared" si="39"/>
        <v>#REF!</v>
      </c>
      <c r="M20" s="254" t="str">
        <f t="shared" si="39"/>
        <v>#REF!</v>
      </c>
      <c r="N20" s="254" t="str">
        <f t="shared" si="39"/>
        <v>#REF!</v>
      </c>
      <c r="O20" s="254" t="str">
        <f t="shared" si="39"/>
        <v>#REF!</v>
      </c>
      <c r="P20" s="254" t="str">
        <f t="shared" ref="P20:X20" si="40">#REF!</f>
        <v>#REF!</v>
      </c>
      <c r="Q20" s="254" t="str">
        <f t="shared" si="40"/>
        <v>#REF!</v>
      </c>
      <c r="R20" s="254" t="str">
        <f t="shared" si="40"/>
        <v>#REF!</v>
      </c>
      <c r="S20" s="254" t="str">
        <f t="shared" si="40"/>
        <v>#REF!</v>
      </c>
      <c r="T20" s="254" t="str">
        <f t="shared" si="40"/>
        <v>#REF!</v>
      </c>
      <c r="U20" s="254" t="str">
        <f t="shared" si="40"/>
        <v>#REF!</v>
      </c>
      <c r="V20" s="254" t="str">
        <f t="shared" si="40"/>
        <v>#REF!</v>
      </c>
      <c r="W20" s="254" t="str">
        <f t="shared" si="40"/>
        <v>#REF!</v>
      </c>
      <c r="X20" s="254" t="str">
        <f t="shared" si="40"/>
        <v>#REF!</v>
      </c>
    </row>
    <row r="21">
      <c r="A21" s="254" t="str">
        <f t="shared" ref="A21:O21" si="41">'Municipality Case Trends'!A25</f>
        <v>#REF!</v>
      </c>
      <c r="B21" s="254" t="str">
        <f t="shared" si="41"/>
        <v>#REF!</v>
      </c>
      <c r="C21" s="254" t="str">
        <f t="shared" si="41"/>
        <v>#REF!</v>
      </c>
      <c r="D21" s="254" t="str">
        <f t="shared" si="41"/>
        <v>#REF!</v>
      </c>
      <c r="E21" s="254" t="str">
        <f t="shared" si="41"/>
        <v>#REF!</v>
      </c>
      <c r="F21" s="254" t="str">
        <f t="shared" si="41"/>
        <v>#REF!</v>
      </c>
      <c r="G21" s="254" t="str">
        <f t="shared" si="41"/>
        <v>#REF!</v>
      </c>
      <c r="H21" s="254" t="str">
        <f t="shared" si="41"/>
        <v>#REF!</v>
      </c>
      <c r="I21" s="254" t="str">
        <f t="shared" si="41"/>
        <v>#REF!</v>
      </c>
      <c r="J21" s="254" t="str">
        <f t="shared" si="41"/>
        <v>#REF!</v>
      </c>
      <c r="K21" s="254" t="str">
        <f t="shared" si="41"/>
        <v>#REF!</v>
      </c>
      <c r="L21" s="254" t="str">
        <f t="shared" si="41"/>
        <v>#REF!</v>
      </c>
      <c r="M21" s="254" t="str">
        <f t="shared" si="41"/>
        <v>#REF!</v>
      </c>
      <c r="N21" s="254" t="str">
        <f t="shared" si="41"/>
        <v>#REF!</v>
      </c>
      <c r="O21" s="254" t="str">
        <f t="shared" si="41"/>
        <v>#REF!</v>
      </c>
      <c r="P21" s="254" t="str">
        <f t="shared" ref="P21:X21" si="42">#REF!</f>
        <v>#REF!</v>
      </c>
      <c r="Q21" s="254" t="str">
        <f t="shared" si="42"/>
        <v>#REF!</v>
      </c>
      <c r="R21" s="254" t="str">
        <f t="shared" si="42"/>
        <v>#REF!</v>
      </c>
      <c r="S21" s="254" t="str">
        <f t="shared" si="42"/>
        <v>#REF!</v>
      </c>
      <c r="T21" s="254" t="str">
        <f t="shared" si="42"/>
        <v>#REF!</v>
      </c>
      <c r="U21" s="254" t="str">
        <f t="shared" si="42"/>
        <v>#REF!</v>
      </c>
      <c r="V21" s="254" t="str">
        <f t="shared" si="42"/>
        <v>#REF!</v>
      </c>
      <c r="W21" s="254" t="str">
        <f t="shared" si="42"/>
        <v>#REF!</v>
      </c>
      <c r="X21" s="254" t="str">
        <f t="shared" si="42"/>
        <v>#REF!</v>
      </c>
    </row>
    <row r="22">
      <c r="A22" s="254" t="str">
        <f t="shared" ref="A22:O22" si="43">'Municipality Case Trends'!A26</f>
        <v>#REF!</v>
      </c>
      <c r="B22" s="254" t="str">
        <f t="shared" si="43"/>
        <v>#REF!</v>
      </c>
      <c r="C22" s="254" t="str">
        <f t="shared" si="43"/>
        <v>#REF!</v>
      </c>
      <c r="D22" s="254" t="str">
        <f t="shared" si="43"/>
        <v>#REF!</v>
      </c>
      <c r="E22" s="254" t="str">
        <f t="shared" si="43"/>
        <v>#REF!</v>
      </c>
      <c r="F22" s="254" t="str">
        <f t="shared" si="43"/>
        <v>#REF!</v>
      </c>
      <c r="G22" s="254" t="str">
        <f t="shared" si="43"/>
        <v>#REF!</v>
      </c>
      <c r="H22" s="254" t="str">
        <f t="shared" si="43"/>
        <v>#REF!</v>
      </c>
      <c r="I22" s="254" t="str">
        <f t="shared" si="43"/>
        <v>#REF!</v>
      </c>
      <c r="J22" s="254" t="str">
        <f t="shared" si="43"/>
        <v>#REF!</v>
      </c>
      <c r="K22" s="254" t="str">
        <f t="shared" si="43"/>
        <v>#REF!</v>
      </c>
      <c r="L22" s="254" t="str">
        <f t="shared" si="43"/>
        <v>#REF!</v>
      </c>
      <c r="M22" s="254" t="str">
        <f t="shared" si="43"/>
        <v>#REF!</v>
      </c>
      <c r="N22" s="254" t="str">
        <f t="shared" si="43"/>
        <v>#REF!</v>
      </c>
      <c r="O22" s="254" t="str">
        <f t="shared" si="43"/>
        <v>#REF!</v>
      </c>
      <c r="P22" s="254" t="str">
        <f t="shared" ref="P22:X22" si="44">#REF!</f>
        <v>#REF!</v>
      </c>
      <c r="Q22" s="254" t="str">
        <f t="shared" si="44"/>
        <v>#REF!</v>
      </c>
      <c r="R22" s="254" t="str">
        <f t="shared" si="44"/>
        <v>#REF!</v>
      </c>
      <c r="S22" s="254" t="str">
        <f t="shared" si="44"/>
        <v>#REF!</v>
      </c>
      <c r="T22" s="254" t="str">
        <f t="shared" si="44"/>
        <v>#REF!</v>
      </c>
      <c r="U22" s="254" t="str">
        <f t="shared" si="44"/>
        <v>#REF!</v>
      </c>
      <c r="V22" s="254" t="str">
        <f t="shared" si="44"/>
        <v>#REF!</v>
      </c>
      <c r="W22" s="254" t="str">
        <f t="shared" si="44"/>
        <v>#REF!</v>
      </c>
      <c r="X22" s="254" t="str">
        <f t="shared" si="44"/>
        <v>#REF!</v>
      </c>
    </row>
    <row r="23">
      <c r="A23" s="254" t="str">
        <f t="shared" ref="A23:O23" si="45">'Municipality Case Trends'!A27</f>
        <v>#REF!</v>
      </c>
      <c r="B23" s="254" t="str">
        <f t="shared" si="45"/>
        <v>#REF!</v>
      </c>
      <c r="C23" s="254" t="str">
        <f t="shared" si="45"/>
        <v>#REF!</v>
      </c>
      <c r="D23" s="254" t="str">
        <f t="shared" si="45"/>
        <v>#REF!</v>
      </c>
      <c r="E23" s="254" t="str">
        <f t="shared" si="45"/>
        <v>#REF!</v>
      </c>
      <c r="F23" s="254" t="str">
        <f t="shared" si="45"/>
        <v>#REF!</v>
      </c>
      <c r="G23" s="254" t="str">
        <f t="shared" si="45"/>
        <v>#REF!</v>
      </c>
      <c r="H23" s="254" t="str">
        <f t="shared" si="45"/>
        <v>#REF!</v>
      </c>
      <c r="I23" s="254" t="str">
        <f t="shared" si="45"/>
        <v>#REF!</v>
      </c>
      <c r="J23" s="254" t="str">
        <f t="shared" si="45"/>
        <v>#REF!</v>
      </c>
      <c r="K23" s="254" t="str">
        <f t="shared" si="45"/>
        <v>#REF!</v>
      </c>
      <c r="L23" s="254" t="str">
        <f t="shared" si="45"/>
        <v>#REF!</v>
      </c>
      <c r="M23" s="254" t="str">
        <f t="shared" si="45"/>
        <v>#REF!</v>
      </c>
      <c r="N23" s="254" t="str">
        <f t="shared" si="45"/>
        <v>#REF!</v>
      </c>
      <c r="O23" s="254" t="str">
        <f t="shared" si="45"/>
        <v>#REF!</v>
      </c>
      <c r="P23" s="254" t="str">
        <f t="shared" ref="P23:X23" si="46">#REF!</f>
        <v>#REF!</v>
      </c>
      <c r="Q23" s="254" t="str">
        <f t="shared" si="46"/>
        <v>#REF!</v>
      </c>
      <c r="R23" s="254" t="str">
        <f t="shared" si="46"/>
        <v>#REF!</v>
      </c>
      <c r="S23" s="254" t="str">
        <f t="shared" si="46"/>
        <v>#REF!</v>
      </c>
      <c r="T23" s="254" t="str">
        <f t="shared" si="46"/>
        <v>#REF!</v>
      </c>
      <c r="U23" s="254" t="str">
        <f t="shared" si="46"/>
        <v>#REF!</v>
      </c>
      <c r="V23" s="254" t="str">
        <f t="shared" si="46"/>
        <v>#REF!</v>
      </c>
      <c r="W23" s="254" t="str">
        <f t="shared" si="46"/>
        <v>#REF!</v>
      </c>
      <c r="X23" s="254" t="str">
        <f t="shared" si="46"/>
        <v>#REF!</v>
      </c>
    </row>
    <row r="24">
      <c r="A24" s="254" t="str">
        <f t="shared" ref="A24:O24" si="47">'Municipality Case Trends'!A28</f>
        <v>#REF!</v>
      </c>
      <c r="B24" s="254" t="str">
        <f t="shared" si="47"/>
        <v>#REF!</v>
      </c>
      <c r="C24" s="254" t="str">
        <f t="shared" si="47"/>
        <v>#REF!</v>
      </c>
      <c r="D24" s="254" t="str">
        <f t="shared" si="47"/>
        <v>#REF!</v>
      </c>
      <c r="E24" s="254" t="str">
        <f t="shared" si="47"/>
        <v>#REF!</v>
      </c>
      <c r="F24" s="254" t="str">
        <f t="shared" si="47"/>
        <v>#REF!</v>
      </c>
      <c r="G24" s="254" t="str">
        <f t="shared" si="47"/>
        <v>#REF!</v>
      </c>
      <c r="H24" s="254" t="str">
        <f t="shared" si="47"/>
        <v>#REF!</v>
      </c>
      <c r="I24" s="254" t="str">
        <f t="shared" si="47"/>
        <v>#REF!</v>
      </c>
      <c r="J24" s="254" t="str">
        <f t="shared" si="47"/>
        <v>#REF!</v>
      </c>
      <c r="K24" s="254" t="str">
        <f t="shared" si="47"/>
        <v>#REF!</v>
      </c>
      <c r="L24" s="254" t="str">
        <f t="shared" si="47"/>
        <v>#REF!</v>
      </c>
      <c r="M24" s="254" t="str">
        <f t="shared" si="47"/>
        <v>#REF!</v>
      </c>
      <c r="N24" s="254" t="str">
        <f t="shared" si="47"/>
        <v>#REF!</v>
      </c>
      <c r="O24" s="254" t="str">
        <f t="shared" si="47"/>
        <v>#REF!</v>
      </c>
      <c r="P24" s="254" t="str">
        <f t="shared" ref="P24:X24" si="48">#REF!</f>
        <v>#REF!</v>
      </c>
      <c r="Q24" s="254" t="str">
        <f t="shared" si="48"/>
        <v>#REF!</v>
      </c>
      <c r="R24" s="254" t="str">
        <f t="shared" si="48"/>
        <v>#REF!</v>
      </c>
      <c r="S24" s="254" t="str">
        <f t="shared" si="48"/>
        <v>#REF!</v>
      </c>
      <c r="T24" s="254" t="str">
        <f t="shared" si="48"/>
        <v>#REF!</v>
      </c>
      <c r="U24" s="254" t="str">
        <f t="shared" si="48"/>
        <v>#REF!</v>
      </c>
      <c r="V24" s="254" t="str">
        <f t="shared" si="48"/>
        <v>#REF!</v>
      </c>
      <c r="W24" s="254" t="str">
        <f t="shared" si="48"/>
        <v>#REF!</v>
      </c>
      <c r="X24" s="254" t="str">
        <f t="shared" si="48"/>
        <v>#REF!</v>
      </c>
    </row>
    <row r="25">
      <c r="A25" s="254" t="str">
        <f t="shared" ref="A25:O25" si="49">'Municipality Case Trends'!A29</f>
        <v>#REF!</v>
      </c>
      <c r="B25" s="254" t="str">
        <f t="shared" si="49"/>
        <v>#REF!</v>
      </c>
      <c r="C25" s="254" t="str">
        <f t="shared" si="49"/>
        <v>#REF!</v>
      </c>
      <c r="D25" s="254" t="str">
        <f t="shared" si="49"/>
        <v>#REF!</v>
      </c>
      <c r="E25" s="254" t="str">
        <f t="shared" si="49"/>
        <v>#REF!</v>
      </c>
      <c r="F25" s="254" t="str">
        <f t="shared" si="49"/>
        <v>#REF!</v>
      </c>
      <c r="G25" s="254" t="str">
        <f t="shared" si="49"/>
        <v>#REF!</v>
      </c>
      <c r="H25" s="254" t="str">
        <f t="shared" si="49"/>
        <v>#REF!</v>
      </c>
      <c r="I25" s="254" t="str">
        <f t="shared" si="49"/>
        <v>#REF!</v>
      </c>
      <c r="J25" s="254" t="str">
        <f t="shared" si="49"/>
        <v>#REF!</v>
      </c>
      <c r="K25" s="254" t="str">
        <f t="shared" si="49"/>
        <v>#REF!</v>
      </c>
      <c r="L25" s="254" t="str">
        <f t="shared" si="49"/>
        <v>#REF!</v>
      </c>
      <c r="M25" s="254" t="str">
        <f t="shared" si="49"/>
        <v>#REF!</v>
      </c>
      <c r="N25" s="254" t="str">
        <f t="shared" si="49"/>
        <v>#REF!</v>
      </c>
      <c r="O25" s="254" t="str">
        <f t="shared" si="49"/>
        <v>#REF!</v>
      </c>
      <c r="P25" s="254" t="str">
        <f t="shared" ref="P25:X25" si="50">#REF!</f>
        <v>#REF!</v>
      </c>
      <c r="Q25" s="254" t="str">
        <f t="shared" si="50"/>
        <v>#REF!</v>
      </c>
      <c r="R25" s="254" t="str">
        <f t="shared" si="50"/>
        <v>#REF!</v>
      </c>
      <c r="S25" s="254" t="str">
        <f t="shared" si="50"/>
        <v>#REF!</v>
      </c>
      <c r="T25" s="254" t="str">
        <f t="shared" si="50"/>
        <v>#REF!</v>
      </c>
      <c r="U25" s="254" t="str">
        <f t="shared" si="50"/>
        <v>#REF!</v>
      </c>
      <c r="V25" s="254" t="str">
        <f t="shared" si="50"/>
        <v>#REF!</v>
      </c>
      <c r="W25" s="254" t="str">
        <f t="shared" si="50"/>
        <v>#REF!</v>
      </c>
      <c r="X25" s="254" t="str">
        <f t="shared" si="50"/>
        <v>#REF!</v>
      </c>
    </row>
    <row r="26">
      <c r="A26" s="254" t="str">
        <f t="shared" ref="A26:O26" si="51">'Municipality Case Trends'!A30</f>
        <v>#REF!</v>
      </c>
      <c r="B26" s="254" t="str">
        <f t="shared" si="51"/>
        <v>#REF!</v>
      </c>
      <c r="C26" s="254" t="str">
        <f t="shared" si="51"/>
        <v>#REF!</v>
      </c>
      <c r="D26" s="254" t="str">
        <f t="shared" si="51"/>
        <v>#REF!</v>
      </c>
      <c r="E26" s="254" t="str">
        <f t="shared" si="51"/>
        <v>#REF!</v>
      </c>
      <c r="F26" s="254" t="str">
        <f t="shared" si="51"/>
        <v>#REF!</v>
      </c>
      <c r="G26" s="254" t="str">
        <f t="shared" si="51"/>
        <v>#REF!</v>
      </c>
      <c r="H26" s="254" t="str">
        <f t="shared" si="51"/>
        <v>#REF!</v>
      </c>
      <c r="I26" s="254" t="str">
        <f t="shared" si="51"/>
        <v>#REF!</v>
      </c>
      <c r="J26" s="254" t="str">
        <f t="shared" si="51"/>
        <v>#REF!</v>
      </c>
      <c r="K26" s="254" t="str">
        <f t="shared" si="51"/>
        <v>#REF!</v>
      </c>
      <c r="L26" s="254" t="str">
        <f t="shared" si="51"/>
        <v>#REF!</v>
      </c>
      <c r="M26" s="254" t="str">
        <f t="shared" si="51"/>
        <v>#REF!</v>
      </c>
      <c r="N26" s="254" t="str">
        <f t="shared" si="51"/>
        <v>#REF!</v>
      </c>
      <c r="O26" s="254" t="str">
        <f t="shared" si="51"/>
        <v>#REF!</v>
      </c>
      <c r="P26" s="254" t="str">
        <f t="shared" ref="P26:X26" si="52">#REF!</f>
        <v>#REF!</v>
      </c>
      <c r="Q26" s="254" t="str">
        <f t="shared" si="52"/>
        <v>#REF!</v>
      </c>
      <c r="R26" s="254" t="str">
        <f t="shared" si="52"/>
        <v>#REF!</v>
      </c>
      <c r="S26" s="254" t="str">
        <f t="shared" si="52"/>
        <v>#REF!</v>
      </c>
      <c r="T26" s="254" t="str">
        <f t="shared" si="52"/>
        <v>#REF!</v>
      </c>
      <c r="U26" s="254" t="str">
        <f t="shared" si="52"/>
        <v>#REF!</v>
      </c>
      <c r="V26" s="254" t="str">
        <f t="shared" si="52"/>
        <v>#REF!</v>
      </c>
      <c r="W26" s="254" t="str">
        <f t="shared" si="52"/>
        <v>#REF!</v>
      </c>
      <c r="X26" s="254" t="str">
        <f t="shared" si="52"/>
        <v>#REF!</v>
      </c>
    </row>
    <row r="27">
      <c r="A27" s="254" t="str">
        <f t="shared" ref="A27:O27" si="53">'Municipality Case Trends'!A31</f>
        <v>#REF!</v>
      </c>
      <c r="B27" s="254" t="str">
        <f t="shared" si="53"/>
        <v>#REF!</v>
      </c>
      <c r="C27" s="254" t="str">
        <f t="shared" si="53"/>
        <v>#REF!</v>
      </c>
      <c r="D27" s="254" t="str">
        <f t="shared" si="53"/>
        <v>#REF!</v>
      </c>
      <c r="E27" s="254" t="str">
        <f t="shared" si="53"/>
        <v>#REF!</v>
      </c>
      <c r="F27" s="254" t="str">
        <f t="shared" si="53"/>
        <v>#REF!</v>
      </c>
      <c r="G27" s="254" t="str">
        <f t="shared" si="53"/>
        <v>#REF!</v>
      </c>
      <c r="H27" s="254" t="str">
        <f t="shared" si="53"/>
        <v>#REF!</v>
      </c>
      <c r="I27" s="254" t="str">
        <f t="shared" si="53"/>
        <v>#REF!</v>
      </c>
      <c r="J27" s="254" t="str">
        <f t="shared" si="53"/>
        <v>#REF!</v>
      </c>
      <c r="K27" s="254" t="str">
        <f t="shared" si="53"/>
        <v>#REF!</v>
      </c>
      <c r="L27" s="254" t="str">
        <f t="shared" si="53"/>
        <v>#REF!</v>
      </c>
      <c r="M27" s="254" t="str">
        <f t="shared" si="53"/>
        <v>#REF!</v>
      </c>
      <c r="N27" s="254" t="str">
        <f t="shared" si="53"/>
        <v>#REF!</v>
      </c>
      <c r="O27" s="254" t="str">
        <f t="shared" si="53"/>
        <v>#REF!</v>
      </c>
      <c r="P27" s="254" t="str">
        <f t="shared" ref="P27:X27" si="54">#REF!</f>
        <v>#REF!</v>
      </c>
      <c r="Q27" s="254" t="str">
        <f t="shared" si="54"/>
        <v>#REF!</v>
      </c>
      <c r="R27" s="254" t="str">
        <f t="shared" si="54"/>
        <v>#REF!</v>
      </c>
      <c r="S27" s="254" t="str">
        <f t="shared" si="54"/>
        <v>#REF!</v>
      </c>
      <c r="T27" s="254" t="str">
        <f t="shared" si="54"/>
        <v>#REF!</v>
      </c>
      <c r="U27" s="254" t="str">
        <f t="shared" si="54"/>
        <v>#REF!</v>
      </c>
      <c r="V27" s="254" t="str">
        <f t="shared" si="54"/>
        <v>#REF!</v>
      </c>
      <c r="W27" s="254" t="str">
        <f t="shared" si="54"/>
        <v>#REF!</v>
      </c>
      <c r="X27" s="254" t="str">
        <f t="shared" si="54"/>
        <v>#REF!</v>
      </c>
    </row>
    <row r="28">
      <c r="A28" s="254" t="str">
        <f t="shared" ref="A28:O28" si="55">'Municipality Case Trends'!A32</f>
        <v>#REF!</v>
      </c>
      <c r="B28" s="254" t="str">
        <f t="shared" si="55"/>
        <v>#REF!</v>
      </c>
      <c r="C28" s="254" t="str">
        <f t="shared" si="55"/>
        <v>#REF!</v>
      </c>
      <c r="D28" s="254" t="str">
        <f t="shared" si="55"/>
        <v>#REF!</v>
      </c>
      <c r="E28" s="254" t="str">
        <f t="shared" si="55"/>
        <v>#REF!</v>
      </c>
      <c r="F28" s="254" t="str">
        <f t="shared" si="55"/>
        <v>#REF!</v>
      </c>
      <c r="G28" s="254" t="str">
        <f t="shared" si="55"/>
        <v>#REF!</v>
      </c>
      <c r="H28" s="254" t="str">
        <f t="shared" si="55"/>
        <v>#REF!</v>
      </c>
      <c r="I28" s="254" t="str">
        <f t="shared" si="55"/>
        <v>#REF!</v>
      </c>
      <c r="J28" s="254" t="str">
        <f t="shared" si="55"/>
        <v>#REF!</v>
      </c>
      <c r="K28" s="254" t="str">
        <f t="shared" si="55"/>
        <v>#REF!</v>
      </c>
      <c r="L28" s="254" t="str">
        <f t="shared" si="55"/>
        <v>#REF!</v>
      </c>
      <c r="M28" s="254" t="str">
        <f t="shared" si="55"/>
        <v>#REF!</v>
      </c>
      <c r="N28" s="254" t="str">
        <f t="shared" si="55"/>
        <v>#REF!</v>
      </c>
      <c r="O28" s="254" t="str">
        <f t="shared" si="55"/>
        <v>#REF!</v>
      </c>
      <c r="P28" s="254" t="str">
        <f t="shared" ref="P28:X28" si="56">#REF!</f>
        <v>#REF!</v>
      </c>
      <c r="Q28" s="254" t="str">
        <f t="shared" si="56"/>
        <v>#REF!</v>
      </c>
      <c r="R28" s="254" t="str">
        <f t="shared" si="56"/>
        <v>#REF!</v>
      </c>
      <c r="S28" s="254" t="str">
        <f t="shared" si="56"/>
        <v>#REF!</v>
      </c>
      <c r="T28" s="254" t="str">
        <f t="shared" si="56"/>
        <v>#REF!</v>
      </c>
      <c r="U28" s="254" t="str">
        <f t="shared" si="56"/>
        <v>#REF!</v>
      </c>
      <c r="V28" s="254" t="str">
        <f t="shared" si="56"/>
        <v>#REF!</v>
      </c>
      <c r="W28" s="254" t="str">
        <f t="shared" si="56"/>
        <v>#REF!</v>
      </c>
      <c r="X28" s="254" t="str">
        <f t="shared" si="56"/>
        <v>#REF!</v>
      </c>
    </row>
    <row r="29">
      <c r="A29" s="254" t="str">
        <f t="shared" ref="A29:O29" si="57">'Municipality Case Trends'!A33</f>
        <v>#REF!</v>
      </c>
      <c r="B29" s="254" t="str">
        <f t="shared" si="57"/>
        <v>#REF!</v>
      </c>
      <c r="C29" s="254" t="str">
        <f t="shared" si="57"/>
        <v>#REF!</v>
      </c>
      <c r="D29" s="254" t="str">
        <f t="shared" si="57"/>
        <v>#REF!</v>
      </c>
      <c r="E29" s="254" t="str">
        <f t="shared" si="57"/>
        <v>#REF!</v>
      </c>
      <c r="F29" s="254" t="str">
        <f t="shared" si="57"/>
        <v>#REF!</v>
      </c>
      <c r="G29" s="254" t="str">
        <f t="shared" si="57"/>
        <v>#REF!</v>
      </c>
      <c r="H29" s="254" t="str">
        <f t="shared" si="57"/>
        <v>#REF!</v>
      </c>
      <c r="I29" s="254" t="str">
        <f t="shared" si="57"/>
        <v>#REF!</v>
      </c>
      <c r="J29" s="254" t="str">
        <f t="shared" si="57"/>
        <v>#REF!</v>
      </c>
      <c r="K29" s="254" t="str">
        <f t="shared" si="57"/>
        <v>#REF!</v>
      </c>
      <c r="L29" s="254" t="str">
        <f t="shared" si="57"/>
        <v>#REF!</v>
      </c>
      <c r="M29" s="254" t="str">
        <f t="shared" si="57"/>
        <v>#REF!</v>
      </c>
      <c r="N29" s="254" t="str">
        <f t="shared" si="57"/>
        <v>#REF!</v>
      </c>
      <c r="O29" s="254" t="str">
        <f t="shared" si="57"/>
        <v>#REF!</v>
      </c>
      <c r="P29" s="254" t="str">
        <f t="shared" ref="P29:X29" si="58">#REF!</f>
        <v>#REF!</v>
      </c>
      <c r="Q29" s="254" t="str">
        <f t="shared" si="58"/>
        <v>#REF!</v>
      </c>
      <c r="R29" s="254" t="str">
        <f t="shared" si="58"/>
        <v>#REF!</v>
      </c>
      <c r="S29" s="254" t="str">
        <f t="shared" si="58"/>
        <v>#REF!</v>
      </c>
      <c r="T29" s="254" t="str">
        <f t="shared" si="58"/>
        <v>#REF!</v>
      </c>
      <c r="U29" s="254" t="str">
        <f t="shared" si="58"/>
        <v>#REF!</v>
      </c>
      <c r="V29" s="254" t="str">
        <f t="shared" si="58"/>
        <v>#REF!</v>
      </c>
      <c r="W29" s="254" t="str">
        <f t="shared" si="58"/>
        <v>#REF!</v>
      </c>
      <c r="X29" s="254" t="str">
        <f t="shared" si="58"/>
        <v>#REF!</v>
      </c>
    </row>
    <row r="30">
      <c r="A30" s="254" t="str">
        <f t="shared" ref="A30:O30" si="59">'Municipality Case Trends'!A34</f>
        <v>#REF!</v>
      </c>
      <c r="B30" s="254" t="str">
        <f t="shared" si="59"/>
        <v>#REF!</v>
      </c>
      <c r="C30" s="254" t="str">
        <f t="shared" si="59"/>
        <v>#REF!</v>
      </c>
      <c r="D30" s="254" t="str">
        <f t="shared" si="59"/>
        <v>#REF!</v>
      </c>
      <c r="E30" s="254" t="str">
        <f t="shared" si="59"/>
        <v>#REF!</v>
      </c>
      <c r="F30" s="254" t="str">
        <f t="shared" si="59"/>
        <v>#REF!</v>
      </c>
      <c r="G30" s="254" t="str">
        <f t="shared" si="59"/>
        <v>#REF!</v>
      </c>
      <c r="H30" s="254" t="str">
        <f t="shared" si="59"/>
        <v>#REF!</v>
      </c>
      <c r="I30" s="254" t="str">
        <f t="shared" si="59"/>
        <v>#REF!</v>
      </c>
      <c r="J30" s="254" t="str">
        <f t="shared" si="59"/>
        <v>#REF!</v>
      </c>
      <c r="K30" s="254" t="str">
        <f t="shared" si="59"/>
        <v>#REF!</v>
      </c>
      <c r="L30" s="254" t="str">
        <f t="shared" si="59"/>
        <v>#REF!</v>
      </c>
      <c r="M30" s="254" t="str">
        <f t="shared" si="59"/>
        <v>#REF!</v>
      </c>
      <c r="N30" s="254" t="str">
        <f t="shared" si="59"/>
        <v>#REF!</v>
      </c>
      <c r="O30" s="254" t="str">
        <f t="shared" si="59"/>
        <v>#REF!</v>
      </c>
      <c r="P30" s="254" t="str">
        <f t="shared" ref="P30:X30" si="60">#REF!</f>
        <v>#REF!</v>
      </c>
      <c r="Q30" s="254" t="str">
        <f t="shared" si="60"/>
        <v>#REF!</v>
      </c>
      <c r="R30" s="254" t="str">
        <f t="shared" si="60"/>
        <v>#REF!</v>
      </c>
      <c r="S30" s="254" t="str">
        <f t="shared" si="60"/>
        <v>#REF!</v>
      </c>
      <c r="T30" s="254" t="str">
        <f t="shared" si="60"/>
        <v>#REF!</v>
      </c>
      <c r="U30" s="254" t="str">
        <f t="shared" si="60"/>
        <v>#REF!</v>
      </c>
      <c r="V30" s="254" t="str">
        <f t="shared" si="60"/>
        <v>#REF!</v>
      </c>
      <c r="W30" s="254" t="str">
        <f t="shared" si="60"/>
        <v>#REF!</v>
      </c>
      <c r="X30" s="254" t="str">
        <f t="shared" si="60"/>
        <v>#REF!</v>
      </c>
    </row>
    <row r="31">
      <c r="A31" s="254" t="str">
        <f t="shared" ref="A31:O31" si="61">'Municipality Case Trends'!A35</f>
        <v>#REF!</v>
      </c>
      <c r="B31" s="254" t="str">
        <f t="shared" si="61"/>
        <v>#REF!</v>
      </c>
      <c r="C31" s="254" t="str">
        <f t="shared" si="61"/>
        <v>#REF!</v>
      </c>
      <c r="D31" s="254" t="str">
        <f t="shared" si="61"/>
        <v>#REF!</v>
      </c>
      <c r="E31" s="254" t="str">
        <f t="shared" si="61"/>
        <v>#REF!</v>
      </c>
      <c r="F31" s="254" t="str">
        <f t="shared" si="61"/>
        <v>#REF!</v>
      </c>
      <c r="G31" s="254" t="str">
        <f t="shared" si="61"/>
        <v>#REF!</v>
      </c>
      <c r="H31" s="254" t="str">
        <f t="shared" si="61"/>
        <v>#REF!</v>
      </c>
      <c r="I31" s="254" t="str">
        <f t="shared" si="61"/>
        <v>#REF!</v>
      </c>
      <c r="J31" s="254" t="str">
        <f t="shared" si="61"/>
        <v>#REF!</v>
      </c>
      <c r="K31" s="254" t="str">
        <f t="shared" si="61"/>
        <v>#REF!</v>
      </c>
      <c r="L31" s="254" t="str">
        <f t="shared" si="61"/>
        <v>#REF!</v>
      </c>
      <c r="M31" s="254" t="str">
        <f t="shared" si="61"/>
        <v>#REF!</v>
      </c>
      <c r="N31" s="254" t="str">
        <f t="shared" si="61"/>
        <v>#REF!</v>
      </c>
      <c r="O31" s="254" t="str">
        <f t="shared" si="61"/>
        <v>#REF!</v>
      </c>
      <c r="P31" s="254" t="str">
        <f t="shared" ref="P31:X31" si="62">#REF!</f>
        <v>#REF!</v>
      </c>
      <c r="Q31" s="254" t="str">
        <f t="shared" si="62"/>
        <v>#REF!</v>
      </c>
      <c r="R31" s="254" t="str">
        <f t="shared" si="62"/>
        <v>#REF!</v>
      </c>
      <c r="S31" s="254" t="str">
        <f t="shared" si="62"/>
        <v>#REF!</v>
      </c>
      <c r="T31" s="254" t="str">
        <f t="shared" si="62"/>
        <v>#REF!</v>
      </c>
      <c r="U31" s="254" t="str">
        <f t="shared" si="62"/>
        <v>#REF!</v>
      </c>
      <c r="V31" s="254" t="str">
        <f t="shared" si="62"/>
        <v>#REF!</v>
      </c>
      <c r="W31" s="254" t="str">
        <f t="shared" si="62"/>
        <v>#REF!</v>
      </c>
      <c r="X31" s="254" t="str">
        <f t="shared" si="62"/>
        <v>#REF!</v>
      </c>
    </row>
    <row r="32">
      <c r="A32" s="254" t="str">
        <f t="shared" ref="A32:O32" si="63">'Municipality Case Trends'!A36</f>
        <v>#REF!</v>
      </c>
      <c r="B32" s="254" t="str">
        <f t="shared" si="63"/>
        <v>#REF!</v>
      </c>
      <c r="C32" s="254" t="str">
        <f t="shared" si="63"/>
        <v>#REF!</v>
      </c>
      <c r="D32" s="254" t="str">
        <f t="shared" si="63"/>
        <v>#REF!</v>
      </c>
      <c r="E32" s="254" t="str">
        <f t="shared" si="63"/>
        <v>#REF!</v>
      </c>
      <c r="F32" s="254" t="str">
        <f t="shared" si="63"/>
        <v>#REF!</v>
      </c>
      <c r="G32" s="254" t="str">
        <f t="shared" si="63"/>
        <v>#REF!</v>
      </c>
      <c r="H32" s="254" t="str">
        <f t="shared" si="63"/>
        <v>#REF!</v>
      </c>
      <c r="I32" s="254" t="str">
        <f t="shared" si="63"/>
        <v>#REF!</v>
      </c>
      <c r="J32" s="254" t="str">
        <f t="shared" si="63"/>
        <v>#REF!</v>
      </c>
      <c r="K32" s="254" t="str">
        <f t="shared" si="63"/>
        <v>#REF!</v>
      </c>
      <c r="L32" s="254" t="str">
        <f t="shared" si="63"/>
        <v>#REF!</v>
      </c>
      <c r="M32" s="254" t="str">
        <f t="shared" si="63"/>
        <v>#REF!</v>
      </c>
      <c r="N32" s="254" t="str">
        <f t="shared" si="63"/>
        <v>#REF!</v>
      </c>
      <c r="O32" s="254" t="str">
        <f t="shared" si="63"/>
        <v>#REF!</v>
      </c>
      <c r="P32" s="254" t="str">
        <f t="shared" ref="P32:X32" si="64">#REF!</f>
        <v>#REF!</v>
      </c>
      <c r="Q32" s="254" t="str">
        <f t="shared" si="64"/>
        <v>#REF!</v>
      </c>
      <c r="R32" s="254" t="str">
        <f t="shared" si="64"/>
        <v>#REF!</v>
      </c>
      <c r="S32" s="254" t="str">
        <f t="shared" si="64"/>
        <v>#REF!</v>
      </c>
      <c r="T32" s="254" t="str">
        <f t="shared" si="64"/>
        <v>#REF!</v>
      </c>
      <c r="U32" s="254" t="str">
        <f t="shared" si="64"/>
        <v>#REF!</v>
      </c>
      <c r="V32" s="254" t="str">
        <f t="shared" si="64"/>
        <v>#REF!</v>
      </c>
      <c r="W32" s="254" t="str">
        <f t="shared" si="64"/>
        <v>#REF!</v>
      </c>
      <c r="X32" s="254" t="str">
        <f t="shared" si="64"/>
        <v>#REF!</v>
      </c>
    </row>
    <row r="33">
      <c r="A33" s="254" t="str">
        <f t="shared" ref="A33:O33" si="65">'Municipality Case Trends'!A37</f>
        <v>#REF!</v>
      </c>
      <c r="B33" s="254" t="str">
        <f t="shared" si="65"/>
        <v>#REF!</v>
      </c>
      <c r="C33" s="254" t="str">
        <f t="shared" si="65"/>
        <v>#REF!</v>
      </c>
      <c r="D33" s="254" t="str">
        <f t="shared" si="65"/>
        <v>#REF!</v>
      </c>
      <c r="E33" s="254" t="str">
        <f t="shared" si="65"/>
        <v>#REF!</v>
      </c>
      <c r="F33" s="254" t="str">
        <f t="shared" si="65"/>
        <v>#REF!</v>
      </c>
      <c r="G33" s="254" t="str">
        <f t="shared" si="65"/>
        <v>#REF!</v>
      </c>
      <c r="H33" s="254" t="str">
        <f t="shared" si="65"/>
        <v>#REF!</v>
      </c>
      <c r="I33" s="254" t="str">
        <f t="shared" si="65"/>
        <v>#REF!</v>
      </c>
      <c r="J33" s="254" t="str">
        <f t="shared" si="65"/>
        <v>#REF!</v>
      </c>
      <c r="K33" s="254" t="str">
        <f t="shared" si="65"/>
        <v>#REF!</v>
      </c>
      <c r="L33" s="254" t="str">
        <f t="shared" si="65"/>
        <v>#REF!</v>
      </c>
      <c r="M33" s="254" t="str">
        <f t="shared" si="65"/>
        <v>#REF!</v>
      </c>
      <c r="N33" s="254" t="str">
        <f t="shared" si="65"/>
        <v>#REF!</v>
      </c>
      <c r="O33" s="254" t="str">
        <f t="shared" si="65"/>
        <v>#REF!</v>
      </c>
      <c r="P33" s="254" t="str">
        <f t="shared" ref="P33:X33" si="66">#REF!</f>
        <v>#REF!</v>
      </c>
      <c r="Q33" s="254" t="str">
        <f t="shared" si="66"/>
        <v>#REF!</v>
      </c>
      <c r="R33" s="254" t="str">
        <f t="shared" si="66"/>
        <v>#REF!</v>
      </c>
      <c r="S33" s="254" t="str">
        <f t="shared" si="66"/>
        <v>#REF!</v>
      </c>
      <c r="T33" s="254" t="str">
        <f t="shared" si="66"/>
        <v>#REF!</v>
      </c>
      <c r="U33" s="254" t="str">
        <f t="shared" si="66"/>
        <v>#REF!</v>
      </c>
      <c r="V33" s="254" t="str">
        <f t="shared" si="66"/>
        <v>#REF!</v>
      </c>
      <c r="W33" s="254" t="str">
        <f t="shared" si="66"/>
        <v>#REF!</v>
      </c>
      <c r="X33" s="254" t="str">
        <f t="shared" si="66"/>
        <v>#REF!</v>
      </c>
    </row>
    <row r="34">
      <c r="A34" s="254" t="str">
        <f t="shared" ref="A34:O34" si="67">'Municipality Case Trends'!A38</f>
        <v>#REF!</v>
      </c>
      <c r="B34" s="254" t="str">
        <f t="shared" si="67"/>
        <v>#REF!</v>
      </c>
      <c r="C34" s="254" t="str">
        <f t="shared" si="67"/>
        <v>#REF!</v>
      </c>
      <c r="D34" s="254" t="str">
        <f t="shared" si="67"/>
        <v>#REF!</v>
      </c>
      <c r="E34" s="254" t="str">
        <f t="shared" si="67"/>
        <v>#REF!</v>
      </c>
      <c r="F34" s="254" t="str">
        <f t="shared" si="67"/>
        <v>#REF!</v>
      </c>
      <c r="G34" s="254" t="str">
        <f t="shared" si="67"/>
        <v>#REF!</v>
      </c>
      <c r="H34" s="254" t="str">
        <f t="shared" si="67"/>
        <v>#REF!</v>
      </c>
      <c r="I34" s="254" t="str">
        <f t="shared" si="67"/>
        <v>#REF!</v>
      </c>
      <c r="J34" s="254" t="str">
        <f t="shared" si="67"/>
        <v>#REF!</v>
      </c>
      <c r="K34" s="254" t="str">
        <f t="shared" si="67"/>
        <v>#REF!</v>
      </c>
      <c r="L34" s="254" t="str">
        <f t="shared" si="67"/>
        <v>#REF!</v>
      </c>
      <c r="M34" s="254" t="str">
        <f t="shared" si="67"/>
        <v>#REF!</v>
      </c>
      <c r="N34" s="254" t="str">
        <f t="shared" si="67"/>
        <v>#REF!</v>
      </c>
      <c r="O34" s="254" t="str">
        <f t="shared" si="67"/>
        <v>#REF!</v>
      </c>
      <c r="P34" s="254" t="str">
        <f t="shared" ref="P34:X34" si="68">#REF!</f>
        <v>#REF!</v>
      </c>
      <c r="Q34" s="254" t="str">
        <f t="shared" si="68"/>
        <v>#REF!</v>
      </c>
      <c r="R34" s="254" t="str">
        <f t="shared" si="68"/>
        <v>#REF!</v>
      </c>
      <c r="S34" s="254" t="str">
        <f t="shared" si="68"/>
        <v>#REF!</v>
      </c>
      <c r="T34" s="254" t="str">
        <f t="shared" si="68"/>
        <v>#REF!</v>
      </c>
      <c r="U34" s="254" t="str">
        <f t="shared" si="68"/>
        <v>#REF!</v>
      </c>
      <c r="V34" s="254" t="str">
        <f t="shared" si="68"/>
        <v>#REF!</v>
      </c>
      <c r="W34" s="254" t="str">
        <f t="shared" si="68"/>
        <v>#REF!</v>
      </c>
      <c r="X34" s="254" t="str">
        <f t="shared" si="68"/>
        <v>#REF!</v>
      </c>
    </row>
    <row r="35">
      <c r="A35" s="254" t="str">
        <f t="shared" ref="A35:O35" si="69">'Municipality Case Trends'!A39</f>
        <v>#REF!</v>
      </c>
      <c r="B35" s="254" t="str">
        <f t="shared" si="69"/>
        <v>#REF!</v>
      </c>
      <c r="C35" s="254" t="str">
        <f t="shared" si="69"/>
        <v>#REF!</v>
      </c>
      <c r="D35" s="254" t="str">
        <f t="shared" si="69"/>
        <v>#REF!</v>
      </c>
      <c r="E35" s="254" t="str">
        <f t="shared" si="69"/>
        <v>#REF!</v>
      </c>
      <c r="F35" s="254" t="str">
        <f t="shared" si="69"/>
        <v>#REF!</v>
      </c>
      <c r="G35" s="254" t="str">
        <f t="shared" si="69"/>
        <v>#REF!</v>
      </c>
      <c r="H35" s="254" t="str">
        <f t="shared" si="69"/>
        <v>#REF!</v>
      </c>
      <c r="I35" s="254" t="str">
        <f t="shared" si="69"/>
        <v>#REF!</v>
      </c>
      <c r="J35" s="254" t="str">
        <f t="shared" si="69"/>
        <v>#REF!</v>
      </c>
      <c r="K35" s="254" t="str">
        <f t="shared" si="69"/>
        <v>#REF!</v>
      </c>
      <c r="L35" s="254" t="str">
        <f t="shared" si="69"/>
        <v>#REF!</v>
      </c>
      <c r="M35" s="254" t="str">
        <f t="shared" si="69"/>
        <v>#REF!</v>
      </c>
      <c r="N35" s="254" t="str">
        <f t="shared" si="69"/>
        <v>#REF!</v>
      </c>
      <c r="O35" s="254" t="str">
        <f t="shared" si="69"/>
        <v>#REF!</v>
      </c>
      <c r="P35" s="254" t="str">
        <f t="shared" ref="P35:X35" si="70">#REF!</f>
        <v>#REF!</v>
      </c>
      <c r="Q35" s="254" t="str">
        <f t="shared" si="70"/>
        <v>#REF!</v>
      </c>
      <c r="R35" s="254" t="str">
        <f t="shared" si="70"/>
        <v>#REF!</v>
      </c>
      <c r="S35" s="254" t="str">
        <f t="shared" si="70"/>
        <v>#REF!</v>
      </c>
      <c r="T35" s="254" t="str">
        <f t="shared" si="70"/>
        <v>#REF!</v>
      </c>
      <c r="U35" s="254" t="str">
        <f t="shared" si="70"/>
        <v>#REF!</v>
      </c>
      <c r="V35" s="254" t="str">
        <f t="shared" si="70"/>
        <v>#REF!</v>
      </c>
      <c r="W35" s="254" t="str">
        <f t="shared" si="70"/>
        <v>#REF!</v>
      </c>
      <c r="X35" s="254" t="str">
        <f t="shared" si="70"/>
        <v>#REF!</v>
      </c>
    </row>
    <row r="36">
      <c r="A36" s="254" t="str">
        <f t="shared" ref="A36:O36" si="71">'Municipality Case Trends'!A40</f>
        <v>#REF!</v>
      </c>
      <c r="B36" s="254" t="str">
        <f t="shared" si="71"/>
        <v>#REF!</v>
      </c>
      <c r="C36" s="254" t="str">
        <f t="shared" si="71"/>
        <v>#REF!</v>
      </c>
      <c r="D36" s="254" t="str">
        <f t="shared" si="71"/>
        <v>#REF!</v>
      </c>
      <c r="E36" s="254" t="str">
        <f t="shared" si="71"/>
        <v>#REF!</v>
      </c>
      <c r="F36" s="254" t="str">
        <f t="shared" si="71"/>
        <v>#REF!</v>
      </c>
      <c r="G36" s="254" t="str">
        <f t="shared" si="71"/>
        <v>#REF!</v>
      </c>
      <c r="H36" s="254" t="str">
        <f t="shared" si="71"/>
        <v>#REF!</v>
      </c>
      <c r="I36" s="254" t="str">
        <f t="shared" si="71"/>
        <v>#REF!</v>
      </c>
      <c r="J36" s="254" t="str">
        <f t="shared" si="71"/>
        <v>#REF!</v>
      </c>
      <c r="K36" s="254" t="str">
        <f t="shared" si="71"/>
        <v>#REF!</v>
      </c>
      <c r="L36" s="254" t="str">
        <f t="shared" si="71"/>
        <v>#REF!</v>
      </c>
      <c r="M36" s="254" t="str">
        <f t="shared" si="71"/>
        <v>#REF!</v>
      </c>
      <c r="N36" s="254" t="str">
        <f t="shared" si="71"/>
        <v>#REF!</v>
      </c>
      <c r="O36" s="254" t="str">
        <f t="shared" si="71"/>
        <v>#REF!</v>
      </c>
      <c r="P36" s="254" t="str">
        <f t="shared" ref="P36:X36" si="72">#REF!</f>
        <v>#REF!</v>
      </c>
      <c r="Q36" s="254" t="str">
        <f t="shared" si="72"/>
        <v>#REF!</v>
      </c>
      <c r="R36" s="254" t="str">
        <f t="shared" si="72"/>
        <v>#REF!</v>
      </c>
      <c r="S36" s="254" t="str">
        <f t="shared" si="72"/>
        <v>#REF!</v>
      </c>
      <c r="T36" s="254" t="str">
        <f t="shared" si="72"/>
        <v>#REF!</v>
      </c>
      <c r="U36" s="254" t="str">
        <f t="shared" si="72"/>
        <v>#REF!</v>
      </c>
      <c r="V36" s="254" t="str">
        <f t="shared" si="72"/>
        <v>#REF!</v>
      </c>
      <c r="W36" s="254" t="str">
        <f t="shared" si="72"/>
        <v>#REF!</v>
      </c>
      <c r="X36" s="254" t="str">
        <f t="shared" si="72"/>
        <v>#REF!</v>
      </c>
    </row>
    <row r="37">
      <c r="A37" s="254" t="str">
        <f t="shared" ref="A37:O37" si="73">'Municipality Case Trends'!A41</f>
        <v>#REF!</v>
      </c>
      <c r="B37" s="254" t="str">
        <f t="shared" si="73"/>
        <v>#REF!</v>
      </c>
      <c r="C37" s="254" t="str">
        <f t="shared" si="73"/>
        <v>#REF!</v>
      </c>
      <c r="D37" s="254" t="str">
        <f t="shared" si="73"/>
        <v>#REF!</v>
      </c>
      <c r="E37" s="254" t="str">
        <f t="shared" si="73"/>
        <v>#REF!</v>
      </c>
      <c r="F37" s="254" t="str">
        <f t="shared" si="73"/>
        <v>#REF!</v>
      </c>
      <c r="G37" s="254" t="str">
        <f t="shared" si="73"/>
        <v>#REF!</v>
      </c>
      <c r="H37" s="254" t="str">
        <f t="shared" si="73"/>
        <v>#REF!</v>
      </c>
      <c r="I37" s="254" t="str">
        <f t="shared" si="73"/>
        <v>#REF!</v>
      </c>
      <c r="J37" s="254" t="str">
        <f t="shared" si="73"/>
        <v>#REF!</v>
      </c>
      <c r="K37" s="254" t="str">
        <f t="shared" si="73"/>
        <v>#REF!</v>
      </c>
      <c r="L37" s="254" t="str">
        <f t="shared" si="73"/>
        <v>#REF!</v>
      </c>
      <c r="M37" s="254" t="str">
        <f t="shared" si="73"/>
        <v>#REF!</v>
      </c>
      <c r="N37" s="254" t="str">
        <f t="shared" si="73"/>
        <v>#REF!</v>
      </c>
      <c r="O37" s="254" t="str">
        <f t="shared" si="73"/>
        <v>#REF!</v>
      </c>
      <c r="P37" s="254" t="str">
        <f t="shared" ref="P37:X37" si="74">#REF!</f>
        <v>#REF!</v>
      </c>
      <c r="Q37" s="254" t="str">
        <f t="shared" si="74"/>
        <v>#REF!</v>
      </c>
      <c r="R37" s="254" t="str">
        <f t="shared" si="74"/>
        <v>#REF!</v>
      </c>
      <c r="S37" s="254" t="str">
        <f t="shared" si="74"/>
        <v>#REF!</v>
      </c>
      <c r="T37" s="254" t="str">
        <f t="shared" si="74"/>
        <v>#REF!</v>
      </c>
      <c r="U37" s="254" t="str">
        <f t="shared" si="74"/>
        <v>#REF!</v>
      </c>
      <c r="V37" s="254" t="str">
        <f t="shared" si="74"/>
        <v>#REF!</v>
      </c>
      <c r="W37" s="254" t="str">
        <f t="shared" si="74"/>
        <v>#REF!</v>
      </c>
      <c r="X37" s="254" t="str">
        <f t="shared" si="74"/>
        <v>#REF!</v>
      </c>
    </row>
    <row r="38">
      <c r="A38" s="254" t="str">
        <f t="shared" ref="A38:O38" si="75">'Municipality Case Trends'!A42</f>
        <v>#REF!</v>
      </c>
      <c r="B38" s="254" t="str">
        <f t="shared" si="75"/>
        <v>#REF!</v>
      </c>
      <c r="C38" s="254" t="str">
        <f t="shared" si="75"/>
        <v>#REF!</v>
      </c>
      <c r="D38" s="254" t="str">
        <f t="shared" si="75"/>
        <v>#REF!</v>
      </c>
      <c r="E38" s="254" t="str">
        <f t="shared" si="75"/>
        <v>#REF!</v>
      </c>
      <c r="F38" s="254" t="str">
        <f t="shared" si="75"/>
        <v>#REF!</v>
      </c>
      <c r="G38" s="254" t="str">
        <f t="shared" si="75"/>
        <v>#REF!</v>
      </c>
      <c r="H38" s="254" t="str">
        <f t="shared" si="75"/>
        <v>#REF!</v>
      </c>
      <c r="I38" s="254" t="str">
        <f t="shared" si="75"/>
        <v>#REF!</v>
      </c>
      <c r="J38" s="254" t="str">
        <f t="shared" si="75"/>
        <v>#REF!</v>
      </c>
      <c r="K38" s="254" t="str">
        <f t="shared" si="75"/>
        <v>#REF!</v>
      </c>
      <c r="L38" s="254" t="str">
        <f t="shared" si="75"/>
        <v>#REF!</v>
      </c>
      <c r="M38" s="254" t="str">
        <f t="shared" si="75"/>
        <v>#REF!</v>
      </c>
      <c r="N38" s="254" t="str">
        <f t="shared" si="75"/>
        <v>#REF!</v>
      </c>
      <c r="O38" s="254" t="str">
        <f t="shared" si="75"/>
        <v>#REF!</v>
      </c>
      <c r="P38" s="254" t="str">
        <f t="shared" ref="P38:X38" si="76">#REF!</f>
        <v>#REF!</v>
      </c>
      <c r="Q38" s="254" t="str">
        <f t="shared" si="76"/>
        <v>#REF!</v>
      </c>
      <c r="R38" s="254" t="str">
        <f t="shared" si="76"/>
        <v>#REF!</v>
      </c>
      <c r="S38" s="254" t="str">
        <f t="shared" si="76"/>
        <v>#REF!</v>
      </c>
      <c r="T38" s="254" t="str">
        <f t="shared" si="76"/>
        <v>#REF!</v>
      </c>
      <c r="U38" s="254" t="str">
        <f t="shared" si="76"/>
        <v>#REF!</v>
      </c>
      <c r="V38" s="254" t="str">
        <f t="shared" si="76"/>
        <v>#REF!</v>
      </c>
      <c r="W38" s="254" t="str">
        <f t="shared" si="76"/>
        <v>#REF!</v>
      </c>
      <c r="X38" s="254" t="str">
        <f t="shared" si="76"/>
        <v>#REF!</v>
      </c>
    </row>
    <row r="39">
      <c r="A39" s="254" t="str">
        <f t="shared" ref="A39:O39" si="77">'Municipality Case Trends'!A43</f>
        <v>#REF!</v>
      </c>
      <c r="B39" s="254" t="str">
        <f t="shared" si="77"/>
        <v>#REF!</v>
      </c>
      <c r="C39" s="254" t="str">
        <f t="shared" si="77"/>
        <v>#REF!</v>
      </c>
      <c r="D39" s="254" t="str">
        <f t="shared" si="77"/>
        <v>#REF!</v>
      </c>
      <c r="E39" s="254" t="str">
        <f t="shared" si="77"/>
        <v>#REF!</v>
      </c>
      <c r="F39" s="254" t="str">
        <f t="shared" si="77"/>
        <v>#REF!</v>
      </c>
      <c r="G39" s="254" t="str">
        <f t="shared" si="77"/>
        <v>#REF!</v>
      </c>
      <c r="H39" s="254" t="str">
        <f t="shared" si="77"/>
        <v>#REF!</v>
      </c>
      <c r="I39" s="254" t="str">
        <f t="shared" si="77"/>
        <v>#REF!</v>
      </c>
      <c r="J39" s="254" t="str">
        <f t="shared" si="77"/>
        <v>#REF!</v>
      </c>
      <c r="K39" s="254" t="str">
        <f t="shared" si="77"/>
        <v>#REF!</v>
      </c>
      <c r="L39" s="254" t="str">
        <f t="shared" si="77"/>
        <v>#REF!</v>
      </c>
      <c r="M39" s="254" t="str">
        <f t="shared" si="77"/>
        <v>#REF!</v>
      </c>
      <c r="N39" s="254" t="str">
        <f t="shared" si="77"/>
        <v>#REF!</v>
      </c>
      <c r="O39" s="254" t="str">
        <f t="shared" si="77"/>
        <v>#REF!</v>
      </c>
      <c r="P39" s="254" t="str">
        <f t="shared" ref="P39:X39" si="78">#REF!</f>
        <v>#REF!</v>
      </c>
      <c r="Q39" s="254" t="str">
        <f t="shared" si="78"/>
        <v>#REF!</v>
      </c>
      <c r="R39" s="254" t="str">
        <f t="shared" si="78"/>
        <v>#REF!</v>
      </c>
      <c r="S39" s="254" t="str">
        <f t="shared" si="78"/>
        <v>#REF!</v>
      </c>
      <c r="T39" s="254" t="str">
        <f t="shared" si="78"/>
        <v>#REF!</v>
      </c>
      <c r="U39" s="254" t="str">
        <f t="shared" si="78"/>
        <v>#REF!</v>
      </c>
      <c r="V39" s="254" t="str">
        <f t="shared" si="78"/>
        <v>#REF!</v>
      </c>
      <c r="W39" s="254" t="str">
        <f t="shared" si="78"/>
        <v>#REF!</v>
      </c>
      <c r="X39" s="254" t="str">
        <f t="shared" si="78"/>
        <v>#REF!</v>
      </c>
    </row>
    <row r="40">
      <c r="A40" s="254" t="str">
        <f t="shared" ref="A40:O40" si="79">'Municipality Case Trends'!A44</f>
        <v>#REF!</v>
      </c>
      <c r="B40" s="254" t="str">
        <f t="shared" si="79"/>
        <v>#REF!</v>
      </c>
      <c r="C40" s="254" t="str">
        <f t="shared" si="79"/>
        <v>#REF!</v>
      </c>
      <c r="D40" s="254" t="str">
        <f t="shared" si="79"/>
        <v>#REF!</v>
      </c>
      <c r="E40" s="254" t="str">
        <f t="shared" si="79"/>
        <v>#REF!</v>
      </c>
      <c r="F40" s="254" t="str">
        <f t="shared" si="79"/>
        <v>#REF!</v>
      </c>
      <c r="G40" s="254" t="str">
        <f t="shared" si="79"/>
        <v>#REF!</v>
      </c>
      <c r="H40" s="254" t="str">
        <f t="shared" si="79"/>
        <v>#REF!</v>
      </c>
      <c r="I40" s="254" t="str">
        <f t="shared" si="79"/>
        <v>#REF!</v>
      </c>
      <c r="J40" s="254" t="str">
        <f t="shared" si="79"/>
        <v>#REF!</v>
      </c>
      <c r="K40" s="254" t="str">
        <f t="shared" si="79"/>
        <v>#REF!</v>
      </c>
      <c r="L40" s="254" t="str">
        <f t="shared" si="79"/>
        <v>#REF!</v>
      </c>
      <c r="M40" s="254" t="str">
        <f t="shared" si="79"/>
        <v>#REF!</v>
      </c>
      <c r="N40" s="254" t="str">
        <f t="shared" si="79"/>
        <v>#REF!</v>
      </c>
      <c r="O40" s="254" t="str">
        <f t="shared" si="79"/>
        <v>#REF!</v>
      </c>
      <c r="P40" s="254" t="str">
        <f t="shared" ref="P40:X40" si="80">#REF!</f>
        <v>#REF!</v>
      </c>
      <c r="Q40" s="254" t="str">
        <f t="shared" si="80"/>
        <v>#REF!</v>
      </c>
      <c r="R40" s="254" t="str">
        <f t="shared" si="80"/>
        <v>#REF!</v>
      </c>
      <c r="S40" s="254" t="str">
        <f t="shared" si="80"/>
        <v>#REF!</v>
      </c>
      <c r="T40" s="254" t="str">
        <f t="shared" si="80"/>
        <v>#REF!</v>
      </c>
      <c r="U40" s="254" t="str">
        <f t="shared" si="80"/>
        <v>#REF!</v>
      </c>
      <c r="V40" s="254" t="str">
        <f t="shared" si="80"/>
        <v>#REF!</v>
      </c>
      <c r="W40" s="254" t="str">
        <f t="shared" si="80"/>
        <v>#REF!</v>
      </c>
      <c r="X40" s="254" t="str">
        <f t="shared" si="80"/>
        <v>#REF!</v>
      </c>
    </row>
    <row r="41">
      <c r="A41" s="254" t="str">
        <f t="shared" ref="A41:O41" si="81">'Municipality Case Trends'!A45</f>
        <v>#REF!</v>
      </c>
      <c r="B41" s="254" t="str">
        <f t="shared" si="81"/>
        <v>#REF!</v>
      </c>
      <c r="C41" s="254" t="str">
        <f t="shared" si="81"/>
        <v>#REF!</v>
      </c>
      <c r="D41" s="254" t="str">
        <f t="shared" si="81"/>
        <v>#REF!</v>
      </c>
      <c r="E41" s="254" t="str">
        <f t="shared" si="81"/>
        <v>#REF!</v>
      </c>
      <c r="F41" s="254" t="str">
        <f t="shared" si="81"/>
        <v>#REF!</v>
      </c>
      <c r="G41" s="254" t="str">
        <f t="shared" si="81"/>
        <v>#REF!</v>
      </c>
      <c r="H41" s="254" t="str">
        <f t="shared" si="81"/>
        <v>#REF!</v>
      </c>
      <c r="I41" s="254" t="str">
        <f t="shared" si="81"/>
        <v>#REF!</v>
      </c>
      <c r="J41" s="254" t="str">
        <f t="shared" si="81"/>
        <v>#REF!</v>
      </c>
      <c r="K41" s="254" t="str">
        <f t="shared" si="81"/>
        <v>#REF!</v>
      </c>
      <c r="L41" s="254" t="str">
        <f t="shared" si="81"/>
        <v>#REF!</v>
      </c>
      <c r="M41" s="254" t="str">
        <f t="shared" si="81"/>
        <v>#REF!</v>
      </c>
      <c r="N41" s="254" t="str">
        <f t="shared" si="81"/>
        <v>#REF!</v>
      </c>
      <c r="O41" s="254" t="str">
        <f t="shared" si="81"/>
        <v>#REF!</v>
      </c>
      <c r="P41" s="254" t="str">
        <f t="shared" ref="P41:X41" si="82">#REF!</f>
        <v>#REF!</v>
      </c>
      <c r="Q41" s="254" t="str">
        <f t="shared" si="82"/>
        <v>#REF!</v>
      </c>
      <c r="R41" s="254" t="str">
        <f t="shared" si="82"/>
        <v>#REF!</v>
      </c>
      <c r="S41" s="254" t="str">
        <f t="shared" si="82"/>
        <v>#REF!</v>
      </c>
      <c r="T41" s="254" t="str">
        <f t="shared" si="82"/>
        <v>#REF!</v>
      </c>
      <c r="U41" s="254" t="str">
        <f t="shared" si="82"/>
        <v>#REF!</v>
      </c>
      <c r="V41" s="254" t="str">
        <f t="shared" si="82"/>
        <v>#REF!</v>
      </c>
      <c r="W41" s="254" t="str">
        <f t="shared" si="82"/>
        <v>#REF!</v>
      </c>
      <c r="X41" s="254" t="str">
        <f t="shared" si="82"/>
        <v>#REF!</v>
      </c>
    </row>
    <row r="42">
      <c r="A42" s="254" t="str">
        <f t="shared" ref="A42:O42" si="83">'Municipality Case Trends'!A46</f>
        <v>#REF!</v>
      </c>
      <c r="B42" s="254" t="str">
        <f t="shared" si="83"/>
        <v>#REF!</v>
      </c>
      <c r="C42" s="254" t="str">
        <f t="shared" si="83"/>
        <v>#REF!</v>
      </c>
      <c r="D42" s="254" t="str">
        <f t="shared" si="83"/>
        <v>#REF!</v>
      </c>
      <c r="E42" s="254" t="str">
        <f t="shared" si="83"/>
        <v>#REF!</v>
      </c>
      <c r="F42" s="254" t="str">
        <f t="shared" si="83"/>
        <v>#REF!</v>
      </c>
      <c r="G42" s="254" t="str">
        <f t="shared" si="83"/>
        <v>#REF!</v>
      </c>
      <c r="H42" s="254" t="str">
        <f t="shared" si="83"/>
        <v>#REF!</v>
      </c>
      <c r="I42" s="254" t="str">
        <f t="shared" si="83"/>
        <v>#REF!</v>
      </c>
      <c r="J42" s="254" t="str">
        <f t="shared" si="83"/>
        <v>#REF!</v>
      </c>
      <c r="K42" s="254" t="str">
        <f t="shared" si="83"/>
        <v>#REF!</v>
      </c>
      <c r="L42" s="254" t="str">
        <f t="shared" si="83"/>
        <v>#REF!</v>
      </c>
      <c r="M42" s="254" t="str">
        <f t="shared" si="83"/>
        <v>#REF!</v>
      </c>
      <c r="N42" s="254" t="str">
        <f t="shared" si="83"/>
        <v>#REF!</v>
      </c>
      <c r="O42" s="254" t="str">
        <f t="shared" si="83"/>
        <v>#REF!</v>
      </c>
      <c r="P42" s="254" t="str">
        <f t="shared" ref="P42:X42" si="84">#REF!</f>
        <v>#REF!</v>
      </c>
      <c r="Q42" s="254" t="str">
        <f t="shared" si="84"/>
        <v>#REF!</v>
      </c>
      <c r="R42" s="254" t="str">
        <f t="shared" si="84"/>
        <v>#REF!</v>
      </c>
      <c r="S42" s="254" t="str">
        <f t="shared" si="84"/>
        <v>#REF!</v>
      </c>
      <c r="T42" s="254" t="str">
        <f t="shared" si="84"/>
        <v>#REF!</v>
      </c>
      <c r="U42" s="254" t="str">
        <f t="shared" si="84"/>
        <v>#REF!</v>
      </c>
      <c r="V42" s="254" t="str">
        <f t="shared" si="84"/>
        <v>#REF!</v>
      </c>
      <c r="W42" s="254" t="str">
        <f t="shared" si="84"/>
        <v>#REF!</v>
      </c>
      <c r="X42" s="254" t="str">
        <f t="shared" si="84"/>
        <v>#REF!</v>
      </c>
    </row>
    <row r="43">
      <c r="A43" s="254" t="str">
        <f>#REF!</f>
        <v>#REF!</v>
      </c>
    </row>
    <row r="44">
      <c r="A44" s="254" t="str">
        <f>'Municipality Case Trends'!A4</f>
        <v>#REF!</v>
      </c>
    </row>
    <row r="45">
      <c r="A45" s="254" t="str">
        <f t="shared" ref="A45:A57" si="85">#REF!</f>
        <v>#REF!</v>
      </c>
    </row>
    <row r="46">
      <c r="A46" s="254" t="str">
        <f t="shared" si="85"/>
        <v>#REF!</v>
      </c>
    </row>
    <row r="47">
      <c r="A47" s="254" t="str">
        <f t="shared" si="85"/>
        <v>#REF!</v>
      </c>
    </row>
    <row r="48">
      <c r="A48" s="254" t="str">
        <f t="shared" si="85"/>
        <v>#REF!</v>
      </c>
    </row>
    <row r="49">
      <c r="A49" s="254" t="str">
        <f t="shared" si="85"/>
        <v>#REF!</v>
      </c>
    </row>
    <row r="50">
      <c r="A50" s="254" t="str">
        <f t="shared" si="85"/>
        <v>#REF!</v>
      </c>
    </row>
    <row r="51">
      <c r="A51" s="254" t="str">
        <f t="shared" si="85"/>
        <v>#REF!</v>
      </c>
    </row>
    <row r="52">
      <c r="A52" s="254" t="str">
        <f t="shared" si="85"/>
        <v>#REF!</v>
      </c>
    </row>
    <row r="53">
      <c r="A53" s="254" t="str">
        <f t="shared" si="85"/>
        <v>#REF!</v>
      </c>
    </row>
    <row r="54">
      <c r="A54" s="254" t="str">
        <f t="shared" si="85"/>
        <v>#REF!</v>
      </c>
    </row>
    <row r="55">
      <c r="A55" s="254" t="str">
        <f t="shared" si="85"/>
        <v>#REF!</v>
      </c>
    </row>
    <row r="56">
      <c r="A56" s="254" t="str">
        <f t="shared" si="85"/>
        <v>#REF!</v>
      </c>
    </row>
    <row r="57">
      <c r="A57" s="254"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12535.0</v>
      </c>
      <c r="C3" s="44">
        <v>0.03</v>
      </c>
      <c r="D3" s="45">
        <v>992.0</v>
      </c>
      <c r="E3" s="46">
        <v>0.02</v>
      </c>
      <c r="F3" s="47">
        <v>36.0</v>
      </c>
      <c r="G3" s="48">
        <v>0.01</v>
      </c>
      <c r="H3" s="47">
        <v>0.0</v>
      </c>
      <c r="I3" s="48">
        <v>0.0</v>
      </c>
    </row>
    <row r="4" ht="14.25" customHeight="1">
      <c r="A4" s="49">
        <v>43960.0</v>
      </c>
      <c r="B4" s="43">
        <v>15959.0</v>
      </c>
      <c r="C4" s="44">
        <v>0.03</v>
      </c>
      <c r="D4" s="45">
        <v>1189.0</v>
      </c>
      <c r="E4" s="46">
        <v>0.02</v>
      </c>
      <c r="F4" s="47">
        <v>12.0</v>
      </c>
      <c r="G4" s="50" t="s">
        <v>41</v>
      </c>
      <c r="H4" s="47">
        <v>0.0</v>
      </c>
      <c r="I4" s="48">
        <v>0.0</v>
      </c>
    </row>
    <row r="5" ht="14.25" customHeight="1">
      <c r="A5" s="49">
        <v>44118.0</v>
      </c>
      <c r="B5" s="43">
        <v>16195.0</v>
      </c>
      <c r="C5" s="44">
        <v>0.03</v>
      </c>
      <c r="D5" s="45">
        <v>1604.0</v>
      </c>
      <c r="E5" s="46">
        <v>0.03</v>
      </c>
      <c r="F5" s="47">
        <v>18.0</v>
      </c>
      <c r="G5" s="50" t="s">
        <v>41</v>
      </c>
      <c r="H5" s="47" t="s">
        <v>42</v>
      </c>
      <c r="I5" s="51" t="s">
        <v>30</v>
      </c>
    </row>
    <row r="6" ht="14.25" customHeight="1">
      <c r="A6" s="42" t="s">
        <v>43</v>
      </c>
      <c r="B6" s="43">
        <v>24036.0</v>
      </c>
      <c r="C6" s="44">
        <v>0.05</v>
      </c>
      <c r="D6" s="45">
        <v>2370.0</v>
      </c>
      <c r="E6" s="46">
        <v>0.04</v>
      </c>
      <c r="F6" s="47">
        <v>27.0</v>
      </c>
      <c r="G6" s="48">
        <v>0.01</v>
      </c>
      <c r="H6" s="47">
        <v>0.0</v>
      </c>
      <c r="I6" s="46">
        <v>0.0</v>
      </c>
    </row>
    <row r="7" ht="15.0" customHeight="1">
      <c r="A7" s="42" t="s">
        <v>44</v>
      </c>
      <c r="B7" s="43">
        <v>59181.0</v>
      </c>
      <c r="C7" s="44">
        <v>0.12</v>
      </c>
      <c r="D7" s="52">
        <v>6222.0</v>
      </c>
      <c r="E7" s="46">
        <v>0.11</v>
      </c>
      <c r="F7" s="47">
        <v>118.0</v>
      </c>
      <c r="G7" s="48">
        <v>0.03</v>
      </c>
      <c r="H7" s="47" t="s">
        <v>42</v>
      </c>
      <c r="I7" s="51" t="s">
        <v>30</v>
      </c>
    </row>
    <row r="8" ht="15.0" customHeight="1">
      <c r="A8" s="42" t="s">
        <v>45</v>
      </c>
      <c r="B8" s="43">
        <v>43576.0</v>
      </c>
      <c r="C8" s="44">
        <v>0.09</v>
      </c>
      <c r="D8" s="52">
        <v>5021.0</v>
      </c>
      <c r="E8" s="46">
        <v>0.09</v>
      </c>
      <c r="F8" s="47">
        <v>148.0</v>
      </c>
      <c r="G8" s="48">
        <v>0.03</v>
      </c>
      <c r="H8" s="47" t="s">
        <v>42</v>
      </c>
      <c r="I8" s="51" t="s">
        <v>30</v>
      </c>
    </row>
    <row r="9" ht="15.0" customHeight="1">
      <c r="A9" s="42" t="s">
        <v>46</v>
      </c>
      <c r="B9" s="43">
        <v>76154.0</v>
      </c>
      <c r="C9" s="44">
        <v>0.16</v>
      </c>
      <c r="D9" s="52">
        <v>8769.0</v>
      </c>
      <c r="E9" s="46">
        <v>0.16</v>
      </c>
      <c r="F9" s="47">
        <v>304.0</v>
      </c>
      <c r="G9" s="48">
        <v>0.07</v>
      </c>
      <c r="H9" s="47">
        <v>7.0</v>
      </c>
      <c r="I9" s="48">
        <v>0.01</v>
      </c>
    </row>
    <row r="10" ht="15.0" customHeight="1">
      <c r="A10" s="42" t="s">
        <v>47</v>
      </c>
      <c r="B10" s="43">
        <v>60578.0</v>
      </c>
      <c r="C10" s="44">
        <v>0.12</v>
      </c>
      <c r="D10" s="52">
        <v>7618.0</v>
      </c>
      <c r="E10" s="46">
        <v>0.14</v>
      </c>
      <c r="F10" s="47">
        <v>453.0</v>
      </c>
      <c r="G10" s="48">
        <v>0.1</v>
      </c>
      <c r="H10" s="47">
        <v>19.0</v>
      </c>
      <c r="I10" s="48">
        <v>0.01</v>
      </c>
    </row>
    <row r="11" ht="14.25" customHeight="1">
      <c r="A11" s="42" t="s">
        <v>48</v>
      </c>
      <c r="B11" s="43">
        <v>71524.0</v>
      </c>
      <c r="C11" s="44">
        <v>0.15</v>
      </c>
      <c r="D11" s="52">
        <v>8143.0</v>
      </c>
      <c r="E11" s="46">
        <v>0.15</v>
      </c>
      <c r="F11" s="47">
        <v>681.0</v>
      </c>
      <c r="G11" s="48">
        <v>0.15</v>
      </c>
      <c r="H11" s="47">
        <v>58.0</v>
      </c>
      <c r="I11" s="48">
        <v>0.04</v>
      </c>
    </row>
    <row r="12" ht="14.25" customHeight="1">
      <c r="A12" s="42" t="s">
        <v>49</v>
      </c>
      <c r="B12" s="43">
        <v>58047.0</v>
      </c>
      <c r="C12" s="44">
        <v>0.12</v>
      </c>
      <c r="D12" s="52">
        <v>5579.0</v>
      </c>
      <c r="E12" s="46">
        <v>0.1</v>
      </c>
      <c r="F12" s="47">
        <v>883.0</v>
      </c>
      <c r="G12" s="48">
        <v>0.2</v>
      </c>
      <c r="H12" s="47">
        <v>153.0</v>
      </c>
      <c r="I12" s="48">
        <v>0.11</v>
      </c>
    </row>
    <row r="13" ht="14.25" customHeight="1">
      <c r="A13" s="42" t="s">
        <v>50</v>
      </c>
      <c r="B13" s="43">
        <v>30719.0</v>
      </c>
      <c r="C13" s="44">
        <v>0.06</v>
      </c>
      <c r="D13" s="52">
        <v>3087.0</v>
      </c>
      <c r="E13" s="46">
        <v>0.06</v>
      </c>
      <c r="F13" s="47">
        <v>876.0</v>
      </c>
      <c r="G13" s="48">
        <v>0.19</v>
      </c>
      <c r="H13" s="47">
        <v>300.0</v>
      </c>
      <c r="I13" s="48">
        <v>0.22</v>
      </c>
    </row>
    <row r="14" ht="14.25" customHeight="1">
      <c r="A14" s="42" t="s">
        <v>51</v>
      </c>
      <c r="B14" s="43">
        <v>14680.0</v>
      </c>
      <c r="C14" s="44">
        <v>0.03</v>
      </c>
      <c r="D14" s="52">
        <v>2174.0</v>
      </c>
      <c r="E14" s="46">
        <v>0.04</v>
      </c>
      <c r="F14" s="47">
        <v>666.0</v>
      </c>
      <c r="G14" s="48">
        <v>0.15</v>
      </c>
      <c r="H14" s="47">
        <v>448.0</v>
      </c>
      <c r="I14" s="48">
        <v>0.33</v>
      </c>
    </row>
    <row r="15" ht="14.25" customHeight="1">
      <c r="A15" s="42" t="s">
        <v>52</v>
      </c>
      <c r="B15" s="43">
        <v>6635.0</v>
      </c>
      <c r="C15" s="44">
        <v>0.01</v>
      </c>
      <c r="D15" s="52">
        <v>1353.0</v>
      </c>
      <c r="E15" s="46">
        <v>0.02</v>
      </c>
      <c r="F15" s="47">
        <v>279.0</v>
      </c>
      <c r="G15" s="46">
        <v>0.06</v>
      </c>
      <c r="H15" s="47">
        <v>368.0</v>
      </c>
      <c r="I15" s="48">
        <v>0.27</v>
      </c>
    </row>
    <row r="16" ht="14.25" customHeight="1">
      <c r="A16" s="42" t="s">
        <v>53</v>
      </c>
      <c r="B16" s="43">
        <v>840.0</v>
      </c>
      <c r="C16" s="51" t="s">
        <v>30</v>
      </c>
      <c r="D16" s="52">
        <v>5.0</v>
      </c>
      <c r="E16" s="51" t="s">
        <v>30</v>
      </c>
      <c r="F16" s="47" t="s">
        <v>42</v>
      </c>
      <c r="G16" s="50" t="s">
        <v>30</v>
      </c>
      <c r="H16" s="52">
        <v>0.0</v>
      </c>
      <c r="I16" s="51" t="s">
        <v>30</v>
      </c>
    </row>
    <row r="17" ht="14.25" customHeight="1">
      <c r="A17" s="38" t="s">
        <v>54</v>
      </c>
      <c r="B17" s="53"/>
      <c r="C17" s="54"/>
      <c r="D17" s="53"/>
      <c r="E17" s="54"/>
      <c r="F17" s="55"/>
      <c r="G17" s="56"/>
      <c r="H17" s="55"/>
      <c r="I17" s="56"/>
    </row>
    <row r="18" ht="15.0" customHeight="1">
      <c r="A18" s="42" t="s">
        <v>55</v>
      </c>
      <c r="B18" s="43">
        <v>36760.0</v>
      </c>
      <c r="C18" s="44">
        <v>0.18</v>
      </c>
      <c r="D18" s="52">
        <v>16951.0</v>
      </c>
      <c r="E18" s="46">
        <v>0.39</v>
      </c>
      <c r="F18" s="57">
        <v>1159.0</v>
      </c>
      <c r="G18" s="58">
        <v>0.33</v>
      </c>
      <c r="H18" s="59">
        <v>128.0</v>
      </c>
      <c r="I18" s="58">
        <v>0.11</v>
      </c>
    </row>
    <row r="19" ht="14.25" customHeight="1">
      <c r="A19" s="42" t="s">
        <v>56</v>
      </c>
      <c r="B19" s="43">
        <v>4302.0</v>
      </c>
      <c r="C19" s="44">
        <v>0.02</v>
      </c>
      <c r="D19" s="52">
        <v>129.0</v>
      </c>
      <c r="E19" s="51" t="s">
        <v>41</v>
      </c>
      <c r="F19" s="57">
        <v>6.0</v>
      </c>
      <c r="G19" s="60" t="s">
        <v>41</v>
      </c>
      <c r="H19" s="59" t="s">
        <v>42</v>
      </c>
      <c r="I19" s="51" t="s">
        <v>30</v>
      </c>
    </row>
    <row r="20" ht="14.25" customHeight="1">
      <c r="A20" s="42" t="s">
        <v>57</v>
      </c>
      <c r="B20" s="43">
        <v>4799.0</v>
      </c>
      <c r="C20" s="44">
        <v>0.02</v>
      </c>
      <c r="D20" s="52">
        <v>838.0</v>
      </c>
      <c r="E20" s="46">
        <v>0.02</v>
      </c>
      <c r="F20" s="57">
        <v>73.0</v>
      </c>
      <c r="G20" s="58">
        <v>0.02</v>
      </c>
      <c r="H20" s="59">
        <v>15.0</v>
      </c>
      <c r="I20" s="58">
        <v>0.01</v>
      </c>
    </row>
    <row r="21" ht="14.25" customHeight="1">
      <c r="A21" s="42" t="s">
        <v>58</v>
      </c>
      <c r="B21" s="43">
        <v>13159.0</v>
      </c>
      <c r="C21" s="44">
        <v>0.07</v>
      </c>
      <c r="D21" s="52">
        <v>4152.0</v>
      </c>
      <c r="E21" s="46">
        <v>0.09</v>
      </c>
      <c r="F21" s="57">
        <v>395.0</v>
      </c>
      <c r="G21" s="58">
        <v>0.11</v>
      </c>
      <c r="H21" s="59">
        <v>73.0</v>
      </c>
      <c r="I21" s="58">
        <v>0.06</v>
      </c>
    </row>
    <row r="22" ht="15.0" customHeight="1">
      <c r="A22" s="42" t="s">
        <v>59</v>
      </c>
      <c r="B22" s="43">
        <v>443.0</v>
      </c>
      <c r="C22" s="61" t="s">
        <v>41</v>
      </c>
      <c r="D22" s="52">
        <v>0.0</v>
      </c>
      <c r="E22" s="46">
        <v>0.0</v>
      </c>
      <c r="F22" s="57">
        <v>0.0</v>
      </c>
      <c r="G22" s="58">
        <v>0.0</v>
      </c>
      <c r="H22" s="59">
        <v>0.0</v>
      </c>
      <c r="I22" s="58">
        <v>0.0</v>
      </c>
    </row>
    <row r="23" ht="15.0" customHeight="1">
      <c r="A23" s="42" t="s">
        <v>60</v>
      </c>
      <c r="B23" s="43">
        <v>125391.0</v>
      </c>
      <c r="C23" s="44">
        <v>0.63</v>
      </c>
      <c r="D23" s="52">
        <v>20585.0</v>
      </c>
      <c r="E23" s="46">
        <v>0.47</v>
      </c>
      <c r="F23" s="57">
        <v>1752.0</v>
      </c>
      <c r="G23" s="58">
        <v>0.5</v>
      </c>
      <c r="H23" s="59">
        <v>925.0</v>
      </c>
      <c r="I23" s="58">
        <v>0.81</v>
      </c>
    </row>
    <row r="24" ht="14.25" customHeight="1">
      <c r="A24" s="42" t="s">
        <v>61</v>
      </c>
      <c r="B24" s="43">
        <v>14927.0</v>
      </c>
      <c r="C24" s="44">
        <v>0.07</v>
      </c>
      <c r="D24" s="52">
        <v>744.0</v>
      </c>
      <c r="E24" s="46">
        <v>0.02</v>
      </c>
      <c r="F24" s="57">
        <v>70.0</v>
      </c>
      <c r="G24" s="58">
        <v>0.02</v>
      </c>
      <c r="H24" s="59">
        <v>0.0</v>
      </c>
      <c r="I24" s="58">
        <v>0.0</v>
      </c>
    </row>
    <row r="25" ht="14.25" customHeight="1">
      <c r="A25" s="42" t="s">
        <v>62</v>
      </c>
      <c r="B25" s="43">
        <v>141.0</v>
      </c>
      <c r="C25" s="61" t="s">
        <v>41</v>
      </c>
      <c r="D25" s="52">
        <v>391.0</v>
      </c>
      <c r="E25" s="46">
        <v>0.01</v>
      </c>
      <c r="F25" s="57">
        <v>15.0</v>
      </c>
      <c r="G25" s="60" t="s">
        <v>41</v>
      </c>
      <c r="H25" s="59">
        <v>0.0</v>
      </c>
      <c r="I25" s="46">
        <v>0.0</v>
      </c>
    </row>
    <row r="26" ht="14.25" customHeight="1">
      <c r="A26" s="42" t="s">
        <v>63</v>
      </c>
      <c r="B26" s="43">
        <v>3681.0</v>
      </c>
      <c r="C26" s="51" t="s">
        <v>30</v>
      </c>
      <c r="D26" s="52">
        <v>647.0</v>
      </c>
      <c r="E26" s="51" t="s">
        <v>30</v>
      </c>
      <c r="F26" s="57">
        <v>18.0</v>
      </c>
      <c r="G26" s="51" t="s">
        <v>30</v>
      </c>
      <c r="H26" s="59">
        <v>0.0</v>
      </c>
      <c r="I26" s="51" t="s">
        <v>30</v>
      </c>
    </row>
    <row r="27" ht="14.25" customHeight="1">
      <c r="A27" s="42" t="s">
        <v>64</v>
      </c>
      <c r="B27" s="43">
        <v>287056.0</v>
      </c>
      <c r="C27" s="51" t="s">
        <v>30</v>
      </c>
      <c r="D27" s="52">
        <v>9689.0</v>
      </c>
      <c r="E27" s="51" t="s">
        <v>30</v>
      </c>
      <c r="F27" s="57">
        <v>1014.0</v>
      </c>
      <c r="G27" s="61" t="s">
        <v>30</v>
      </c>
      <c r="H27" s="59">
        <v>217.0</v>
      </c>
      <c r="I27" s="51" t="s">
        <v>30</v>
      </c>
    </row>
    <row r="28" ht="14.25" customHeight="1">
      <c r="A28" s="38" t="s">
        <v>65</v>
      </c>
      <c r="B28" s="62"/>
      <c r="C28" s="63"/>
      <c r="D28" s="64"/>
      <c r="E28" s="65"/>
      <c r="F28" s="64"/>
      <c r="G28" s="65"/>
      <c r="H28" s="66"/>
      <c r="I28" s="67"/>
    </row>
    <row r="29" ht="14.25" customHeight="1">
      <c r="A29" s="42" t="s">
        <v>66</v>
      </c>
      <c r="B29" s="43">
        <v>252767.0</v>
      </c>
      <c r="C29" s="44">
        <v>0.55</v>
      </c>
      <c r="D29" s="52">
        <v>28677.0</v>
      </c>
      <c r="E29" s="46">
        <v>0.54</v>
      </c>
      <c r="F29" s="59">
        <v>2167.0</v>
      </c>
      <c r="G29" s="44">
        <v>0.48</v>
      </c>
      <c r="H29" s="59">
        <v>712.0</v>
      </c>
      <c r="I29" s="58">
        <v>0.52</v>
      </c>
    </row>
    <row r="30" ht="14.25" customHeight="1">
      <c r="A30" s="42" t="s">
        <v>67</v>
      </c>
      <c r="B30" s="43">
        <v>208068.0</v>
      </c>
      <c r="C30" s="44">
        <v>0.45</v>
      </c>
      <c r="D30" s="52">
        <v>24710.0</v>
      </c>
      <c r="E30" s="46">
        <v>0.46</v>
      </c>
      <c r="F30" s="59">
        <v>2306.0</v>
      </c>
      <c r="G30" s="44">
        <v>0.51</v>
      </c>
      <c r="H30" s="59">
        <v>647.0</v>
      </c>
      <c r="I30" s="58">
        <v>0.48</v>
      </c>
    </row>
    <row r="31" ht="14.25" customHeight="1">
      <c r="A31" s="42" t="s">
        <v>68</v>
      </c>
      <c r="B31" s="43">
        <v>84.0</v>
      </c>
      <c r="C31" s="61" t="s">
        <v>41</v>
      </c>
      <c r="D31" s="52">
        <v>69.0</v>
      </c>
      <c r="E31" s="51" t="s">
        <v>41</v>
      </c>
      <c r="F31" s="59">
        <v>9.0</v>
      </c>
      <c r="G31" s="61" t="s">
        <v>41</v>
      </c>
      <c r="H31" s="59">
        <v>0.0</v>
      </c>
      <c r="I31" s="58">
        <v>0.0</v>
      </c>
    </row>
    <row r="32" ht="14.25" customHeight="1">
      <c r="A32" s="42" t="s">
        <v>53</v>
      </c>
      <c r="B32" s="43">
        <v>29740.0</v>
      </c>
      <c r="C32" s="61" t="s">
        <v>30</v>
      </c>
      <c r="D32" s="52">
        <v>670.0</v>
      </c>
      <c r="E32" s="51" t="s">
        <v>30</v>
      </c>
      <c r="F32" s="43">
        <v>20.0</v>
      </c>
      <c r="G32" s="61" t="s">
        <v>30</v>
      </c>
      <c r="H32" s="59">
        <v>0.0</v>
      </c>
      <c r="I32" s="51" t="s">
        <v>30</v>
      </c>
    </row>
    <row r="33">
      <c r="A33" s="68" t="s">
        <v>69</v>
      </c>
      <c r="B33" s="69"/>
      <c r="C33" s="65"/>
      <c r="D33" s="70"/>
      <c r="E33" s="70"/>
      <c r="F33" s="64"/>
      <c r="G33" s="70"/>
      <c r="H33" s="70"/>
      <c r="I33" s="70"/>
    </row>
    <row r="34" ht="14.25" customHeight="1">
      <c r="A34" s="42" t="s">
        <v>70</v>
      </c>
      <c r="B34" s="71" t="s">
        <v>30</v>
      </c>
      <c r="C34" s="61" t="s">
        <v>30</v>
      </c>
      <c r="D34" s="51">
        <v>867.0</v>
      </c>
      <c r="E34" s="46">
        <v>0.04</v>
      </c>
      <c r="F34" s="43">
        <v>28.0</v>
      </c>
      <c r="G34" s="44">
        <v>0.03</v>
      </c>
      <c r="H34" s="60" t="s">
        <v>30</v>
      </c>
      <c r="I34" s="60" t="s">
        <v>30</v>
      </c>
    </row>
    <row r="35" ht="14.25" customHeight="1">
      <c r="A35" s="42" t="s">
        <v>71</v>
      </c>
      <c r="B35" s="71" t="s">
        <v>30</v>
      </c>
      <c r="C35" s="61" t="s">
        <v>30</v>
      </c>
      <c r="D35" s="51">
        <v>21017.0</v>
      </c>
      <c r="E35" s="46">
        <v>0.96</v>
      </c>
      <c r="F35" s="43">
        <v>1067.0</v>
      </c>
      <c r="G35" s="44">
        <v>0.97</v>
      </c>
      <c r="H35" s="60" t="s">
        <v>30</v>
      </c>
      <c r="I35" s="60" t="s">
        <v>30</v>
      </c>
    </row>
    <row r="36" ht="14.25" customHeight="1">
      <c r="A36" s="42" t="s">
        <v>72</v>
      </c>
      <c r="B36" s="61" t="s">
        <v>30</v>
      </c>
      <c r="C36" s="61" t="s">
        <v>30</v>
      </c>
      <c r="D36" s="51">
        <v>32242.0</v>
      </c>
      <c r="E36" s="51" t="s">
        <v>30</v>
      </c>
      <c r="F36" s="61">
        <v>3407.0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13726.0</v>
      </c>
      <c r="E38" s="46">
        <v>0.54</v>
      </c>
      <c r="F38" s="61">
        <v>2197.0</v>
      </c>
      <c r="G38" s="44">
        <v>0.49</v>
      </c>
      <c r="H38" s="60" t="s">
        <v>30</v>
      </c>
      <c r="I38" s="60" t="s">
        <v>30</v>
      </c>
    </row>
    <row r="39" ht="14.25" customHeight="1">
      <c r="A39" s="42" t="s">
        <v>75</v>
      </c>
      <c r="B39" s="61" t="s">
        <v>30</v>
      </c>
      <c r="C39" s="61" t="s">
        <v>30</v>
      </c>
      <c r="D39" s="51">
        <v>11292.0</v>
      </c>
      <c r="E39" s="46">
        <v>0.45</v>
      </c>
      <c r="F39" s="61">
        <v>2301.0</v>
      </c>
      <c r="G39" s="44">
        <v>0.51</v>
      </c>
      <c r="H39" s="60" t="s">
        <v>30</v>
      </c>
      <c r="I39" s="60" t="s">
        <v>30</v>
      </c>
    </row>
    <row r="40" ht="14.25" customHeight="1">
      <c r="A40" s="42" t="s">
        <v>76</v>
      </c>
      <c r="B40" s="61" t="s">
        <v>30</v>
      </c>
      <c r="C40" s="61" t="s">
        <v>30</v>
      </c>
      <c r="D40" s="51">
        <v>141.0</v>
      </c>
      <c r="E40" s="46">
        <v>0.01</v>
      </c>
      <c r="F40" s="61">
        <v>0.0</v>
      </c>
      <c r="G40" s="44">
        <v>0.0</v>
      </c>
      <c r="H40" s="60" t="s">
        <v>30</v>
      </c>
      <c r="I40" s="60" t="s">
        <v>30</v>
      </c>
    </row>
    <row r="41" ht="14.25" customHeight="1">
      <c r="A41" s="42" t="s">
        <v>68</v>
      </c>
      <c r="B41" s="61" t="s">
        <v>30</v>
      </c>
      <c r="C41" s="61" t="s">
        <v>30</v>
      </c>
      <c r="D41" s="51">
        <v>92.0</v>
      </c>
      <c r="E41" s="51" t="s">
        <v>41</v>
      </c>
      <c r="F41" s="61" t="s">
        <v>42</v>
      </c>
      <c r="G41" s="61" t="s">
        <v>30</v>
      </c>
      <c r="H41" s="60" t="s">
        <v>30</v>
      </c>
      <c r="I41" s="60" t="s">
        <v>30</v>
      </c>
    </row>
    <row r="42" ht="14.25" customHeight="1">
      <c r="A42" s="42" t="s">
        <v>63</v>
      </c>
      <c r="B42" s="61" t="s">
        <v>30</v>
      </c>
      <c r="C42" s="61" t="s">
        <v>30</v>
      </c>
      <c r="D42" s="51">
        <v>4377.0</v>
      </c>
      <c r="E42" s="51" t="s">
        <v>30</v>
      </c>
      <c r="F42" s="61">
        <v>0.0</v>
      </c>
      <c r="G42" s="61" t="s">
        <v>30</v>
      </c>
      <c r="H42" s="60" t="s">
        <v>30</v>
      </c>
      <c r="I42" s="60" t="s">
        <v>30</v>
      </c>
    </row>
    <row r="43" ht="14.25" customHeight="1">
      <c r="A43" s="42" t="s">
        <v>72</v>
      </c>
      <c r="B43" s="61" t="s">
        <v>30</v>
      </c>
      <c r="C43" s="61" t="s">
        <v>30</v>
      </c>
      <c r="D43" s="51">
        <v>24498.0</v>
      </c>
      <c r="E43" s="51" t="s">
        <v>30</v>
      </c>
      <c r="F43" s="61" t="s">
        <v>42</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10.0</v>
      </c>
      <c r="E45" s="51" t="s">
        <v>41</v>
      </c>
      <c r="F45" s="61" t="s">
        <v>42</v>
      </c>
      <c r="G45" s="61" t="s">
        <v>30</v>
      </c>
      <c r="H45" s="60" t="s">
        <v>30</v>
      </c>
      <c r="I45" s="60" t="s">
        <v>30</v>
      </c>
    </row>
    <row r="46" ht="14.25" customHeight="1">
      <c r="A46" s="42" t="s">
        <v>79</v>
      </c>
      <c r="B46" s="61" t="s">
        <v>30</v>
      </c>
      <c r="C46" s="61" t="s">
        <v>30</v>
      </c>
      <c r="D46" s="51">
        <v>172.0</v>
      </c>
      <c r="E46" s="46">
        <v>0.01</v>
      </c>
      <c r="F46" s="61" t="s">
        <v>42</v>
      </c>
      <c r="G46" s="61" t="s">
        <v>30</v>
      </c>
      <c r="H46" s="60" t="s">
        <v>30</v>
      </c>
      <c r="I46" s="60" t="s">
        <v>30</v>
      </c>
    </row>
    <row r="47" ht="14.25" customHeight="1">
      <c r="A47" s="42" t="s">
        <v>80</v>
      </c>
      <c r="B47" s="61" t="s">
        <v>30</v>
      </c>
      <c r="C47" s="61" t="s">
        <v>30</v>
      </c>
      <c r="D47" s="51">
        <v>322.0</v>
      </c>
      <c r="E47" s="46">
        <v>0.01</v>
      </c>
      <c r="F47" s="61">
        <v>11.0</v>
      </c>
      <c r="G47" s="44">
        <v>0.01</v>
      </c>
      <c r="H47" s="60" t="s">
        <v>30</v>
      </c>
      <c r="I47" s="60" t="s">
        <v>30</v>
      </c>
    </row>
    <row r="48" ht="14.25" customHeight="1">
      <c r="A48" s="42" t="s">
        <v>81</v>
      </c>
      <c r="B48" s="61" t="s">
        <v>30</v>
      </c>
      <c r="C48" s="61" t="s">
        <v>30</v>
      </c>
      <c r="D48" s="51">
        <v>26.0</v>
      </c>
      <c r="E48" s="51" t="s">
        <v>41</v>
      </c>
      <c r="F48" s="61" t="s">
        <v>42</v>
      </c>
      <c r="G48" s="61" t="s">
        <v>30</v>
      </c>
      <c r="H48" s="60" t="s">
        <v>30</v>
      </c>
      <c r="I48" s="60" t="s">
        <v>30</v>
      </c>
    </row>
    <row r="49" ht="14.25" customHeight="1">
      <c r="A49" s="42" t="s">
        <v>82</v>
      </c>
      <c r="B49" s="61" t="s">
        <v>30</v>
      </c>
      <c r="C49" s="61" t="s">
        <v>30</v>
      </c>
      <c r="D49" s="51">
        <v>21789.0</v>
      </c>
      <c r="E49" s="46">
        <v>0.97</v>
      </c>
      <c r="F49" s="61">
        <v>1110.0</v>
      </c>
      <c r="G49" s="44">
        <v>0.98</v>
      </c>
      <c r="H49" s="60" t="s">
        <v>30</v>
      </c>
      <c r="I49" s="60" t="s">
        <v>30</v>
      </c>
    </row>
    <row r="50" ht="14.25" customHeight="1">
      <c r="A50" s="42" t="s">
        <v>68</v>
      </c>
      <c r="B50" s="61" t="s">
        <v>30</v>
      </c>
      <c r="C50" s="61" t="s">
        <v>30</v>
      </c>
      <c r="D50" s="51">
        <v>178.0</v>
      </c>
      <c r="E50" s="46">
        <v>0.01</v>
      </c>
      <c r="F50" s="61">
        <v>6.0</v>
      </c>
      <c r="G50" s="44">
        <v>0.01</v>
      </c>
      <c r="H50" s="60" t="s">
        <v>30</v>
      </c>
      <c r="I50" s="60" t="s">
        <v>30</v>
      </c>
    </row>
    <row r="51" ht="14.25" customHeight="1">
      <c r="A51" s="42" t="s">
        <v>63</v>
      </c>
      <c r="B51" s="61" t="s">
        <v>30</v>
      </c>
      <c r="C51" s="61" t="s">
        <v>30</v>
      </c>
      <c r="D51" s="51">
        <v>5831.0</v>
      </c>
      <c r="E51" s="51" t="s">
        <v>30</v>
      </c>
      <c r="F51" s="61">
        <v>274.0</v>
      </c>
      <c r="G51" s="61" t="s">
        <v>30</v>
      </c>
      <c r="H51" s="60" t="s">
        <v>30</v>
      </c>
      <c r="I51" s="60" t="s">
        <v>30</v>
      </c>
    </row>
    <row r="52" ht="14.25" customHeight="1">
      <c r="A52" s="42" t="s">
        <v>72</v>
      </c>
      <c r="B52" s="61" t="s">
        <v>30</v>
      </c>
      <c r="C52" s="61" t="s">
        <v>30</v>
      </c>
      <c r="D52" s="51">
        <v>25798.0</v>
      </c>
      <c r="E52" s="51" t="s">
        <v>30</v>
      </c>
      <c r="F52" s="61">
        <v>3097.0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44167.0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42</v>
      </c>
      <c r="F8" s="60">
        <v>0.0</v>
      </c>
      <c r="G8" s="60">
        <v>0.0</v>
      </c>
      <c r="H8" s="60">
        <v>0.0</v>
      </c>
      <c r="I8" s="60" t="s">
        <v>42</v>
      </c>
      <c r="J8" s="60">
        <v>0.0</v>
      </c>
      <c r="K8" s="60" t="s">
        <v>42</v>
      </c>
      <c r="L8" s="60">
        <v>0.0</v>
      </c>
      <c r="M8" s="60">
        <v>0.0</v>
      </c>
      <c r="N8" s="60" t="s">
        <v>42</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42</v>
      </c>
      <c r="C9" s="60" t="s">
        <v>42</v>
      </c>
      <c r="D9" s="60">
        <v>0.0</v>
      </c>
      <c r="E9" s="60" t="s">
        <v>42</v>
      </c>
      <c r="F9" s="60">
        <v>0.0</v>
      </c>
      <c r="G9" s="60" t="s">
        <v>42</v>
      </c>
      <c r="H9" s="60" t="s">
        <v>42</v>
      </c>
      <c r="I9" s="60" t="s">
        <v>42</v>
      </c>
      <c r="J9" s="60" t="s">
        <v>42</v>
      </c>
      <c r="K9" s="60" t="s">
        <v>42</v>
      </c>
      <c r="L9" s="60" t="s">
        <v>42</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42</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42</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42</v>
      </c>
      <c r="D13" s="60">
        <v>7.0</v>
      </c>
      <c r="E13" s="60">
        <v>36.0</v>
      </c>
      <c r="F13" s="60">
        <v>129.0</v>
      </c>
      <c r="G13" s="60">
        <v>136.0</v>
      </c>
      <c r="H13" s="60">
        <v>226.0</v>
      </c>
      <c r="I13" s="60">
        <v>287.0</v>
      </c>
      <c r="J13" s="60">
        <v>359.0</v>
      </c>
      <c r="K13" s="60">
        <v>264.0</v>
      </c>
      <c r="L13" s="60">
        <v>155.0</v>
      </c>
      <c r="M13" s="60">
        <v>218.0</v>
      </c>
      <c r="N13" s="104">
        <v>1829.0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312.0</v>
      </c>
      <c r="I14" s="60">
        <v>338.0</v>
      </c>
      <c r="J14" s="60">
        <v>341.0</v>
      </c>
      <c r="K14" s="60">
        <v>218.0</v>
      </c>
      <c r="L14" s="60">
        <v>134.0</v>
      </c>
      <c r="M14" s="60">
        <v>187.0</v>
      </c>
      <c r="N14" s="104">
        <v>1936.0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154.0</v>
      </c>
      <c r="H16" s="60">
        <v>324.0</v>
      </c>
      <c r="I16" s="60">
        <v>314.0</v>
      </c>
      <c r="J16" s="60">
        <v>291.0</v>
      </c>
      <c r="K16" s="60">
        <v>199.0</v>
      </c>
      <c r="L16" s="60">
        <v>150.0</v>
      </c>
      <c r="M16" s="60">
        <v>217.0</v>
      </c>
      <c r="N16" s="104">
        <v>1993.0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265.0</v>
      </c>
      <c r="J17" s="60">
        <v>252.0</v>
      </c>
      <c r="K17" s="60">
        <v>191.0</v>
      </c>
      <c r="L17" s="60">
        <v>148.0</v>
      </c>
      <c r="M17" s="60">
        <v>296.0</v>
      </c>
      <c r="N17" s="104">
        <v>1849.0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20.0</v>
      </c>
      <c r="D18" s="60">
        <v>27.0</v>
      </c>
      <c r="E18" s="60">
        <v>40.0</v>
      </c>
      <c r="F18" s="60">
        <v>119.0</v>
      </c>
      <c r="G18" s="60">
        <v>132.0</v>
      </c>
      <c r="H18" s="60">
        <v>250.0</v>
      </c>
      <c r="I18" s="60">
        <v>202.0</v>
      </c>
      <c r="J18" s="60">
        <v>214.0</v>
      </c>
      <c r="K18" s="60">
        <v>139.0</v>
      </c>
      <c r="L18" s="60">
        <v>95.0</v>
      </c>
      <c r="M18" s="60">
        <v>198.0</v>
      </c>
      <c r="N18" s="104">
        <v>1454.0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42</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42</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42</v>
      </c>
      <c r="C26" s="60" t="s">
        <v>42</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168.0</v>
      </c>
      <c r="I39" s="105">
        <v>153.0</v>
      </c>
      <c r="J39" s="105">
        <v>194.0</v>
      </c>
      <c r="K39" s="105">
        <v>108.0</v>
      </c>
      <c r="L39" s="105">
        <v>42.0</v>
      </c>
      <c r="M39" s="105">
        <v>39.0</v>
      </c>
      <c r="N39" s="105">
        <v>1229.0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234.0</v>
      </c>
      <c r="K40" s="105">
        <v>171.0</v>
      </c>
      <c r="L40" s="105">
        <v>65.0</v>
      </c>
      <c r="M40" s="105">
        <v>49.0</v>
      </c>
      <c r="N40" s="105">
        <v>1531.0</v>
      </c>
    </row>
    <row r="41">
      <c r="A41" s="102" t="s">
        <v>125</v>
      </c>
      <c r="B41" s="105">
        <v>43.0</v>
      </c>
      <c r="C41" s="105">
        <v>60.0</v>
      </c>
      <c r="D41" s="105">
        <v>93.0</v>
      </c>
      <c r="E41" s="105">
        <v>120.0</v>
      </c>
      <c r="F41" s="105">
        <v>278.0</v>
      </c>
      <c r="G41" s="105">
        <v>272.0</v>
      </c>
      <c r="H41" s="105">
        <v>484.0</v>
      </c>
      <c r="I41" s="105">
        <v>383.0</v>
      </c>
      <c r="J41" s="105">
        <v>345.0</v>
      </c>
      <c r="K41" s="105">
        <v>237.0</v>
      </c>
      <c r="L41" s="105">
        <v>115.0</v>
      </c>
      <c r="M41" s="105">
        <v>64.0</v>
      </c>
      <c r="N41" s="105">
        <v>2494.0</v>
      </c>
    </row>
    <row r="42">
      <c r="A42" s="102" t="s">
        <v>126</v>
      </c>
      <c r="B42" s="105">
        <v>60.0</v>
      </c>
      <c r="C42" s="105">
        <v>72.0</v>
      </c>
      <c r="D42" s="105">
        <v>123.0</v>
      </c>
      <c r="E42" s="105">
        <v>141.0</v>
      </c>
      <c r="F42" s="105">
        <v>312.0</v>
      </c>
      <c r="G42" s="105">
        <v>268.0</v>
      </c>
      <c r="H42" s="105">
        <v>462.0</v>
      </c>
      <c r="I42" s="105">
        <v>448.0</v>
      </c>
      <c r="J42" s="105">
        <v>421.0</v>
      </c>
      <c r="K42" s="105">
        <v>289.0</v>
      </c>
      <c r="L42" s="105">
        <v>154.0</v>
      </c>
      <c r="M42" s="105">
        <v>96.0</v>
      </c>
      <c r="N42" s="105">
        <v>2846.0</v>
      </c>
    </row>
    <row r="43">
      <c r="A43" s="102" t="s">
        <v>127</v>
      </c>
      <c r="B43" s="105">
        <v>65.0</v>
      </c>
      <c r="C43" s="105">
        <v>116.0</v>
      </c>
      <c r="D43" s="105">
        <v>153.0</v>
      </c>
      <c r="E43" s="105">
        <v>199.0</v>
      </c>
      <c r="F43" s="105">
        <v>395.0</v>
      </c>
      <c r="G43" s="105">
        <v>346.0</v>
      </c>
      <c r="H43" s="105">
        <v>591.0</v>
      </c>
      <c r="I43" s="105">
        <v>490.0</v>
      </c>
      <c r="J43" s="105">
        <v>584.0</v>
      </c>
      <c r="K43" s="105">
        <v>395.0</v>
      </c>
      <c r="L43" s="105">
        <v>208.0</v>
      </c>
      <c r="M43" s="105">
        <v>193.0</v>
      </c>
      <c r="N43" s="105">
        <v>3735.0</v>
      </c>
    </row>
    <row r="44">
      <c r="A44" s="102" t="s">
        <v>128</v>
      </c>
      <c r="B44" s="105">
        <v>114.0</v>
      </c>
      <c r="C44" s="105">
        <v>126.0</v>
      </c>
      <c r="D44" s="105">
        <v>211.0</v>
      </c>
      <c r="E44" s="105">
        <v>272.0</v>
      </c>
      <c r="F44" s="105">
        <v>613.0</v>
      </c>
      <c r="G44" s="105">
        <v>563.0</v>
      </c>
      <c r="H44" s="105">
        <v>917.0</v>
      </c>
      <c r="I44" s="105">
        <v>766.0</v>
      </c>
      <c r="J44" s="105">
        <v>885.0</v>
      </c>
      <c r="K44" s="105">
        <v>612.0</v>
      </c>
      <c r="L44" s="105">
        <v>267.0</v>
      </c>
      <c r="M44" s="105">
        <v>203.0</v>
      </c>
      <c r="N44" s="105">
        <v>5549.0</v>
      </c>
    </row>
    <row r="45">
      <c r="A45" s="102" t="s">
        <v>129</v>
      </c>
      <c r="B45" s="105">
        <v>128.0</v>
      </c>
      <c r="C45" s="105">
        <v>151.0</v>
      </c>
      <c r="D45" s="105">
        <v>237.0</v>
      </c>
      <c r="E45" s="105">
        <v>303.0</v>
      </c>
      <c r="F45" s="105">
        <v>772.0</v>
      </c>
      <c r="G45" s="105">
        <v>607.0</v>
      </c>
      <c r="H45" s="105">
        <v>1060.0</v>
      </c>
      <c r="I45" s="105">
        <v>885.0</v>
      </c>
      <c r="J45" s="105">
        <v>1032.0</v>
      </c>
      <c r="K45" s="105">
        <v>685.0</v>
      </c>
      <c r="L45" s="105">
        <v>322.0</v>
      </c>
      <c r="M45" s="105">
        <v>238.0</v>
      </c>
      <c r="N45" s="105">
        <v>6420.0</v>
      </c>
    </row>
    <row r="46">
      <c r="A46" s="102" t="s">
        <v>130</v>
      </c>
      <c r="B46" s="105">
        <v>126.0</v>
      </c>
      <c r="C46" s="105">
        <v>176.0</v>
      </c>
      <c r="D46" s="105">
        <v>202.0</v>
      </c>
      <c r="E46" s="105">
        <v>254.0</v>
      </c>
      <c r="F46" s="105">
        <v>546.0</v>
      </c>
      <c r="G46" s="105">
        <v>511.0</v>
      </c>
      <c r="H46" s="105">
        <v>952.0</v>
      </c>
      <c r="I46" s="105">
        <v>794.0</v>
      </c>
      <c r="J46" s="105">
        <v>927.0</v>
      </c>
      <c r="K46" s="105">
        <v>623.0</v>
      </c>
      <c r="L46" s="105">
        <v>314.0</v>
      </c>
      <c r="M46" s="105">
        <v>360.0</v>
      </c>
      <c r="N46" s="105">
        <v>5786.0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131</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132</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133</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134</v>
      </c>
      <c r="F9" s="60">
        <v>0.0</v>
      </c>
      <c r="G9" s="60">
        <v>0.0</v>
      </c>
      <c r="H9" s="60">
        <v>0.0</v>
      </c>
      <c r="I9" s="60" t="s">
        <v>134</v>
      </c>
      <c r="J9" s="60">
        <v>0.0</v>
      </c>
      <c r="K9" s="60" t="s">
        <v>134</v>
      </c>
      <c r="L9" s="60">
        <v>0.0</v>
      </c>
      <c r="M9" s="60">
        <v>0.0</v>
      </c>
      <c r="N9" s="60" t="s">
        <v>134</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134</v>
      </c>
      <c r="C10" s="60" t="s">
        <v>134</v>
      </c>
      <c r="D10" s="60">
        <v>0.0</v>
      </c>
      <c r="E10" s="60" t="s">
        <v>134</v>
      </c>
      <c r="F10" s="60">
        <v>0.0</v>
      </c>
      <c r="G10" s="60" t="s">
        <v>134</v>
      </c>
      <c r="H10" s="60" t="s">
        <v>134</v>
      </c>
      <c r="I10" s="60" t="s">
        <v>134</v>
      </c>
      <c r="J10" s="60" t="s">
        <v>134</v>
      </c>
      <c r="K10" s="60" t="s">
        <v>134</v>
      </c>
      <c r="L10" s="60" t="s">
        <v>134</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134</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134</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134</v>
      </c>
      <c r="D14" s="60">
        <v>12.0</v>
      </c>
      <c r="E14" s="60">
        <v>67.0</v>
      </c>
      <c r="F14" s="60">
        <v>136.0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201.0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212.0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36.0</v>
      </c>
      <c r="D19" s="60">
        <v>46.0</v>
      </c>
      <c r="E19" s="60">
        <v>75.0</v>
      </c>
      <c r="F19" s="60">
        <v>125.0</v>
      </c>
      <c r="G19" s="60">
        <v>172.0</v>
      </c>
      <c r="H19" s="60">
        <v>185.0</v>
      </c>
      <c r="I19" s="60">
        <v>162.0</v>
      </c>
      <c r="J19" s="60">
        <v>142.0</v>
      </c>
      <c r="K19" s="60">
        <v>107.0</v>
      </c>
      <c r="L19" s="60">
        <v>126.0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134</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134</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134</v>
      </c>
      <c r="C27" s="60" t="s">
        <v>134</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124.0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156.0</v>
      </c>
      <c r="K41" s="105">
        <v>132.0</v>
      </c>
      <c r="L41" s="105">
        <v>86.0</v>
      </c>
      <c r="M41" s="105">
        <v>101.0</v>
      </c>
      <c r="N41" s="105">
        <v>145.0</v>
      </c>
    </row>
    <row r="42">
      <c r="A42" s="102" t="s">
        <v>125</v>
      </c>
      <c r="B42" s="105">
        <v>79.0</v>
      </c>
      <c r="C42" s="105">
        <v>109.0</v>
      </c>
      <c r="D42" s="105">
        <v>158.0</v>
      </c>
      <c r="E42" s="105">
        <v>224.0</v>
      </c>
      <c r="F42" s="105">
        <v>293.0</v>
      </c>
      <c r="G42" s="105">
        <v>355.0</v>
      </c>
      <c r="H42" s="105">
        <v>358.0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372.0</v>
      </c>
      <c r="F44" s="105">
        <v>416.0</v>
      </c>
      <c r="G44" s="105">
        <v>452.0</v>
      </c>
      <c r="H44" s="105">
        <v>437.0</v>
      </c>
      <c r="I44" s="105">
        <v>393.0</v>
      </c>
      <c r="J44" s="105">
        <v>389.0</v>
      </c>
      <c r="K44" s="105">
        <v>304.0</v>
      </c>
      <c r="L44" s="105">
        <v>276.0</v>
      </c>
      <c r="M44" s="105">
        <v>396.0</v>
      </c>
      <c r="N44" s="105">
        <v>353.0</v>
      </c>
    </row>
    <row r="45">
      <c r="A45" s="102" t="s">
        <v>128</v>
      </c>
      <c r="B45" s="105">
        <v>209.0</v>
      </c>
      <c r="C45" s="105">
        <v>229.0</v>
      </c>
      <c r="D45" s="105">
        <v>357.0</v>
      </c>
      <c r="E45" s="105">
        <v>508.0</v>
      </c>
      <c r="F45" s="105">
        <v>646.0</v>
      </c>
      <c r="G45" s="105">
        <v>735.0</v>
      </c>
      <c r="H45" s="105">
        <v>677.0</v>
      </c>
      <c r="I45" s="105">
        <v>614.0</v>
      </c>
      <c r="J45" s="105">
        <v>589.0</v>
      </c>
      <c r="K45" s="105">
        <v>471.0</v>
      </c>
      <c r="L45" s="105">
        <v>354.0</v>
      </c>
      <c r="M45" s="105">
        <v>417.0</v>
      </c>
      <c r="N45" s="105">
        <v>525.0</v>
      </c>
    </row>
    <row r="46">
      <c r="A46" s="102" t="s">
        <v>129</v>
      </c>
      <c r="B46" s="105">
        <v>234.0</v>
      </c>
      <c r="C46" s="105">
        <v>274.0</v>
      </c>
      <c r="D46" s="105">
        <v>401.0</v>
      </c>
      <c r="E46" s="105">
        <v>566.0</v>
      </c>
      <c r="F46" s="105">
        <v>814.0</v>
      </c>
      <c r="G46" s="105">
        <v>792.0</v>
      </c>
      <c r="H46" s="105">
        <v>783.0</v>
      </c>
      <c r="I46" s="105">
        <v>709.0</v>
      </c>
      <c r="J46" s="105">
        <v>687.0</v>
      </c>
      <c r="K46" s="105">
        <v>527.0</v>
      </c>
      <c r="L46" s="105">
        <v>427.0</v>
      </c>
      <c r="M46" s="105">
        <v>489.0</v>
      </c>
      <c r="N46" s="105">
        <v>608.0</v>
      </c>
    </row>
    <row r="47">
      <c r="A47" s="102" t="s">
        <v>130</v>
      </c>
      <c r="B47" s="105">
        <v>230.0</v>
      </c>
      <c r="C47" s="105">
        <v>320.0</v>
      </c>
      <c r="D47" s="105">
        <v>342.0</v>
      </c>
      <c r="E47" s="105">
        <v>475.0</v>
      </c>
      <c r="F47" s="105">
        <v>576.0</v>
      </c>
      <c r="G47" s="105">
        <v>667.0</v>
      </c>
      <c r="H47" s="105">
        <v>703.0</v>
      </c>
      <c r="I47" s="105">
        <v>636.0</v>
      </c>
      <c r="J47" s="105">
        <v>617.0</v>
      </c>
      <c r="K47" s="105">
        <v>479.0</v>
      </c>
      <c r="L47" s="105">
        <v>416.0</v>
      </c>
      <c r="M47" s="105">
        <v>739.0</v>
      </c>
      <c r="N47" s="105">
        <v>548.0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135</v>
      </c>
      <c r="H1" s="84"/>
      <c r="I1" s="84"/>
      <c r="J1" s="84"/>
      <c r="K1" s="84"/>
      <c r="L1" s="85"/>
    </row>
    <row r="2">
      <c r="A2" s="89" t="s">
        <v>87</v>
      </c>
      <c r="F2" s="86"/>
      <c r="G2" s="86"/>
      <c r="H2" s="86"/>
      <c r="I2" s="86"/>
      <c r="J2" s="86"/>
      <c r="K2" s="86"/>
      <c r="L2" s="90"/>
    </row>
    <row r="3">
      <c r="A3" s="89" t="s">
        <v>0</v>
      </c>
      <c r="B3" s="91">
        <v>44167.0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136</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137</v>
      </c>
      <c r="G7" s="112" t="s">
        <v>60</v>
      </c>
      <c r="H7" s="112" t="s">
        <v>61</v>
      </c>
      <c r="I7" s="112" t="s">
        <v>62</v>
      </c>
      <c r="J7" s="112" t="s">
        <v>63</v>
      </c>
      <c r="K7" s="112" t="s">
        <v>64</v>
      </c>
      <c r="L7" s="112" t="s">
        <v>91</v>
      </c>
    </row>
    <row r="8">
      <c r="A8" s="102" t="s">
        <v>92</v>
      </c>
      <c r="B8" s="60">
        <v>0.0</v>
      </c>
      <c r="C8" s="60">
        <v>0.0</v>
      </c>
      <c r="D8" s="60">
        <v>0.0</v>
      </c>
      <c r="E8" s="60">
        <v>0.0</v>
      </c>
      <c r="F8" s="60">
        <v>0.0</v>
      </c>
      <c r="G8" s="60" t="s">
        <v>42</v>
      </c>
      <c r="H8" s="60" t="s">
        <v>42</v>
      </c>
      <c r="I8" s="60">
        <v>0.0</v>
      </c>
      <c r="J8" s="60">
        <v>0.0</v>
      </c>
      <c r="K8" s="60">
        <v>0.0</v>
      </c>
      <c r="L8" s="60" t="s">
        <v>42</v>
      </c>
    </row>
    <row r="9">
      <c r="A9" s="102" t="s">
        <v>93</v>
      </c>
      <c r="B9" s="60">
        <v>0.0</v>
      </c>
      <c r="C9" s="60">
        <v>0.0</v>
      </c>
      <c r="D9" s="60" t="s">
        <v>42</v>
      </c>
      <c r="E9" s="60">
        <v>0.0</v>
      </c>
      <c r="F9" s="60">
        <v>0.0</v>
      </c>
      <c r="G9" s="60">
        <v>9.0</v>
      </c>
      <c r="H9" s="60" t="s">
        <v>42</v>
      </c>
      <c r="I9" s="60">
        <v>0.0</v>
      </c>
      <c r="J9" s="60">
        <v>0.0</v>
      </c>
      <c r="K9" s="60" t="s">
        <v>42</v>
      </c>
      <c r="L9" s="60">
        <v>15.0</v>
      </c>
    </row>
    <row r="10">
      <c r="A10" s="102" t="s">
        <v>94</v>
      </c>
      <c r="B10" s="60">
        <v>5.0</v>
      </c>
      <c r="C10" s="60">
        <v>0.0</v>
      </c>
      <c r="D10" s="60">
        <v>0.0</v>
      </c>
      <c r="E10" s="60" t="s">
        <v>42</v>
      </c>
      <c r="F10" s="60">
        <v>0.0</v>
      </c>
      <c r="G10" s="60">
        <v>26.0</v>
      </c>
      <c r="H10" s="60">
        <v>0.0</v>
      </c>
      <c r="I10" s="60">
        <v>0.0</v>
      </c>
      <c r="J10" s="60">
        <v>0.0</v>
      </c>
      <c r="K10" s="60">
        <v>33.0</v>
      </c>
      <c r="L10" s="60">
        <v>66.0</v>
      </c>
    </row>
    <row r="11">
      <c r="A11" s="102" t="s">
        <v>95</v>
      </c>
      <c r="B11" s="60">
        <v>27.0</v>
      </c>
      <c r="C11" s="60" t="s">
        <v>42</v>
      </c>
      <c r="D11" s="60" t="s">
        <v>42</v>
      </c>
      <c r="E11" s="60">
        <v>17.0</v>
      </c>
      <c r="F11" s="60">
        <v>0.0</v>
      </c>
      <c r="G11" s="60">
        <v>85.0</v>
      </c>
      <c r="H11" s="60" t="s">
        <v>42</v>
      </c>
      <c r="I11" s="60">
        <v>0.0</v>
      </c>
      <c r="J11" s="60" t="s">
        <v>42</v>
      </c>
      <c r="K11" s="60">
        <v>77.0</v>
      </c>
      <c r="L11" s="60">
        <v>213.0</v>
      </c>
    </row>
    <row r="12">
      <c r="A12" s="102" t="s">
        <v>96</v>
      </c>
      <c r="B12" s="60">
        <v>85.0</v>
      </c>
      <c r="C12" s="60" t="s">
        <v>42</v>
      </c>
      <c r="D12" s="60" t="s">
        <v>42</v>
      </c>
      <c r="E12" s="60">
        <v>56.0</v>
      </c>
      <c r="F12" s="60">
        <v>0.0</v>
      </c>
      <c r="G12" s="60">
        <v>257.0</v>
      </c>
      <c r="H12" s="60">
        <v>5.0</v>
      </c>
      <c r="I12" s="60" t="s">
        <v>42</v>
      </c>
      <c r="J12" s="60" t="s">
        <v>42</v>
      </c>
      <c r="K12" s="60">
        <v>215.0</v>
      </c>
      <c r="L12" s="60">
        <v>625.0</v>
      </c>
    </row>
    <row r="13">
      <c r="A13" s="102" t="s">
        <v>97</v>
      </c>
      <c r="B13" s="60">
        <v>503.0</v>
      </c>
      <c r="C13" s="60">
        <v>8.0</v>
      </c>
      <c r="D13" s="60">
        <v>28.0</v>
      </c>
      <c r="E13" s="60">
        <v>165.0</v>
      </c>
      <c r="F13" s="60">
        <v>0.0</v>
      </c>
      <c r="G13" s="60">
        <v>762.0</v>
      </c>
      <c r="H13" s="60">
        <v>10.0</v>
      </c>
      <c r="I13" s="60">
        <v>5.0</v>
      </c>
      <c r="J13" s="60">
        <v>13.0</v>
      </c>
      <c r="K13" s="60">
        <v>335.0</v>
      </c>
      <c r="L13" s="104">
        <v>1829.0</v>
      </c>
    </row>
    <row r="14">
      <c r="A14" s="102" t="s">
        <v>98</v>
      </c>
      <c r="B14" s="60">
        <v>743.0</v>
      </c>
      <c r="C14" s="60">
        <v>11.0</v>
      </c>
      <c r="D14" s="60">
        <v>24.0</v>
      </c>
      <c r="E14" s="60">
        <v>217.0</v>
      </c>
      <c r="F14" s="60">
        <v>0.0</v>
      </c>
      <c r="G14" s="60">
        <v>603.0</v>
      </c>
      <c r="H14" s="60">
        <v>10.0</v>
      </c>
      <c r="I14" s="60">
        <v>10.0</v>
      </c>
      <c r="J14" s="60">
        <v>25.0</v>
      </c>
      <c r="K14" s="60">
        <v>293.0</v>
      </c>
      <c r="L14" s="104">
        <v>1936.0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750.0</v>
      </c>
      <c r="C16" s="60">
        <v>6.0</v>
      </c>
      <c r="D16" s="60">
        <v>42.0</v>
      </c>
      <c r="E16" s="60">
        <v>231.0</v>
      </c>
      <c r="F16" s="60">
        <v>0.0</v>
      </c>
      <c r="G16" s="60">
        <v>481.0</v>
      </c>
      <c r="H16" s="60">
        <v>17.0</v>
      </c>
      <c r="I16" s="60">
        <v>7.0</v>
      </c>
      <c r="J16" s="60">
        <v>26.0</v>
      </c>
      <c r="K16" s="60">
        <v>433.0</v>
      </c>
      <c r="L16" s="104">
        <v>1993.0</v>
      </c>
    </row>
    <row r="17">
      <c r="A17" s="102" t="s">
        <v>101</v>
      </c>
      <c r="B17" s="60">
        <v>700.0</v>
      </c>
      <c r="C17" s="60">
        <v>8.0</v>
      </c>
      <c r="D17" s="60">
        <v>26.0</v>
      </c>
      <c r="E17" s="60">
        <v>204.0</v>
      </c>
      <c r="F17" s="60">
        <v>0.0</v>
      </c>
      <c r="G17" s="60">
        <v>571.0</v>
      </c>
      <c r="H17" s="60">
        <v>26.0</v>
      </c>
      <c r="I17" s="60" t="s">
        <v>42</v>
      </c>
      <c r="J17" s="60">
        <v>20.0</v>
      </c>
      <c r="K17" s="60">
        <v>291.0</v>
      </c>
      <c r="L17" s="104">
        <v>1849.0</v>
      </c>
    </row>
    <row r="18">
      <c r="A18" s="102" t="s">
        <v>102</v>
      </c>
      <c r="B18" s="60">
        <v>620.0</v>
      </c>
      <c r="C18" s="60" t="s">
        <v>42</v>
      </c>
      <c r="D18" s="60">
        <v>37.0</v>
      </c>
      <c r="E18" s="60">
        <v>163.0</v>
      </c>
      <c r="F18" s="60">
        <v>0.0</v>
      </c>
      <c r="G18" s="60">
        <v>408.0</v>
      </c>
      <c r="H18" s="60">
        <v>26.0</v>
      </c>
      <c r="I18" s="60">
        <v>5.0</v>
      </c>
      <c r="J18" s="60">
        <v>9.0</v>
      </c>
      <c r="K18" s="60">
        <v>183.0</v>
      </c>
      <c r="L18" s="104">
        <v>1454.0</v>
      </c>
    </row>
    <row r="19">
      <c r="A19" s="102" t="s">
        <v>103</v>
      </c>
      <c r="B19" s="60">
        <v>495.0</v>
      </c>
      <c r="C19" s="60" t="s">
        <v>42</v>
      </c>
      <c r="D19" s="60">
        <v>27.0</v>
      </c>
      <c r="E19" s="60">
        <v>121.0</v>
      </c>
      <c r="F19" s="60">
        <v>0.0</v>
      </c>
      <c r="G19" s="60">
        <v>300.0</v>
      </c>
      <c r="H19" s="60">
        <v>20.0</v>
      </c>
      <c r="I19" s="60">
        <v>6.0</v>
      </c>
      <c r="J19" s="60">
        <v>6.0</v>
      </c>
      <c r="K19" s="60">
        <v>116.0</v>
      </c>
      <c r="L19" s="104">
        <v>1092.0</v>
      </c>
    </row>
    <row r="20">
      <c r="A20" s="102" t="s">
        <v>104</v>
      </c>
      <c r="B20" s="60">
        <v>417.0</v>
      </c>
      <c r="C20" s="60" t="s">
        <v>42</v>
      </c>
      <c r="D20" s="60">
        <v>13.0</v>
      </c>
      <c r="E20" s="60">
        <v>97.0</v>
      </c>
      <c r="F20" s="60">
        <v>0.0</v>
      </c>
      <c r="G20" s="60">
        <v>187.0</v>
      </c>
      <c r="H20" s="60">
        <v>10.0</v>
      </c>
      <c r="I20" s="60">
        <v>6.0</v>
      </c>
      <c r="J20" s="60" t="s">
        <v>42</v>
      </c>
      <c r="K20" s="60">
        <v>96.0</v>
      </c>
      <c r="L20" s="60">
        <v>834.0</v>
      </c>
    </row>
    <row r="21">
      <c r="A21" s="102" t="s">
        <v>105</v>
      </c>
      <c r="B21" s="60">
        <v>326.0</v>
      </c>
      <c r="C21" s="60">
        <v>0.0</v>
      </c>
      <c r="D21" s="60">
        <v>8.0</v>
      </c>
      <c r="E21" s="60">
        <v>74.0</v>
      </c>
      <c r="F21" s="60">
        <v>0.0</v>
      </c>
      <c r="G21" s="60">
        <v>127.0</v>
      </c>
      <c r="H21" s="60" t="s">
        <v>42</v>
      </c>
      <c r="I21" s="60" t="s">
        <v>42</v>
      </c>
      <c r="J21" s="60" t="s">
        <v>42</v>
      </c>
      <c r="K21" s="60">
        <v>67.0</v>
      </c>
      <c r="L21" s="60">
        <v>610.0</v>
      </c>
    </row>
    <row r="22">
      <c r="A22" s="102" t="s">
        <v>106</v>
      </c>
      <c r="B22" s="60">
        <v>195.0</v>
      </c>
      <c r="C22" s="60" t="s">
        <v>42</v>
      </c>
      <c r="D22" s="60">
        <v>13.0</v>
      </c>
      <c r="E22" s="60">
        <v>48.0</v>
      </c>
      <c r="F22" s="60">
        <v>0.0</v>
      </c>
      <c r="G22" s="60">
        <v>134.0</v>
      </c>
      <c r="H22" s="60">
        <v>8.0</v>
      </c>
      <c r="I22" s="60" t="s">
        <v>42</v>
      </c>
      <c r="J22" s="60" t="s">
        <v>42</v>
      </c>
      <c r="K22" s="60">
        <v>53.0</v>
      </c>
      <c r="L22" s="60">
        <v>459.0</v>
      </c>
    </row>
    <row r="23">
      <c r="A23" s="102" t="s">
        <v>107</v>
      </c>
      <c r="B23" s="60">
        <v>157.0</v>
      </c>
      <c r="C23" s="60" t="s">
        <v>42</v>
      </c>
      <c r="D23" s="60" t="s">
        <v>42</v>
      </c>
      <c r="E23" s="60">
        <v>33.0</v>
      </c>
      <c r="F23" s="60">
        <v>0.0</v>
      </c>
      <c r="G23" s="60">
        <v>106.0</v>
      </c>
      <c r="H23" s="60">
        <v>5.0</v>
      </c>
      <c r="I23" s="60">
        <v>0.0</v>
      </c>
      <c r="J23" s="60" t="s">
        <v>42</v>
      </c>
      <c r="K23" s="60">
        <v>49.0</v>
      </c>
      <c r="L23" s="60">
        <v>354.0</v>
      </c>
    </row>
    <row r="24">
      <c r="A24" s="102" t="s">
        <v>108</v>
      </c>
      <c r="B24" s="60">
        <v>141.0</v>
      </c>
      <c r="C24" s="60" t="s">
        <v>42</v>
      </c>
      <c r="D24" s="60" t="s">
        <v>42</v>
      </c>
      <c r="E24" s="60">
        <v>47.0</v>
      </c>
      <c r="F24" s="60">
        <v>0.0</v>
      </c>
      <c r="G24" s="60">
        <v>118.0</v>
      </c>
      <c r="H24" s="60" t="s">
        <v>42</v>
      </c>
      <c r="I24" s="60">
        <v>6.0</v>
      </c>
      <c r="J24" s="60" t="s">
        <v>42</v>
      </c>
      <c r="K24" s="60">
        <v>32.0</v>
      </c>
      <c r="L24" s="60">
        <v>354.0</v>
      </c>
    </row>
    <row r="25">
      <c r="A25" s="102" t="s">
        <v>109</v>
      </c>
      <c r="B25" s="60">
        <v>107.0</v>
      </c>
      <c r="C25" s="60" t="s">
        <v>42</v>
      </c>
      <c r="D25" s="60">
        <v>11.0</v>
      </c>
      <c r="E25" s="60">
        <v>27.0</v>
      </c>
      <c r="F25" s="60">
        <v>0.0</v>
      </c>
      <c r="G25" s="60">
        <v>99.0</v>
      </c>
      <c r="H25" s="60" t="s">
        <v>42</v>
      </c>
      <c r="I25" s="60">
        <v>5.0</v>
      </c>
      <c r="J25" s="60" t="s">
        <v>42</v>
      </c>
      <c r="K25" s="60">
        <v>16.0</v>
      </c>
      <c r="L25" s="60">
        <v>270.0</v>
      </c>
    </row>
    <row r="26">
      <c r="A26" s="102" t="s">
        <v>110</v>
      </c>
      <c r="B26" s="60">
        <v>117.0</v>
      </c>
      <c r="C26" s="60" t="s">
        <v>42</v>
      </c>
      <c r="D26" s="60">
        <v>9.0</v>
      </c>
      <c r="E26" s="60">
        <v>29.0</v>
      </c>
      <c r="F26" s="60">
        <v>0.0</v>
      </c>
      <c r="G26" s="60">
        <v>156.0</v>
      </c>
      <c r="H26" s="60">
        <v>6.0</v>
      </c>
      <c r="I26" s="60" t="s">
        <v>42</v>
      </c>
      <c r="J26" s="60" t="s">
        <v>42</v>
      </c>
      <c r="K26" s="60">
        <v>18.0</v>
      </c>
      <c r="L26" s="60">
        <v>342.0</v>
      </c>
    </row>
    <row r="27">
      <c r="A27" s="102" t="s">
        <v>111</v>
      </c>
      <c r="B27" s="60">
        <v>141.0</v>
      </c>
      <c r="C27" s="60" t="s">
        <v>42</v>
      </c>
      <c r="D27" s="60">
        <v>6.0</v>
      </c>
      <c r="E27" s="60">
        <v>61.0</v>
      </c>
      <c r="F27" s="60">
        <v>0.0</v>
      </c>
      <c r="G27" s="60">
        <v>168.0</v>
      </c>
      <c r="H27" s="60">
        <v>8.0</v>
      </c>
      <c r="I27" s="60">
        <v>11.0</v>
      </c>
      <c r="J27" s="60">
        <v>5.0</v>
      </c>
      <c r="K27" s="60">
        <v>34.0</v>
      </c>
      <c r="L27" s="60">
        <v>436.0</v>
      </c>
    </row>
    <row r="28">
      <c r="A28" s="102" t="s">
        <v>112</v>
      </c>
      <c r="B28" s="60">
        <v>241.0</v>
      </c>
      <c r="C28" s="60" t="s">
        <v>42</v>
      </c>
      <c r="D28" s="60">
        <v>13.0</v>
      </c>
      <c r="E28" s="60">
        <v>88.0</v>
      </c>
      <c r="F28" s="60">
        <v>0.0</v>
      </c>
      <c r="G28" s="60">
        <v>211.0</v>
      </c>
      <c r="H28" s="60">
        <v>23.0</v>
      </c>
      <c r="I28" s="60">
        <v>12.0</v>
      </c>
      <c r="J28" s="60">
        <v>10.0</v>
      </c>
      <c r="K28" s="60">
        <v>48.0</v>
      </c>
      <c r="L28" s="60">
        <v>647.0</v>
      </c>
    </row>
    <row r="29">
      <c r="A29" s="102" t="s">
        <v>113</v>
      </c>
      <c r="B29" s="60">
        <v>308.0</v>
      </c>
      <c r="C29" s="60" t="s">
        <v>42</v>
      </c>
      <c r="D29" s="60">
        <v>19.0</v>
      </c>
      <c r="E29" s="60">
        <v>75.0</v>
      </c>
      <c r="F29" s="60">
        <v>0.0</v>
      </c>
      <c r="G29" s="60">
        <v>205.0</v>
      </c>
      <c r="H29" s="60">
        <v>15.0</v>
      </c>
      <c r="I29" s="60">
        <v>9.0</v>
      </c>
      <c r="J29" s="60">
        <v>6.0</v>
      </c>
      <c r="K29" s="60">
        <v>47.0</v>
      </c>
      <c r="L29" s="60">
        <v>685.0</v>
      </c>
    </row>
    <row r="30">
      <c r="A30" s="102" t="s">
        <v>114</v>
      </c>
      <c r="B30" s="60">
        <v>324.0</v>
      </c>
      <c r="C30" s="60" t="s">
        <v>42</v>
      </c>
      <c r="D30" s="60">
        <v>15.0</v>
      </c>
      <c r="E30" s="60">
        <v>82.0</v>
      </c>
      <c r="F30" s="60">
        <v>0.0</v>
      </c>
      <c r="G30" s="60">
        <v>201.0</v>
      </c>
      <c r="H30" s="60">
        <v>7.0</v>
      </c>
      <c r="I30" s="60">
        <v>8.0</v>
      </c>
      <c r="J30" s="60" t="s">
        <v>42</v>
      </c>
      <c r="K30" s="60">
        <v>54.0</v>
      </c>
      <c r="L30" s="60">
        <v>697.0</v>
      </c>
    </row>
    <row r="31">
      <c r="A31" s="102" t="s">
        <v>115</v>
      </c>
      <c r="B31" s="60">
        <v>303.0</v>
      </c>
      <c r="C31" s="60">
        <v>0.0</v>
      </c>
      <c r="D31" s="60">
        <v>8.0</v>
      </c>
      <c r="E31" s="60">
        <v>40.0</v>
      </c>
      <c r="F31" s="60">
        <v>0.0</v>
      </c>
      <c r="G31" s="60">
        <v>188.0</v>
      </c>
      <c r="H31" s="60">
        <v>9.0</v>
      </c>
      <c r="I31" s="60">
        <v>7.0</v>
      </c>
      <c r="J31" s="60">
        <v>5.0</v>
      </c>
      <c r="K31" s="60">
        <v>52.0</v>
      </c>
      <c r="L31" s="60">
        <v>612.0</v>
      </c>
    </row>
    <row r="32">
      <c r="A32" s="102" t="s">
        <v>116</v>
      </c>
      <c r="B32" s="60">
        <v>301.0</v>
      </c>
      <c r="C32" s="60" t="s">
        <v>42</v>
      </c>
      <c r="D32" s="60">
        <v>11.0</v>
      </c>
      <c r="E32" s="60">
        <v>44.0</v>
      </c>
      <c r="F32" s="60">
        <v>0.0</v>
      </c>
      <c r="G32" s="60">
        <v>234.0</v>
      </c>
      <c r="H32" s="60">
        <v>9.0</v>
      </c>
      <c r="I32" s="60">
        <v>13.0</v>
      </c>
      <c r="J32" s="60" t="s">
        <v>42</v>
      </c>
      <c r="K32" s="60">
        <v>56.0</v>
      </c>
      <c r="L32" s="60">
        <v>671.0</v>
      </c>
    </row>
    <row r="33">
      <c r="A33" s="102" t="s">
        <v>117</v>
      </c>
      <c r="B33" s="60">
        <v>231.0</v>
      </c>
      <c r="C33" s="60" t="s">
        <v>42</v>
      </c>
      <c r="D33" s="60">
        <v>9.0</v>
      </c>
      <c r="E33" s="60">
        <v>33.0</v>
      </c>
      <c r="F33" s="60">
        <v>0.0</v>
      </c>
      <c r="G33" s="60">
        <v>180.0</v>
      </c>
      <c r="H33" s="60">
        <v>6.0</v>
      </c>
      <c r="I33" s="60">
        <v>10.0</v>
      </c>
      <c r="J33" s="60" t="s">
        <v>42</v>
      </c>
      <c r="K33" s="60">
        <v>66.0</v>
      </c>
      <c r="L33" s="60">
        <v>540.0</v>
      </c>
    </row>
    <row r="34">
      <c r="A34" s="102" t="s">
        <v>118</v>
      </c>
      <c r="B34" s="105">
        <v>209.0</v>
      </c>
      <c r="C34" s="105" t="s">
        <v>42</v>
      </c>
      <c r="D34" s="105">
        <v>16.0</v>
      </c>
      <c r="E34" s="105">
        <v>52.0</v>
      </c>
      <c r="F34" s="105">
        <v>0.0</v>
      </c>
      <c r="G34" s="105">
        <v>146.0</v>
      </c>
      <c r="H34" s="105">
        <v>8.0</v>
      </c>
      <c r="I34" s="105" t="s">
        <v>42</v>
      </c>
      <c r="J34" s="105">
        <v>7.0</v>
      </c>
      <c r="K34" s="105">
        <v>41.0</v>
      </c>
      <c r="L34" s="105">
        <v>483.0</v>
      </c>
    </row>
    <row r="35">
      <c r="A35" s="102" t="s">
        <v>119</v>
      </c>
      <c r="B35" s="105">
        <v>173.0</v>
      </c>
      <c r="C35" s="105" t="s">
        <v>42</v>
      </c>
      <c r="D35" s="105">
        <v>5.0</v>
      </c>
      <c r="E35" s="105">
        <v>63.0</v>
      </c>
      <c r="F35" s="105">
        <v>0.0</v>
      </c>
      <c r="G35" s="105">
        <v>224.0</v>
      </c>
      <c r="H35" s="105">
        <v>10.0</v>
      </c>
      <c r="I35" s="105" t="s">
        <v>42</v>
      </c>
      <c r="J35" s="105" t="s">
        <v>42</v>
      </c>
      <c r="K35" s="105">
        <v>59.0</v>
      </c>
      <c r="L35" s="105">
        <v>542.0</v>
      </c>
    </row>
    <row r="36">
      <c r="A36" s="102" t="s">
        <v>120</v>
      </c>
      <c r="B36" s="105">
        <v>231.0</v>
      </c>
      <c r="C36" s="105" t="s">
        <v>42</v>
      </c>
      <c r="D36" s="105">
        <v>9.0</v>
      </c>
      <c r="E36" s="105">
        <v>45.0</v>
      </c>
      <c r="F36" s="105">
        <v>0.0</v>
      </c>
      <c r="G36" s="105">
        <v>354.0</v>
      </c>
      <c r="H36" s="105">
        <v>16.0</v>
      </c>
      <c r="I36" s="105">
        <v>7.0</v>
      </c>
      <c r="J36" s="105">
        <v>6.0</v>
      </c>
      <c r="K36" s="105">
        <v>52.0</v>
      </c>
      <c r="L36" s="105">
        <v>723.0</v>
      </c>
    </row>
    <row r="37">
      <c r="A37" s="102" t="s">
        <v>121</v>
      </c>
      <c r="B37" s="113">
        <v>226.0</v>
      </c>
      <c r="C37" s="113" t="s">
        <v>42</v>
      </c>
      <c r="D37" s="113">
        <v>8.0</v>
      </c>
      <c r="E37" s="113">
        <v>70.0</v>
      </c>
      <c r="F37" s="113">
        <v>0.0</v>
      </c>
      <c r="G37" s="113">
        <v>324.0</v>
      </c>
      <c r="H37" s="113">
        <v>13.0</v>
      </c>
      <c r="I37" s="113">
        <v>11.0</v>
      </c>
      <c r="J37" s="113">
        <v>6.0</v>
      </c>
      <c r="K37" s="113">
        <v>55.0</v>
      </c>
      <c r="L37" s="113">
        <v>714.0</v>
      </c>
    </row>
    <row r="38">
      <c r="A38" s="102" t="s">
        <v>122</v>
      </c>
      <c r="B38" s="113">
        <v>277.0</v>
      </c>
      <c r="C38" s="113" t="s">
        <v>42</v>
      </c>
      <c r="D38" s="113">
        <v>8.0</v>
      </c>
      <c r="E38" s="113">
        <v>91.0</v>
      </c>
      <c r="F38" s="113">
        <v>0.0</v>
      </c>
      <c r="G38" s="113">
        <v>463.0</v>
      </c>
      <c r="H38" s="113">
        <v>23.0</v>
      </c>
      <c r="I38" s="113">
        <v>13.0</v>
      </c>
      <c r="J38" s="113">
        <v>8.0</v>
      </c>
      <c r="K38" s="113">
        <v>76.0</v>
      </c>
      <c r="L38" s="113">
        <v>960.0</v>
      </c>
    </row>
    <row r="39">
      <c r="A39" s="102" t="s">
        <v>123</v>
      </c>
      <c r="B39" s="113">
        <v>347.0</v>
      </c>
      <c r="C39" s="113">
        <v>7.0</v>
      </c>
      <c r="D39" s="113">
        <v>9.0</v>
      </c>
      <c r="E39" s="113">
        <v>102.0</v>
      </c>
      <c r="F39" s="113">
        <v>0.0</v>
      </c>
      <c r="G39" s="113">
        <v>605.0</v>
      </c>
      <c r="H39" s="113">
        <v>18.0</v>
      </c>
      <c r="I39" s="113">
        <v>11.0</v>
      </c>
      <c r="J39" s="113">
        <v>16.0</v>
      </c>
      <c r="K39" s="113">
        <v>114.0</v>
      </c>
      <c r="L39" s="113">
        <v>1229.0</v>
      </c>
    </row>
    <row r="40">
      <c r="A40" s="102" t="s">
        <v>124</v>
      </c>
      <c r="B40" s="113">
        <v>453.0</v>
      </c>
      <c r="C40" s="113">
        <v>5.0</v>
      </c>
      <c r="D40" s="113">
        <v>13.0</v>
      </c>
      <c r="E40" s="113">
        <v>95.0</v>
      </c>
      <c r="F40" s="113">
        <v>0.0</v>
      </c>
      <c r="G40" s="113">
        <v>658.0</v>
      </c>
      <c r="H40" s="113">
        <v>25.0</v>
      </c>
      <c r="I40" s="113">
        <v>10.0</v>
      </c>
      <c r="J40" s="113">
        <v>15.0</v>
      </c>
      <c r="K40" s="113">
        <v>257.0</v>
      </c>
      <c r="L40" s="113">
        <v>1531.0</v>
      </c>
    </row>
    <row r="41">
      <c r="A41" s="102" t="s">
        <v>125</v>
      </c>
      <c r="B41" s="113">
        <v>742.0</v>
      </c>
      <c r="C41" s="113" t="s">
        <v>42</v>
      </c>
      <c r="D41" s="113">
        <v>36.0</v>
      </c>
      <c r="E41" s="113">
        <v>150.0</v>
      </c>
      <c r="F41" s="113">
        <v>0.0</v>
      </c>
      <c r="G41" s="113">
        <v>949.0</v>
      </c>
      <c r="H41" s="113">
        <v>35.0</v>
      </c>
      <c r="I41" s="113">
        <v>18.0</v>
      </c>
      <c r="J41" s="113">
        <v>33.0</v>
      </c>
      <c r="K41" s="113">
        <v>529.0</v>
      </c>
      <c r="L41" s="113">
        <v>2494.0</v>
      </c>
    </row>
    <row r="42">
      <c r="A42" s="102" t="s">
        <v>126</v>
      </c>
      <c r="B42" s="113">
        <v>802.0</v>
      </c>
      <c r="C42" s="113" t="s">
        <v>42</v>
      </c>
      <c r="D42" s="113">
        <v>38.0</v>
      </c>
      <c r="E42" s="113">
        <v>155.0</v>
      </c>
      <c r="F42" s="113">
        <v>0.0</v>
      </c>
      <c r="G42" s="113">
        <v>1069.0</v>
      </c>
      <c r="H42" s="113">
        <v>43.0</v>
      </c>
      <c r="I42" s="113">
        <v>14.0</v>
      </c>
      <c r="J42" s="113">
        <v>25.0</v>
      </c>
      <c r="K42" s="113">
        <v>696.0</v>
      </c>
      <c r="L42" s="113">
        <v>2846.0</v>
      </c>
    </row>
    <row r="43">
      <c r="A43" s="102" t="s">
        <v>127</v>
      </c>
      <c r="B43" s="113">
        <v>1002.0</v>
      </c>
      <c r="C43" s="113">
        <v>6.0</v>
      </c>
      <c r="D43" s="113">
        <v>72.0</v>
      </c>
      <c r="E43" s="113">
        <v>214.0</v>
      </c>
      <c r="F43" s="113">
        <v>0.0</v>
      </c>
      <c r="G43" s="113">
        <v>1498.0</v>
      </c>
      <c r="H43" s="113">
        <v>67.0</v>
      </c>
      <c r="I43" s="113">
        <v>23.0</v>
      </c>
      <c r="J43" s="113">
        <v>53.0</v>
      </c>
      <c r="K43" s="113">
        <v>800.0</v>
      </c>
      <c r="L43" s="113">
        <v>3735.0</v>
      </c>
    </row>
    <row r="44">
      <c r="A44" s="102" t="s">
        <v>128</v>
      </c>
      <c r="B44" s="113">
        <v>1497.0</v>
      </c>
      <c r="C44" s="113">
        <v>6.0</v>
      </c>
      <c r="D44" s="113">
        <v>83.0</v>
      </c>
      <c r="E44" s="113">
        <v>326.0</v>
      </c>
      <c r="F44" s="113">
        <v>0.0</v>
      </c>
      <c r="G44" s="113">
        <v>2499.0</v>
      </c>
      <c r="H44" s="113">
        <v>80.0</v>
      </c>
      <c r="I44" s="113">
        <v>51.0</v>
      </c>
      <c r="J44" s="113">
        <v>78.0</v>
      </c>
      <c r="K44" s="113">
        <v>929.0</v>
      </c>
      <c r="L44" s="113">
        <v>5549.0</v>
      </c>
    </row>
    <row r="45">
      <c r="A45" s="102" t="s">
        <v>129</v>
      </c>
      <c r="B45" s="113">
        <v>1572.0</v>
      </c>
      <c r="C45" s="113">
        <v>13.0</v>
      </c>
      <c r="D45" s="113">
        <v>116.0</v>
      </c>
      <c r="E45" s="113">
        <v>337.0</v>
      </c>
      <c r="F45" s="113">
        <v>0.0</v>
      </c>
      <c r="G45" s="113">
        <v>2912.0</v>
      </c>
      <c r="H45" s="113">
        <v>77.0</v>
      </c>
      <c r="I45" s="113">
        <v>50.0</v>
      </c>
      <c r="J45" s="113">
        <v>117.0</v>
      </c>
      <c r="K45" s="113">
        <v>1226.0</v>
      </c>
      <c r="L45" s="113">
        <v>6420.0</v>
      </c>
    </row>
    <row r="46">
      <c r="A46" s="102" t="s">
        <v>130</v>
      </c>
      <c r="B46" s="113">
        <v>1235.0</v>
      </c>
      <c r="C46" s="113">
        <v>11.0</v>
      </c>
      <c r="D46" s="113">
        <v>72.0</v>
      </c>
      <c r="E46" s="113">
        <v>220.0</v>
      </c>
      <c r="F46" s="113">
        <v>0.0</v>
      </c>
      <c r="G46" s="113">
        <v>2346.0</v>
      </c>
      <c r="H46" s="113">
        <v>75.0</v>
      </c>
      <c r="I46" s="113">
        <v>31.0</v>
      </c>
      <c r="J46" s="113">
        <v>86.0</v>
      </c>
      <c r="K46" s="113">
        <v>1710.0</v>
      </c>
      <c r="L46" s="113">
        <v>5786.0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138</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139</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44167.0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140</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137</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133</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134</v>
      </c>
      <c r="H9" s="60" t="s">
        <v>134</v>
      </c>
      <c r="I9" s="60">
        <v>0.0</v>
      </c>
      <c r="J9" s="60" t="s">
        <v>134</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134</v>
      </c>
      <c r="E10" s="60">
        <v>0.0</v>
      </c>
      <c r="F10" s="60">
        <v>0.0</v>
      </c>
      <c r="G10" s="60">
        <v>1.0</v>
      </c>
      <c r="H10" s="60" t="s">
        <v>134</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134</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134</v>
      </c>
      <c r="D12" s="60" t="s">
        <v>134</v>
      </c>
      <c r="E12" s="60">
        <v>29.0</v>
      </c>
      <c r="F12" s="60">
        <v>0.0</v>
      </c>
      <c r="G12" s="60">
        <v>11.0</v>
      </c>
      <c r="H12" s="60" t="s">
        <v>134</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134</v>
      </c>
      <c r="D13" s="60" t="s">
        <v>134</v>
      </c>
      <c r="E13" s="60">
        <v>95.0</v>
      </c>
      <c r="F13" s="60">
        <v>0.0</v>
      </c>
      <c r="G13" s="60">
        <v>33.0</v>
      </c>
      <c r="H13" s="60">
        <v>71.0</v>
      </c>
      <c r="I13" s="60" t="s">
        <v>134</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472.0</v>
      </c>
      <c r="C17" s="60">
        <v>162.0</v>
      </c>
      <c r="D17" s="60">
        <v>120.0</v>
      </c>
      <c r="E17" s="60">
        <v>392.0</v>
      </c>
      <c r="F17" s="60">
        <v>0.0</v>
      </c>
      <c r="G17" s="60">
        <v>63.0</v>
      </c>
      <c r="H17" s="60">
        <v>240.0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134</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134</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134</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134</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134</v>
      </c>
      <c r="I22" s="60" t="s">
        <v>134</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134</v>
      </c>
      <c r="D23" s="60">
        <v>37.0</v>
      </c>
      <c r="E23" s="60">
        <v>81.0</v>
      </c>
      <c r="F23" s="60">
        <v>0.0</v>
      </c>
      <c r="G23" s="60">
        <v>17.0</v>
      </c>
      <c r="H23" s="60">
        <v>113.0</v>
      </c>
      <c r="I23" s="60" t="s">
        <v>134</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134</v>
      </c>
      <c r="D24" s="60" t="s">
        <v>134</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134</v>
      </c>
      <c r="D25" s="60" t="s">
        <v>134</v>
      </c>
      <c r="E25" s="60">
        <v>80.0</v>
      </c>
      <c r="F25" s="60">
        <v>0.0</v>
      </c>
      <c r="G25" s="60">
        <v>15.0</v>
      </c>
      <c r="H25" s="60" t="s">
        <v>134</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134</v>
      </c>
      <c r="D26" s="60">
        <v>31.0</v>
      </c>
      <c r="E26" s="60">
        <v>46.0</v>
      </c>
      <c r="F26" s="60">
        <v>0.0</v>
      </c>
      <c r="G26" s="60">
        <v>13.0</v>
      </c>
      <c r="H26" s="60" t="s">
        <v>134</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134</v>
      </c>
      <c r="D27" s="60">
        <v>26.0</v>
      </c>
      <c r="E27" s="60">
        <v>49.0</v>
      </c>
      <c r="F27" s="60">
        <v>0.0</v>
      </c>
      <c r="G27" s="60">
        <v>20.0</v>
      </c>
      <c r="H27" s="60">
        <v>85.0</v>
      </c>
      <c r="I27" s="60" t="s">
        <v>134</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134</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134</v>
      </c>
      <c r="D29" s="60">
        <v>37.0</v>
      </c>
      <c r="E29" s="60">
        <v>149.0</v>
      </c>
      <c r="F29" s="60">
        <v>0.0</v>
      </c>
      <c r="G29" s="60">
        <v>27.0</v>
      </c>
      <c r="H29" s="60">
        <v>324.0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194.0</v>
      </c>
      <c r="C30" s="60" t="s">
        <v>134</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134</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134</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134</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134</v>
      </c>
      <c r="D35" s="105">
        <v>46.0</v>
      </c>
      <c r="E35" s="105">
        <v>88.0</v>
      </c>
      <c r="F35" s="105">
        <v>0.0</v>
      </c>
      <c r="G35" s="105">
        <v>19.0</v>
      </c>
      <c r="H35" s="105">
        <v>113.0</v>
      </c>
      <c r="I35" s="105" t="s">
        <v>134</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134</v>
      </c>
      <c r="D36" s="105">
        <v>14.0</v>
      </c>
      <c r="E36" s="105">
        <v>107.0</v>
      </c>
      <c r="F36" s="105">
        <v>0.0</v>
      </c>
      <c r="G36" s="105">
        <v>29.0</v>
      </c>
      <c r="H36" s="105">
        <v>141.0</v>
      </c>
      <c r="I36" s="105" t="s">
        <v>134</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134</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134</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134</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218.0</v>
      </c>
      <c r="C40" s="113">
        <v>189.0</v>
      </c>
      <c r="D40" s="113">
        <v>26.0</v>
      </c>
      <c r="E40" s="113">
        <v>173.0</v>
      </c>
      <c r="F40" s="113">
        <v>0.0</v>
      </c>
      <c r="G40" s="113">
        <v>79.0</v>
      </c>
      <c r="H40" s="113">
        <v>254.0</v>
      </c>
      <c r="I40" s="113">
        <v>45.0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285.0</v>
      </c>
      <c r="C41" s="113">
        <v>135.0</v>
      </c>
      <c r="D41" s="113">
        <v>37.0</v>
      </c>
      <c r="E41" s="113">
        <v>161.0</v>
      </c>
      <c r="F41" s="113">
        <v>0.0</v>
      </c>
      <c r="G41" s="113">
        <v>86.0</v>
      </c>
      <c r="H41" s="113">
        <v>353.0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467.0</v>
      </c>
      <c r="C42" s="113" t="s">
        <v>134</v>
      </c>
      <c r="D42" s="113">
        <v>102.0</v>
      </c>
      <c r="E42" s="113">
        <v>254.0</v>
      </c>
      <c r="F42" s="113">
        <v>0.0</v>
      </c>
      <c r="G42" s="113">
        <v>124.0</v>
      </c>
      <c r="H42" s="113">
        <v>494.0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505.0</v>
      </c>
      <c r="C43" s="113" t="s">
        <v>134</v>
      </c>
      <c r="D43" s="113">
        <v>108.0</v>
      </c>
      <c r="E43" s="113">
        <v>263.0</v>
      </c>
      <c r="F43" s="113">
        <v>0.0</v>
      </c>
      <c r="G43" s="113">
        <v>139.0</v>
      </c>
      <c r="H43" s="113">
        <v>606.0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631.0</v>
      </c>
      <c r="C44" s="113">
        <v>162.0</v>
      </c>
      <c r="D44" s="113">
        <v>205.0</v>
      </c>
      <c r="E44" s="113">
        <v>363.0</v>
      </c>
      <c r="F44" s="113">
        <v>0.0</v>
      </c>
      <c r="G44" s="113">
        <v>195.0</v>
      </c>
      <c r="H44" s="113">
        <v>945.0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942.0</v>
      </c>
      <c r="C45" s="113">
        <v>162.0</v>
      </c>
      <c r="D45" s="113">
        <v>236.0</v>
      </c>
      <c r="E45" s="113">
        <v>553.0</v>
      </c>
      <c r="F45" s="113">
        <v>0.0</v>
      </c>
      <c r="G45" s="113">
        <v>326.0</v>
      </c>
      <c r="H45" s="113">
        <v>1128.0</v>
      </c>
      <c r="I45" s="113">
        <v>209.0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990.0</v>
      </c>
      <c r="C46" s="113">
        <v>351.0</v>
      </c>
      <c r="D46" s="113">
        <v>330.0</v>
      </c>
      <c r="E46" s="113">
        <v>571.0</v>
      </c>
      <c r="F46" s="113">
        <v>0.0</v>
      </c>
      <c r="G46" s="113">
        <v>379.0</v>
      </c>
      <c r="H46" s="113">
        <v>1086.0</v>
      </c>
      <c r="I46" s="113">
        <v>205.0</v>
      </c>
      <c r="J46" s="113">
        <v>608.0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777.0</v>
      </c>
      <c r="C47" s="113">
        <v>297.0</v>
      </c>
      <c r="D47" s="113">
        <v>205.0</v>
      </c>
      <c r="E47" s="113">
        <v>373.0</v>
      </c>
      <c r="F47" s="113">
        <v>0.0</v>
      </c>
      <c r="G47" s="113">
        <v>306.0</v>
      </c>
      <c r="H47" s="113">
        <v>1058.0</v>
      </c>
      <c r="I47" s="113">
        <v>127.0</v>
      </c>
      <c r="J47" s="113">
        <v>548.0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20"/>
      <c r="B48" s="121"/>
      <c r="C48" s="121"/>
      <c r="D48" s="121"/>
      <c r="E48" s="121"/>
      <c r="F48" s="121"/>
      <c r="G48" s="121"/>
      <c r="H48" s="121"/>
      <c r="I48" s="121"/>
      <c r="J48" s="121"/>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141</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142</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143</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42</v>
      </c>
      <c r="I8" s="60">
        <v>0.0</v>
      </c>
      <c r="J8" s="60" t="s">
        <v>42</v>
      </c>
      <c r="K8" s="60" t="s">
        <v>42</v>
      </c>
      <c r="L8" s="60">
        <v>5.0</v>
      </c>
      <c r="M8" s="60" t="s">
        <v>42</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42</v>
      </c>
      <c r="H9" s="60" t="s">
        <v>42</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42</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42</v>
      </c>
      <c r="E11" s="60">
        <v>0.0</v>
      </c>
      <c r="F11" s="60">
        <v>0.0</v>
      </c>
      <c r="G11" s="60">
        <v>0.0</v>
      </c>
      <c r="H11" s="60">
        <v>0.0</v>
      </c>
      <c r="I11" s="60" t="s">
        <v>42</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42</v>
      </c>
      <c r="H12" s="60">
        <v>0.0</v>
      </c>
      <c r="I12" s="60" t="s">
        <v>42</v>
      </c>
      <c r="J12" s="60" t="s">
        <v>42</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42</v>
      </c>
      <c r="G13" s="60">
        <v>0.0</v>
      </c>
      <c r="H13" s="60">
        <v>0.0</v>
      </c>
      <c r="I13" s="60" t="s">
        <v>42</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42</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42</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42</v>
      </c>
      <c r="H16" s="60">
        <v>0.0</v>
      </c>
      <c r="I16" s="60" t="s">
        <v>42</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145</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146</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147</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133</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134</v>
      </c>
      <c r="I9" s="60">
        <v>0.0</v>
      </c>
      <c r="J9" s="60" t="s">
        <v>134</v>
      </c>
      <c r="K9" s="60" t="s">
        <v>134</v>
      </c>
      <c r="L9" s="60">
        <v>7.0</v>
      </c>
      <c r="M9" s="60" t="s">
        <v>134</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134</v>
      </c>
      <c r="H10" s="60" t="s">
        <v>134</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134</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134</v>
      </c>
      <c r="E12" s="60">
        <v>0.0</v>
      </c>
      <c r="F12" s="60">
        <v>0.0</v>
      </c>
      <c r="G12" s="60">
        <v>0.0</v>
      </c>
      <c r="H12" s="60">
        <v>0.0</v>
      </c>
      <c r="I12" s="60" t="s">
        <v>134</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134</v>
      </c>
      <c r="H13" s="60">
        <v>0.0</v>
      </c>
      <c r="I13" s="60" t="s">
        <v>134</v>
      </c>
      <c r="J13" s="60" t="s">
        <v>134</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134</v>
      </c>
      <c r="G14" s="60">
        <v>0.0</v>
      </c>
      <c r="H14" s="60">
        <v>0.0</v>
      </c>
      <c r="I14" s="60" t="s">
        <v>134</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134</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134</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134</v>
      </c>
      <c r="H17" s="60">
        <v>0.0</v>
      </c>
      <c r="I17" s="60" t="s">
        <v>134</v>
      </c>
      <c r="J17" s="60">
        <v>3.0</v>
      </c>
      <c r="K17" s="60">
        <v>20.0</v>
      </c>
      <c r="L17" s="60">
        <v>37.0</v>
      </c>
      <c r="M17" s="60">
        <v>224.0</v>
      </c>
      <c r="N17" s="60">
        <v>16.0</v>
      </c>
    </row>
  </sheetData>
  <mergeCells count="3">
    <mergeCell ref="A1:H1"/>
    <mergeCell ref="A2:O2"/>
    <mergeCell ref="A5:K5"/>
  </mergeCells>
  <drawing r:id="rId1"/>
</worksheet>
</file>