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<sst xmlns="http://schemas.openxmlformats.org/spreadsheetml/2006/main" count="4252" uniqueCount="696">
  <si>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</si>
  <si>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</si>
  <si>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</si>
  <si>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</si>
  <si>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</si>
  <si>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</si>
  <si>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</si>
  <si>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</si>
  <si>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</si>
  <si>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</si>
  <si>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</si>
  <si>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</si>
  <si>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</si>
  <si>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</si>
  <si>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</si>
  <si>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</si>
  <si>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</si>
  <si>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</si>
  <si>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</si>
  <si>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</si>
  <si>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</si>
  <si>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</si>
  <si>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</si>
  <si>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</si>
  <si>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</si>
  <si>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</si>
  <si>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</si>
  <si>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</si>
  <si>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</si>
  <si>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</si>
  <si>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</si>
  <si>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</si>
  <si>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</si>
  <si>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</si>
  <si>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</si>
  <si>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</si>
  <si>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N=368,006</t>
  </si>
  <si>
    <t>N=27,274</t>
  </si>
  <si>
    <t>N=3,058</t>
  </si>
  <si>
    <t>N=1,155</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</si>
  <si>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</si>
  <si>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</si>
  <si>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</si>
  <si>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</si>
  <si>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</si>
  <si>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</si>
  <si>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</si>
  <si>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</si>
  <si>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</si>
  <si>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</si>
  <si>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</si>
  <si>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</si>
  <si>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</si>
  <si>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</si>
  <si>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</si>
  <si>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</si>
  <si>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</si>
  <si>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</si>
  <si>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</si>
  <si>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</si>
  <si>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</si>
  <si>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</si>
  <si>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</si>
  <si>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</si>
  <si>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</si>
  <si>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</si>
  <si>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</si>
  <si>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</si>
  <si>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</si>
  <si>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</si>
  <si>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</si>
  <si>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</si>
  <si>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</si>
  <si>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</si>
  <si>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</si>
  <si>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</si>
  <si>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</si>
  <si>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</si>
  <si>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</si>
  <si>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</si>
  <si>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</si>
  <si>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</si>
  <si>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</si>
  <si>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</si>
  <si>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</si>
  <si>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</si>
  <si>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</si>
  <si>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</si>
  <si>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</si>
  <si>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</si>
  <si>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</si>
  <si>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</si>
  <si>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</si>
  <si>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</si>
  <si>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</si>
  <si>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</si>
  <si>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</si>
  <si>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</si>
  <si>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</si>
  <si>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</si>
  <si>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</si>
  <si>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</si>
  <si>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</si>
  <si>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</si>
  <si>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</si>
  <si>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</si>
  <si>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</si>
  <si>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</si>
  <si>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</si>
  <si>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</si>
  <si>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</si>
  <si>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</si>
  <si>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</si>
  <si>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</si>
  <si>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</si>
  <si>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</si>
  <si>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</si>
  <si>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</si>
  <si>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</si>
  <si>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</si>
  <si>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</si>
  <si>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</si>
  <si>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</si>
  <si>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</si>
  <si>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</si>
  <si>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</si>
  <si>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</si>
  <si>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</si>
  <si>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</si>
  <si>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</si>
  <si>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</si>
  <si>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</si>
  <si>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</si>
  <si>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</si>
  <si>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</si>
  <si>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</si>
  <si>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</si>
  <si>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</si>
  <si>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</si>
  <si>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</si>
  <si>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</si>
  <si>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</si>
  <si>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</si>
  <si>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</si>
  <si>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</si>
  <si>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</si>
  <si>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</si>
  <si>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</si>
  <si>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</si>
  <si>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</si>
  <si>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</si>
  <si>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</si>
  <si>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</si>
  <si>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</si>
  <si>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</si>
  <si>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</si>
  <si>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</si>
  <si>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</si>
  <si>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</si>
  <si>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</si>
  <si>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</si>
  <si>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</si>
  <si>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</si>
  <si>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</si>
  <si>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</si>
  <si>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</si>
  <si>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</si>
  <si>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</si>
  <si>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</si>
  <si>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</si>
  <si>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</si>
  <si>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</si>
  <si>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</si>
  <si>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</si>
  <si>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</si>
  <si>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</si>
  <si>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</si>
  <si>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</si>
  <si>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</si>
  <si>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</si>
  <si>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</si>
  <si>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</si>
  <si>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</si>
  <si>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</si>
  <si>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</si>
  <si>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</si>
  <si>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</si>
  <si>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</si>
  <si>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</si>
  <si>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</si>
  <si>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</si>
  <si>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</si>
  <si>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</si>
  <si>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</si>
  <si>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</si>
  <si>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</si>
  <si>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</si>
  <si>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</si>
  <si>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</si>
  <si>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</si>
  <si>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</si>
  <si>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</si>
  <si>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</si>
  <si>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</si>
  <si>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</si>
  <si>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</si>
  <si>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</si>
  <si>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</si>
  <si>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</si>
  <si>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</si>
  <si>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</si>
  <si>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</si>
  <si>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</si>
  <si>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</si>
  <si>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</si>
  <si>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</si>
  <si>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</si>
  <si>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</si>
  <si>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</si>
  <si>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</si>
  <si>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</si>
  <si>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</si>
  <si>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</si>
  <si>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</si>
  <si>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</si>
  <si>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</si>
  <si>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</si>
  <si>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</si>
  <si>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</si>
  <si>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</si>
  <si>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</si>
  <si>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</si>
  <si>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</si>
  <si>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</si>
  <si>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</si>
  <si>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</si>
  <si>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</si>
  <si>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</si>
  <si>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</si>
  <si>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</si>
  <si>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</si>
  <si>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</si>
  <si>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</si>
  <si>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</si>
  <si>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</si>
  <si>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</si>
  <si>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</si>
  <si>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</si>
  <si>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</si>
  <si>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</si>
  <si>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</si>
  <si>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</si>
  <si>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</si>
  <si>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</si>
  <si>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</si>
  <si>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</si>
  <si>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</si>
  <si>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</si>
  <si>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</si>
  <si>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</si>
  <si>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</si>
  <si>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</si>
  <si>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</si>
  <si>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</si>
  <si>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</si>
  <si>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</si>
  <si>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</si>
  <si>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</si>
  <si>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</si>
  <si>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</si>
  <si>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</si>
  <si>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</si>
  <si>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</si>
  <si>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</si>
  <si>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</si>
  <si>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</si>
  <si>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</si>
  <si>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</si>
  <si>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</si>
  <si>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</si>
  <si>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</si>
  <si>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</si>
  <si>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</si>
  <si>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</si>
  <si>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</si>
  <si>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</si>
  <si>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</si>
  <si>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</si>
  <si>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</si>
  <si>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</si>
  <si>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</si>
  <si>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</si>
  <si>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</si>
  <si>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</si>
  <si>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</si>
  <si>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</si>
  <si>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</si>
  <si>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</si>
  <si>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</si>
  <si>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</si>
  <si>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</si>
  <si>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</si>
  <si>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</si>
  <si>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</si>
  <si>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</si>
  <si>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</si>
  <si>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</si>
  <si>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</si>
  <si>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</si>
  <si>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</si>
  <si>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</si>
  <si>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</si>
  <si>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</si>
  <si>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</si>
  <si>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</si>
  <si>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</si>
  <si>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</si>
  <si>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</si>
  <si>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</si>
  <si>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</si>
  <si>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</si>
  <si>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</si>
  <si>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</si>
  <si>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</si>
  <si>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</si>
  <si>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</si>
  <si>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</si>
  <si>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</si>
  <si>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</si>
  <si>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</si>
  <si>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</si>
  <si>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</si>
  <si>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</si>
  <si>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</si>
  <si>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</si>
  <si>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</si>
  <si>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</si>
  <si>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30 to 34</t>
  </si>
  <si>
    <t>Crestwood Nursing &amp; Rehab (Warren)</t>
  </si>
  <si>
    <t>Crystal Lake Rehabilitation &amp; Care Center (Burrillville)</t>
  </si>
  <si>
    <t>40 to 44</t>
  </si>
  <si>
    <t>Eastgate Nursing &amp; Rehab (East Providence)</t>
  </si>
  <si>
    <t>Elmhurst Healthcare Center (Providence)</t>
  </si>
  <si>
    <t>90 to 94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</si>
  <si>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</si>
  <si>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</si>
  <si>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</si>
  <si>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</si>
  <si>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</si>
  <si>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</si>
  <si>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</si>
  <si>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</si>
  <si>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</si>
  <si>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</si>
  <si>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</si>
  <si>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</si>
  <si>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</si>
  <si>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</si>
  <si>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</si>
  <si>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</si>
  <si>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</si>
  <si>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</si>
  <si>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</si>
  <si>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</si>
  <si>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</si>
  <si>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</si>
  <si>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</si>
  <si>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</si>
  <si>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</si>
  <si>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</si>
  <si>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</si>
  <si>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</si>
  <si>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</si>
  <si>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</si>
  <si>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</si>
  <si>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</si>
  <si>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</si>
  <si>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</si>
  <si>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</si>
  <si>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</si>
  <si>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</si>
  <si>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</si>
  <si>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</si>
  <si>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</si>
  <si>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</si>
  <si>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</si>
  <si>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</si>
  <si>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</si>
  <si>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</si>
  <si>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</si>
  <si>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</si>
  <si>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</si>
  <si>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</si>
  <si>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</si>
  <si>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</si>
  <si>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</si>
  <si>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</si>
  <si>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</si>
  <si>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3095 to 3099</t>
  </si>
  <si>
    <t>835 to 839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</si>
  <si>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</si>
  <si>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</si>
  <si>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</si>
  <si>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</si>
  <si>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</si>
  <si>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</si>
  <si>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</si>
  <si>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</si>
  <si>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</si>
  <si>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</si>
  <si>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</si>
  <si>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</si>
  <si>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</si>
  <si>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</si>
  <si>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</si>
  <si>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</si>
  <si>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</si>
  <si>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</si>
  <si>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</si>
  <si>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10/21/2020.</t>
  </si>
  <si>
    <t>Number of COVID-19 Cases by School and Learning Style</t>
  </si>
  <si>
    <t>Data last updated 10/21/2020 and include positive cases as of 10/17/2020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</si>
  <si>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</si>
  <si>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</si>
  <si>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</si>
  <si>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</si>
  <si>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</si>
  <si>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</si>
  <si>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</si>
  <si>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</si>
  <si>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</si>
  <si>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</si>
  <si>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</si>
  <si>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</si>
  <si>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</si>
  <si>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</si>
  <si>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</si>
  <si>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</si>
  <si>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</si>
  <si>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</si>
  <si>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High School (HS)</t>
  </si>
  <si>
    <t>Guiteras School</t>
  </si>
  <si>
    <t>Bristol Warren</t>
  </si>
  <si>
    <t>Kickemuit Middle School</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</si>
  <si>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</si>
  <si>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</si>
  <si>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</si>
  <si>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</si>
  <si>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</si>
  <si>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</si>
  <si>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</si>
  <si>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</si>
  <si>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</si>
  <si>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Augustine School</t>
  </si>
  <si>
    <t>St. Mary Academy-Bay View</t>
  </si>
  <si>
    <t>St. Paul School</t>
  </si>
  <si>
    <t>St. Raphael Academy</t>
  </si>
  <si>
    <t>St. Rose of Lima School</t>
  </si>
  <si>
    <t>Central Falls Senior High School</t>
  </si>
  <si>
    <t>Dr. Earl F. Calcutt Middle School</t>
  </si>
  <si>
    <t>Ella Risk School</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</si>
  <si>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</si>
  <si>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</si>
  <si>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</si>
  <si>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</si>
  <si>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</si>
  <si>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</si>
  <si>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</si>
  <si>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</si>
  <si>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</si>
  <si>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</si>
  <si>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</si>
  <si>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</si>
  <si>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</si>
  <si>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</si>
  <si>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</si>
  <si>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</si>
  <si>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</si>
  <si>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</si>
  <si>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</si>
  <si>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</si>
  <si>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</si>
  <si>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</si>
  <si>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</si>
  <si>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</si>
  <si>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</si>
  <si>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</si>
  <si>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</si>
  <si>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</si>
  <si>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</si>
  <si>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</si>
  <si>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</si>
  <si>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</si>
  <si>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</si>
  <si>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</si>
  <si>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</si>
  <si>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</si>
  <si>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</si>
  <si>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</si>
  <si>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</si>
  <si>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</si>
  <si>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</si>
  <si>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</si>
  <si>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</si>
  <si>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</si>
  <si>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</si>
  <si>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</si>
  <si>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</si>
  <si>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</si>
  <si>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</si>
  <si>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Thornton School</t>
  </si>
  <si>
    <t>Winsor Hill School</t>
  </si>
  <si>
    <t>Lincoln Senior High School</t>
  </si>
  <si>
    <t>Wilbur and McMahon Schools</t>
  </si>
  <si>
    <t>Metropolitan Regional Career and Technical Center</t>
  </si>
  <si>
    <t>MET Career and Tech</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</si>
  <si>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</si>
  <si>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</si>
  <si>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</si>
  <si>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</si>
  <si>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</si>
  <si>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</si>
  <si>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</si>
  <si>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</si>
  <si>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James L. McGuire School</t>
  </si>
  <si>
    <t>North Providence High School</t>
  </si>
  <si>
    <t>Stephen Olney School</t>
  </si>
  <si>
    <t>North Smithfield Elementary School</t>
  </si>
  <si>
    <t>North Smithfield High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</si>
  <si>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</si>
  <si>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</si>
  <si>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</si>
  <si>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</si>
  <si>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</si>
  <si>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</si>
  <si>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</si>
  <si>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</si>
  <si>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</si>
  <si>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</si>
  <si>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</si>
  <si>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</si>
  <si>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Community Preparatory School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</si>
  <si>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</si>
  <si>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</si>
  <si>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</si>
  <si>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</si>
  <si>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</si>
  <si>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</si>
  <si>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</si>
  <si>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</si>
  <si>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</si>
  <si>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</si>
  <si>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</si>
  <si>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</si>
  <si>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Wheeler School</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</si>
  <si>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</si>
  <si>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</si>
  <si>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</si>
  <si>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</si>
  <si>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</si>
  <si>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</si>
  <si>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</si>
  <si>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</si>
  <si>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</si>
  <si>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</si>
  <si>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</si>
  <si>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</si>
  <si>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</si>
  <si>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</si>
  <si>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Harry Kizirian Elementary School</t>
  </si>
  <si>
    <t>Hope High School</t>
  </si>
  <si>
    <t>Juanita Sanchez Educational Complex</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</si>
  <si>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</si>
  <si>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</si>
  <si>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</si>
  <si>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</si>
  <si>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</si>
  <si>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</si>
  <si>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</si>
  <si>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</si>
  <si>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</si>
  <si>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</si>
  <si>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</si>
  <si>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</si>
  <si>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</si>
  <si>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</si>
  <si>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</si>
  <si>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</si>
  <si>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</si>
  <si>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</si>
  <si>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</si>
  <si>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</si>
  <si>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</si>
  <si>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</si>
  <si>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</si>
  <si>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</si>
  <si>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Sheila Skip Nowell Leadership Academy (Capital Campus)</t>
  </si>
  <si>
    <t>Sheila Skip Nowell Leadership Academy</t>
  </si>
  <si>
    <t>Anna M. McCabe School</t>
  </si>
  <si>
    <t>Old County Road School</t>
  </si>
  <si>
    <t>Raymond C. LaPerche School</t>
  </si>
  <si>
    <t>Smithfield Senior High School</t>
  </si>
  <si>
    <t>Vincent J. Gallagher Middle School</t>
  </si>
  <si>
    <t>South Kingstown High School</t>
  </si>
  <si>
    <t>The Greene School</t>
  </si>
  <si>
    <t>The Hope Academy</t>
  </si>
  <si>
    <t>Tiverton High School</t>
  </si>
  <si>
    <t>Tiverton Middle School</t>
  </si>
  <si>
    <t>Urban Collaborative Accelerated Program</t>
  </si>
  <si>
    <t>Urban Collaborative</t>
  </si>
  <si>
    <t>Toll Gate High School</t>
  </si>
  <si>
    <t>Warwick Veterans Middle School</t>
  </si>
  <si>
    <t>West Bay Collaborative</t>
  </si>
  <si>
    <t>John F. Deering Middle School</t>
  </si>
  <si>
    <t>Springbrook Elementary School</t>
  </si>
  <si>
    <t>Westerly High School</t>
  </si>
  <si>
    <t>Westerly Middle School</t>
  </si>
  <si>
    <t>Bernon Heights School</t>
  </si>
  <si>
    <t>Globe Park School</t>
  </si>
  <si>
    <t>Harris School</t>
  </si>
  <si>
    <t>Kevin K. Coleman Elementary School</t>
  </si>
  <si>
    <t>Woonsocket High School</t>
  </si>
  <si>
    <t>Other*</t>
  </si>
  <si>
    <t>N/A</t>
  </si>
  <si>
    <t>Total:</t>
  </si>
  <si>
    <t>330 to 334</t>
  </si>
  <si>
    <t>Virtual Learning‡</t>
  </si>
  <si>
    <t>Blackstone Valley Prep Elementary School (ES1)</t>
  </si>
  <si>
    <t>Blackstone Valley Prep Upper Elementary School (UES)</t>
  </si>
  <si>
    <t>Burrillville High School</t>
  </si>
  <si>
    <t>Burrillville Middle School</t>
  </si>
  <si>
    <t>St. Teresa School</t>
  </si>
  <si>
    <t>Cranston High School East</t>
  </si>
  <si>
    <t>Daniel D. Waterman School</t>
  </si>
  <si>
    <t>Hope Highlands Middle School</t>
  </si>
  <si>
    <t>Oak Lawn School</t>
  </si>
  <si>
    <t>Orchard Farms Elementary School</t>
  </si>
  <si>
    <t>Park View Middle School</t>
  </si>
  <si>
    <t>Western Hills Middle School</t>
  </si>
  <si>
    <t>Community School</t>
  </si>
  <si>
    <t>John J. McLaughlin Cumberland Hill School</t>
  </si>
  <si>
    <t>Joseph L. McCourt Middle School</t>
  </si>
  <si>
    <t>Exeter-West Greenwich Regional Junior High</t>
  </si>
  <si>
    <t>International Charter School</t>
  </si>
  <si>
    <t>International Charter</t>
  </si>
  <si>
    <t>The Learning Community Charter School</t>
  </si>
  <si>
    <t>Learning Community</t>
  </si>
  <si>
    <t>Saylesville Elementary School</t>
  </si>
  <si>
    <t>Forest Park Elementary School</t>
  </si>
  <si>
    <t>Greystone School</t>
  </si>
  <si>
    <t>North Smithfield Middle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</si>
  <si>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</si>
  <si>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</si>
  <si>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</si>
  <si>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</si>
  <si>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</si>
  <si>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</si>
  <si>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</si>
  <si>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</si>
  <si>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</si>
  <si>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Portsmouth High School</t>
  </si>
  <si>
    <t>Portsmouth Middle School</t>
  </si>
  <si>
    <t>Kid's Kingdom</t>
  </si>
  <si>
    <t>Mount Pleasant Academy</t>
  </si>
  <si>
    <t>Ocean State Academy</t>
  </si>
  <si>
    <t>San Miguel School</t>
  </si>
  <si>
    <t>Trinity Christian Academy</t>
  </si>
  <si>
    <t>360 High School</t>
  </si>
  <si>
    <t>Alan Shawn Feinstein Elementary at Broad Street</t>
  </si>
  <si>
    <t>Gilbert Stuart Middle School</t>
  </si>
  <si>
    <t>Governor Christopher DelSesto Middle School</t>
  </si>
  <si>
    <t>Lillian Feinstein Elementary Sackett Street</t>
  </si>
  <si>
    <t>Providence Virtual Learning Academy</t>
  </si>
  <si>
    <t>The Sgt. Cornel Young Jr &amp; Charlotte Woods Elementary School @ The B. Jae Clanton Complex</t>
  </si>
  <si>
    <t>RI Nurses Institute Middle College Charter High School</t>
  </si>
  <si>
    <t>Rhode Island Nurses Institute Middle College</t>
  </si>
  <si>
    <t>Scituate High School</t>
  </si>
  <si>
    <t>Segue Institute for Learning</t>
  </si>
  <si>
    <t>Village Green Virtual Charter School</t>
  </si>
  <si>
    <t>Village Green Virtual</t>
  </si>
  <si>
    <t>Cedar Hill School</t>
  </si>
  <si>
    <t>Cottrell F. Hoxsie School</t>
  </si>
  <si>
    <t>Lippitt School</t>
  </si>
  <si>
    <t>Pilgrim High School</t>
  </si>
  <si>
    <t>Warwick Neck School</t>
  </si>
  <si>
    <t>Winman Middle School</t>
  </si>
  <si>
    <t>Greenbush Elementary School</t>
  </si>
  <si>
    <t>Woonsocket Middle School at Hamlet</t>
  </si>
  <si>
    <t>Woonsocket Middle School at Villa Nova</t>
  </si>
  <si>
    <t>245 to 249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</si>
  <si>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10/21/2020.
 †New cases in past 7 days include positive cases between 10/11/2020 and 10/17/2020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</si>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</sst>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9">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28" numFmtId="0" xfId="0" applyAlignment="1" applyBorder="1" applyFont="1">
      <alignment horizontal="right" readingOrder="0" shrinkToFit="0" vertical="bottom" wrapText="0"/>
    </xf>
    <xf borderId="5" fillId="0" fontId="28" numFmtId="0" xfId="0" applyAlignment="1" applyBorder="1" applyFont="1">
      <alignment horizontal="center" readingOrder="0" shrinkToFit="0" vertical="bottom" wrapText="0"/>
    </xf>
    <xf borderId="6" fillId="16" fontId="28" numFmtId="0" xfId="0" applyAlignment="1" applyBorder="1" applyFont="1">
      <alignment horizontal="left" readingOrder="0" shrinkToFit="0" vertical="bottom" wrapText="0"/>
    </xf>
    <xf borderId="2" fillId="0" fontId="28"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44125.0</v>
      </c>
    </row>
    <row r="2" ht="14.25" customHeight="1">
      <c r="A2" s="3" t="s">
        <v>1</v>
      </c>
      <c r="B2" s="4">
        <v>312.0</v>
      </c>
    </row>
    <row r="3" ht="14.25" customHeight="1">
      <c r="A3" s="3" t="s">
        <v>2</v>
      </c>
      <c r="B3" s="4">
        <v>261.0</v>
      </c>
    </row>
    <row r="4" ht="14.25" customHeight="1">
      <c r="A4" s="3" t="s">
        <v>3</v>
      </c>
      <c r="B4" s="4">
        <v>39324.0</v>
      </c>
    </row>
    <row r="5" ht="14.25" customHeight="1">
      <c r="A5" s="3" t="s">
        <v>4</v>
      </c>
      <c r="B5" s="4">
        <v>10568.0</v>
      </c>
    </row>
    <row r="6" ht="14.25" customHeight="1">
      <c r="A6" s="5" t="s">
        <v>5</v>
      </c>
      <c r="B6" s="4">
        <v>959236.0</v>
      </c>
    </row>
    <row r="7" ht="14.25" customHeight="1">
      <c r="A7" s="6" t="s">
        <v>6</v>
      </c>
      <c r="B7" s="4">
        <v>10880.0</v>
      </c>
    </row>
    <row r="8" ht="14.25" customHeight="1">
      <c r="A8" s="6" t="s">
        <v>7</v>
      </c>
      <c r="B8" s="7">
        <v>998560.0</v>
      </c>
    </row>
    <row r="9" ht="14.25" customHeight="1">
      <c r="A9" s="8" t="s">
        <v>8</v>
      </c>
      <c r="B9" s="7">
        <v>284.0</v>
      </c>
    </row>
    <row r="10" ht="14.25" customHeight="1">
      <c r="A10" s="9" t="s">
        <v>9</v>
      </c>
      <c r="B10" s="7">
        <v>242.0</v>
      </c>
    </row>
    <row r="11" ht="14.25" customHeight="1">
      <c r="A11" s="8" t="s">
        <v>10</v>
      </c>
      <c r="B11" s="7">
        <v>29123.0</v>
      </c>
    </row>
    <row r="12" ht="14.25" customHeight="1">
      <c r="A12" s="8" t="s">
        <v>11</v>
      </c>
      <c r="B12" s="7">
        <v>2230.0</v>
      </c>
    </row>
    <row r="13" ht="14.25" customHeight="1">
      <c r="A13" s="8" t="s">
        <v>12</v>
      </c>
      <c r="B13" s="7">
        <v>375557.0</v>
      </c>
    </row>
    <row r="14" ht="15.0" customHeight="1">
      <c r="A14" s="8" t="s">
        <v>13</v>
      </c>
      <c r="B14" s="7">
        <v>404680.0</v>
      </c>
    </row>
    <row r="15" ht="14.25" customHeight="1">
      <c r="A15" s="10" t="s">
        <v>14</v>
      </c>
      <c r="B15" s="4">
        <v>13.0</v>
      </c>
    </row>
    <row r="16" ht="14.25" customHeight="1">
      <c r="A16" s="10" t="s">
        <v>15</v>
      </c>
      <c r="B16" s="4">
        <v>3091.0</v>
      </c>
    </row>
    <row r="17" ht="14.25" customHeight="1">
      <c r="A17" s="10" t="s">
        <v>16</v>
      </c>
      <c r="B17" s="4">
        <v>22.0</v>
      </c>
    </row>
    <row r="18" ht="14.25" customHeight="1">
      <c r="A18" s="10" t="s">
        <v>17</v>
      </c>
      <c r="B18" s="4">
        <v>2580.0</v>
      </c>
    </row>
    <row r="19" ht="14.25" customHeight="1">
      <c r="A19" s="10" t="s">
        <v>18</v>
      </c>
      <c r="B19" s="4">
        <v>2.0</v>
      </c>
    </row>
    <row r="20" ht="14.25" customHeight="1">
      <c r="A20" s="10" t="s">
        <v>19</v>
      </c>
      <c r="B20" s="4">
        <v>381.0</v>
      </c>
    </row>
    <row r="21" ht="14.25" customHeight="1">
      <c r="A21" s="10" t="s">
        <v>20</v>
      </c>
      <c r="B21" s="7">
        <v>130.0</v>
      </c>
    </row>
    <row r="22" ht="14.25" customHeight="1">
      <c r="A22" s="10" t="s">
        <v>21</v>
      </c>
      <c r="B22" s="7">
        <v>136.0</v>
      </c>
    </row>
    <row r="23" ht="14.25" customHeight="1">
      <c r="A23" s="10" t="s">
        <v>22</v>
      </c>
      <c r="B23" s="7">
        <v>14.0</v>
      </c>
    </row>
    <row r="24" ht="14.25" customHeight="1">
      <c r="A24" s="10" t="s">
        <v>23</v>
      </c>
      <c r="B24" s="7">
        <v>6.0</v>
      </c>
    </row>
    <row r="25" ht="14.25" customHeight="1">
      <c r="A25" s="11" t="s">
        <v>24</v>
      </c>
      <c r="B25" s="7">
        <v>5.0</v>
      </c>
    </row>
    <row r="26" ht="14.25" customHeight="1">
      <c r="A26" s="12" t="s">
        <v>25</v>
      </c>
      <c r="B26" s="7">
        <v>1169.0</v>
      </c>
    </row>
    <row r="27" ht="14.25" customHeight="1">
      <c r="A27" s="13" t="s">
        <v>26</v>
      </c>
      <c r="B27" s="7">
        <v>988359.0</v>
      </c>
    </row>
    <row r="28" ht="14.25" customHeight="1">
      <c r="A28" s="13" t="s">
        <v>27</v>
      </c>
      <c r="B28" s="7">
        <v>10852.0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213</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214</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172</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173</v>
      </c>
      <c r="C8" s="144" t="s">
        <v>174</v>
      </c>
      <c r="D8" s="144" t="s">
        <v>175</v>
      </c>
      <c r="E8" s="144" t="s">
        <v>176</v>
      </c>
      <c r="F8" s="144" t="s">
        <v>177</v>
      </c>
      <c r="G8" s="144" t="s">
        <v>178</v>
      </c>
      <c r="H8" s="144" t="s">
        <v>179</v>
      </c>
      <c r="I8" s="144" t="s">
        <v>180</v>
      </c>
      <c r="J8" s="144" t="s">
        <v>181</v>
      </c>
      <c r="K8" s="144" t="s">
        <v>182</v>
      </c>
      <c r="L8" s="144" t="s">
        <v>183</v>
      </c>
      <c r="M8" s="144" t="s">
        <v>184</v>
      </c>
      <c r="N8" s="144" t="s">
        <v>185</v>
      </c>
      <c r="O8" s="144" t="s">
        <v>186</v>
      </c>
      <c r="P8" s="144" t="s">
        <v>187</v>
      </c>
      <c r="Q8" s="144" t="s">
        <v>188</v>
      </c>
      <c r="R8" s="144" t="s">
        <v>189</v>
      </c>
      <c r="S8" s="144" t="s">
        <v>190</v>
      </c>
      <c r="T8" s="144" t="s">
        <v>191</v>
      </c>
      <c r="U8" s="144" t="s">
        <v>192</v>
      </c>
      <c r="V8" s="144" t="s">
        <v>193</v>
      </c>
      <c r="W8" s="144" t="s">
        <v>194</v>
      </c>
      <c r="X8" s="144" t="s">
        <v>195</v>
      </c>
      <c r="Y8" s="144" t="s">
        <v>196</v>
      </c>
      <c r="Z8" s="144" t="s">
        <v>197</v>
      </c>
      <c r="AA8" s="144" t="s">
        <v>198</v>
      </c>
      <c r="AB8" s="144" t="s">
        <v>199</v>
      </c>
      <c r="AC8" s="144" t="s">
        <v>200</v>
      </c>
      <c r="AD8" s="144" t="s">
        <v>201</v>
      </c>
      <c r="AE8" s="144" t="s">
        <v>202</v>
      </c>
      <c r="AF8" s="144" t="s">
        <v>203</v>
      </c>
      <c r="AG8" s="144" t="s">
        <v>204</v>
      </c>
      <c r="AH8" s="144" t="s">
        <v>205</v>
      </c>
      <c r="AI8" s="144" t="s">
        <v>206</v>
      </c>
      <c r="AJ8" s="144" t="s">
        <v>207</v>
      </c>
      <c r="AK8" s="144" t="s">
        <v>208</v>
      </c>
      <c r="AL8" s="144" t="s">
        <v>209</v>
      </c>
      <c r="AM8" s="144" t="s">
        <v>210</v>
      </c>
      <c r="AN8" s="144" t="s">
        <v>211</v>
      </c>
      <c r="AO8" s="144" t="s">
        <v>167</v>
      </c>
    </row>
    <row r="9">
      <c r="A9" s="145" t="s">
        <v>215</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115</v>
      </c>
      <c r="H10" s="97">
        <v>0.0</v>
      </c>
      <c r="I10" s="97" t="s">
        <v>115</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115</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115</v>
      </c>
    </row>
    <row r="11">
      <c r="A11" s="145" t="s">
        <v>80</v>
      </c>
      <c r="B11" s="97" t="s">
        <v>115</v>
      </c>
      <c r="C11" s="97">
        <v>0.0</v>
      </c>
      <c r="D11" s="97" t="s">
        <v>115</v>
      </c>
      <c r="E11" s="97">
        <v>0.0</v>
      </c>
      <c r="F11" s="97">
        <v>0.0</v>
      </c>
      <c r="G11" s="97">
        <v>0.0</v>
      </c>
      <c r="H11" s="97" t="s">
        <v>115</v>
      </c>
      <c r="I11" s="97">
        <v>0.0</v>
      </c>
      <c r="J11" s="97">
        <v>0.0</v>
      </c>
      <c r="K11" s="97" t="s">
        <v>115</v>
      </c>
      <c r="L11" s="97">
        <v>0.0</v>
      </c>
      <c r="M11" s="97">
        <v>0.0</v>
      </c>
      <c r="N11" s="97">
        <v>0.0</v>
      </c>
      <c r="O11" s="97">
        <v>0.0</v>
      </c>
      <c r="P11" s="97">
        <v>0.0</v>
      </c>
      <c r="Q11" s="97">
        <v>0.0</v>
      </c>
      <c r="R11" s="97" t="s">
        <v>115</v>
      </c>
      <c r="S11" s="97">
        <v>0.0</v>
      </c>
      <c r="T11" s="97" t="s">
        <v>115</v>
      </c>
      <c r="U11" s="97" t="s">
        <v>115</v>
      </c>
      <c r="V11" s="97">
        <v>0.0</v>
      </c>
      <c r="W11" s="97">
        <v>0.0</v>
      </c>
      <c r="X11" s="97">
        <v>0.0</v>
      </c>
      <c r="Y11" s="97">
        <v>0.0</v>
      </c>
      <c r="Z11" s="97">
        <v>0.0</v>
      </c>
      <c r="AA11" s="97">
        <v>0.0</v>
      </c>
      <c r="AB11" s="97">
        <v>0.0</v>
      </c>
      <c r="AC11" s="97" t="s">
        <v>115</v>
      </c>
      <c r="AD11" s="97">
        <v>0.0</v>
      </c>
      <c r="AE11" s="97" t="s">
        <v>115</v>
      </c>
      <c r="AF11" s="97">
        <v>0.0</v>
      </c>
      <c r="AG11" s="97">
        <v>0.0</v>
      </c>
      <c r="AH11" s="97">
        <v>0.0</v>
      </c>
      <c r="AI11" s="97">
        <v>0.0</v>
      </c>
      <c r="AJ11" s="97" t="s">
        <v>115</v>
      </c>
      <c r="AK11" s="97">
        <v>0.0</v>
      </c>
      <c r="AL11" s="97">
        <v>0.0</v>
      </c>
      <c r="AM11" s="97" t="s">
        <v>115</v>
      </c>
      <c r="AN11" s="97">
        <v>0.0</v>
      </c>
      <c r="AO11" s="97">
        <v>1.0</v>
      </c>
    </row>
    <row r="12">
      <c r="A12" s="145" t="s">
        <v>81</v>
      </c>
      <c r="B12" s="97" t="s">
        <v>115</v>
      </c>
      <c r="C12" s="97" t="s">
        <v>115</v>
      </c>
      <c r="D12" s="97">
        <v>0.0</v>
      </c>
      <c r="E12" s="97" t="s">
        <v>115</v>
      </c>
      <c r="F12" s="97">
        <v>0.0</v>
      </c>
      <c r="G12" s="97" t="s">
        <v>115</v>
      </c>
      <c r="H12" s="97" t="s">
        <v>115</v>
      </c>
      <c r="I12" s="97" t="s">
        <v>115</v>
      </c>
      <c r="J12" s="97">
        <v>0.0</v>
      </c>
      <c r="K12" s="97" t="s">
        <v>115</v>
      </c>
      <c r="L12" s="97">
        <v>0.0</v>
      </c>
      <c r="M12" s="97" t="s">
        <v>115</v>
      </c>
      <c r="N12" s="97">
        <v>0.0</v>
      </c>
      <c r="O12" s="97">
        <v>0.0</v>
      </c>
      <c r="P12" s="97" t="s">
        <v>115</v>
      </c>
      <c r="Q12" s="97" t="s">
        <v>115</v>
      </c>
      <c r="R12" s="97">
        <v>0.0</v>
      </c>
      <c r="S12" s="97" t="s">
        <v>115</v>
      </c>
      <c r="T12" s="97" t="s">
        <v>115</v>
      </c>
      <c r="U12" s="97">
        <v>0.0</v>
      </c>
      <c r="V12" s="97">
        <v>0.0</v>
      </c>
      <c r="W12" s="97" t="s">
        <v>115</v>
      </c>
      <c r="X12" s="97">
        <v>0.0</v>
      </c>
      <c r="Y12" s="97">
        <v>0.0</v>
      </c>
      <c r="Z12" s="97" t="s">
        <v>115</v>
      </c>
      <c r="AA12" s="97" t="s">
        <v>115</v>
      </c>
      <c r="AB12" s="97" t="s">
        <v>115</v>
      </c>
      <c r="AC12" s="97">
        <v>14.0</v>
      </c>
      <c r="AD12" s="97">
        <v>0.0</v>
      </c>
      <c r="AE12" s="97" t="s">
        <v>115</v>
      </c>
      <c r="AF12" s="97">
        <v>0.0</v>
      </c>
      <c r="AG12" s="97" t="s">
        <v>115</v>
      </c>
      <c r="AH12" s="97">
        <v>0.0</v>
      </c>
      <c r="AI12" s="97" t="s">
        <v>115</v>
      </c>
      <c r="AJ12" s="97" t="s">
        <v>115</v>
      </c>
      <c r="AK12" s="97">
        <v>0.0</v>
      </c>
      <c r="AL12" s="97">
        <v>0.0</v>
      </c>
      <c r="AM12" s="97" t="s">
        <v>115</v>
      </c>
      <c r="AN12" s="97">
        <v>0.0</v>
      </c>
      <c r="AO12" s="97">
        <v>6.0</v>
      </c>
    </row>
    <row r="13">
      <c r="A13" s="145" t="s">
        <v>82</v>
      </c>
      <c r="B13" s="97">
        <v>31.0</v>
      </c>
      <c r="C13" s="97" t="s">
        <v>115</v>
      </c>
      <c r="D13" s="97">
        <v>30.0</v>
      </c>
      <c r="E13" s="97" t="s">
        <v>115</v>
      </c>
      <c r="F13" s="97" t="s">
        <v>115</v>
      </c>
      <c r="G13" s="97" t="s">
        <v>115</v>
      </c>
      <c r="H13" s="97">
        <v>33.0</v>
      </c>
      <c r="I13" s="97">
        <v>17.0</v>
      </c>
      <c r="J13" s="97">
        <v>0.0</v>
      </c>
      <c r="K13" s="97">
        <v>17.0</v>
      </c>
      <c r="L13" s="97" t="s">
        <v>115</v>
      </c>
      <c r="M13" s="97">
        <v>0.0</v>
      </c>
      <c r="N13" s="97">
        <v>0.0</v>
      </c>
      <c r="O13" s="97" t="s">
        <v>115</v>
      </c>
      <c r="P13" s="97">
        <v>0.0</v>
      </c>
      <c r="Q13" s="97" t="s">
        <v>115</v>
      </c>
      <c r="R13" s="97" t="s">
        <v>115</v>
      </c>
      <c r="S13" s="97">
        <v>0.0</v>
      </c>
      <c r="T13" s="97">
        <v>0.0</v>
      </c>
      <c r="U13" s="97" t="s">
        <v>115</v>
      </c>
      <c r="V13" s="97">
        <v>0.0</v>
      </c>
      <c r="W13" s="97" t="s">
        <v>115</v>
      </c>
      <c r="X13" s="97">
        <v>27.0</v>
      </c>
      <c r="Y13" s="97">
        <v>15.0</v>
      </c>
      <c r="Z13" s="97" t="s">
        <v>115</v>
      </c>
      <c r="AA13" s="97">
        <v>22.0</v>
      </c>
      <c r="AB13" s="97" t="s">
        <v>115</v>
      </c>
      <c r="AC13" s="97">
        <v>26.0</v>
      </c>
      <c r="AD13" s="97">
        <v>0.0</v>
      </c>
      <c r="AE13" s="97">
        <v>47.0</v>
      </c>
      <c r="AF13" s="97" t="s">
        <v>115</v>
      </c>
      <c r="AG13" s="97" t="s">
        <v>115</v>
      </c>
      <c r="AH13" s="97">
        <v>38.0</v>
      </c>
      <c r="AI13" s="97">
        <v>0.0</v>
      </c>
      <c r="AJ13" s="97">
        <v>19.0</v>
      </c>
      <c r="AK13" s="97">
        <v>0.0</v>
      </c>
      <c r="AL13" s="97">
        <v>21.0</v>
      </c>
      <c r="AM13" s="97" t="s">
        <v>115</v>
      </c>
      <c r="AN13" s="97" t="s">
        <v>115</v>
      </c>
      <c r="AO13" s="97">
        <v>19.0</v>
      </c>
    </row>
    <row r="14">
      <c r="A14" s="145" t="s">
        <v>83</v>
      </c>
      <c r="B14" s="97" t="s">
        <v>115</v>
      </c>
      <c r="C14" s="97">
        <v>27.0</v>
      </c>
      <c r="D14" s="97">
        <v>36.0</v>
      </c>
      <c r="E14" s="97">
        <v>52.0</v>
      </c>
      <c r="F14" s="97" t="s">
        <v>115</v>
      </c>
      <c r="G14" s="97">
        <v>35.0</v>
      </c>
      <c r="H14" s="97">
        <v>52.0</v>
      </c>
      <c r="I14" s="97">
        <v>49.0</v>
      </c>
      <c r="J14" s="97">
        <v>38.0</v>
      </c>
      <c r="K14" s="97">
        <v>32.0</v>
      </c>
      <c r="L14" s="97" t="s">
        <v>115</v>
      </c>
      <c r="M14" s="97">
        <v>0.0</v>
      </c>
      <c r="N14" s="97" t="s">
        <v>115</v>
      </c>
      <c r="O14" s="97" t="s">
        <v>115</v>
      </c>
      <c r="P14" s="97" t="s">
        <v>115</v>
      </c>
      <c r="Q14" s="97">
        <v>38.0</v>
      </c>
      <c r="R14" s="97">
        <v>42.0</v>
      </c>
      <c r="S14" s="97" t="s">
        <v>115</v>
      </c>
      <c r="T14" s="97" t="s">
        <v>115</v>
      </c>
      <c r="U14" s="97" t="s">
        <v>115</v>
      </c>
      <c r="V14" s="97" t="s">
        <v>115</v>
      </c>
      <c r="W14" s="97">
        <v>24.0</v>
      </c>
      <c r="X14" s="97">
        <v>31.0</v>
      </c>
      <c r="Y14" s="97">
        <v>80.0</v>
      </c>
      <c r="Z14" s="97" t="s">
        <v>115</v>
      </c>
      <c r="AA14" s="97">
        <v>77.0</v>
      </c>
      <c r="AB14" s="97">
        <v>40.0</v>
      </c>
      <c r="AC14" s="97">
        <v>63.0</v>
      </c>
      <c r="AD14" s="97">
        <v>0.0</v>
      </c>
      <c r="AE14" s="97" t="s">
        <v>115</v>
      </c>
      <c r="AF14" s="97">
        <v>37.0</v>
      </c>
      <c r="AG14" s="97">
        <v>26.0</v>
      </c>
      <c r="AH14" s="97">
        <v>32.0</v>
      </c>
      <c r="AI14" s="97" t="s">
        <v>115</v>
      </c>
      <c r="AJ14" s="97">
        <v>36.0</v>
      </c>
      <c r="AK14" s="97" t="s">
        <v>115</v>
      </c>
      <c r="AL14" s="97">
        <v>52.0</v>
      </c>
      <c r="AM14" s="97">
        <v>40.0</v>
      </c>
      <c r="AN14" s="97">
        <v>26.0</v>
      </c>
      <c r="AO14" s="97">
        <v>46.0</v>
      </c>
    </row>
    <row r="15">
      <c r="A15" s="145" t="s">
        <v>84</v>
      </c>
      <c r="B15" s="97">
        <v>37.0</v>
      </c>
      <c r="C15" s="97">
        <v>40.0</v>
      </c>
      <c r="D15" s="97">
        <v>79.0</v>
      </c>
      <c r="E15" s="97">
        <v>248.0</v>
      </c>
      <c r="F15" s="97" t="s">
        <v>115</v>
      </c>
      <c r="G15" s="97">
        <v>67.0</v>
      </c>
      <c r="H15" s="97">
        <v>134.0</v>
      </c>
      <c r="I15" s="97">
        <v>121.0</v>
      </c>
      <c r="J15" s="97">
        <v>99.0</v>
      </c>
      <c r="K15" s="97">
        <v>131.0</v>
      </c>
      <c r="L15" s="97" t="s">
        <v>115</v>
      </c>
      <c r="M15" s="97">
        <v>107.0</v>
      </c>
      <c r="N15" s="97" t="s">
        <v>115</v>
      </c>
      <c r="O15" s="97" t="s">
        <v>115</v>
      </c>
      <c r="P15" s="97" t="s">
        <v>115</v>
      </c>
      <c r="Q15" s="97">
        <v>130.0</v>
      </c>
      <c r="R15" s="97">
        <v>88.0</v>
      </c>
      <c r="S15" s="97" t="s">
        <v>115</v>
      </c>
      <c r="T15" s="97">
        <v>37.0</v>
      </c>
      <c r="U15" s="97">
        <v>84.0</v>
      </c>
      <c r="V15" s="97">
        <v>0.0</v>
      </c>
      <c r="W15" s="97">
        <v>32.0</v>
      </c>
      <c r="X15" s="97">
        <v>84.0</v>
      </c>
      <c r="Y15" s="97">
        <v>182.0</v>
      </c>
      <c r="Z15" s="97">
        <v>40.0</v>
      </c>
      <c r="AA15" s="97">
        <v>201.0</v>
      </c>
      <c r="AB15" s="97" t="s">
        <v>115</v>
      </c>
      <c r="AC15" s="97">
        <v>293.0</v>
      </c>
      <c r="AD15" s="97" t="s">
        <v>115</v>
      </c>
      <c r="AE15" s="97">
        <v>57.0</v>
      </c>
      <c r="AF15" s="97">
        <v>83.0</v>
      </c>
      <c r="AG15" s="97">
        <v>62.0</v>
      </c>
      <c r="AH15" s="97">
        <v>89.0</v>
      </c>
      <c r="AI15" s="97" t="s">
        <v>115</v>
      </c>
      <c r="AJ15" s="97">
        <v>81.0</v>
      </c>
      <c r="AK15" s="97">
        <v>81.0</v>
      </c>
      <c r="AL15" s="97">
        <v>73.0</v>
      </c>
      <c r="AM15" s="97">
        <v>35.0</v>
      </c>
      <c r="AN15" s="97">
        <v>91.0</v>
      </c>
      <c r="AO15" s="97">
        <v>137.0</v>
      </c>
    </row>
    <row r="16">
      <c r="A16" s="145" t="s">
        <v>85</v>
      </c>
      <c r="B16" s="97" t="s">
        <v>115</v>
      </c>
      <c r="C16" s="97">
        <v>58.0</v>
      </c>
      <c r="D16" s="97">
        <v>49.0</v>
      </c>
      <c r="E16" s="97">
        <v>578.0</v>
      </c>
      <c r="F16" s="97" t="s">
        <v>115</v>
      </c>
      <c r="G16" s="97">
        <v>52.0</v>
      </c>
      <c r="H16" s="97">
        <v>170.0</v>
      </c>
      <c r="I16" s="97">
        <v>81.0</v>
      </c>
      <c r="J16" s="97">
        <v>38.0</v>
      </c>
      <c r="K16" s="97">
        <v>112.0</v>
      </c>
      <c r="L16" s="97" t="s">
        <v>115</v>
      </c>
      <c r="M16" s="97" t="s">
        <v>115</v>
      </c>
      <c r="N16" s="97">
        <v>60.0</v>
      </c>
      <c r="O16" s="97">
        <v>0.0</v>
      </c>
      <c r="P16" s="97" t="s">
        <v>115</v>
      </c>
      <c r="Q16" s="97">
        <v>133.0</v>
      </c>
      <c r="R16" s="97">
        <v>92.0</v>
      </c>
      <c r="S16" s="97" t="s">
        <v>115</v>
      </c>
      <c r="T16" s="97" t="s">
        <v>115</v>
      </c>
      <c r="U16" s="97" t="s">
        <v>115</v>
      </c>
      <c r="V16" s="97">
        <v>0.0</v>
      </c>
      <c r="W16" s="97">
        <v>0.0</v>
      </c>
      <c r="X16" s="97">
        <v>23.0</v>
      </c>
      <c r="Y16" s="97">
        <v>259.0</v>
      </c>
      <c r="Z16" s="97" t="s">
        <v>115</v>
      </c>
      <c r="AA16" s="97">
        <v>288.0</v>
      </c>
      <c r="AB16" s="97" t="s">
        <v>115</v>
      </c>
      <c r="AC16" s="97">
        <v>349.0</v>
      </c>
      <c r="AD16" s="97" t="s">
        <v>115</v>
      </c>
      <c r="AE16" s="97">
        <v>57.0</v>
      </c>
      <c r="AF16" s="97">
        <v>37.0</v>
      </c>
      <c r="AG16" s="97">
        <v>33.0</v>
      </c>
      <c r="AH16" s="97">
        <v>51.0</v>
      </c>
      <c r="AI16" s="97" t="s">
        <v>115</v>
      </c>
      <c r="AJ16" s="97">
        <v>76.0</v>
      </c>
      <c r="AK16" s="97" t="s">
        <v>115</v>
      </c>
      <c r="AL16" s="97">
        <v>107.0</v>
      </c>
      <c r="AM16" s="97">
        <v>27.0</v>
      </c>
      <c r="AN16" s="97">
        <v>113.0</v>
      </c>
      <c r="AO16" s="97">
        <v>153.0</v>
      </c>
    </row>
    <row r="17">
      <c r="A17" s="145" t="s">
        <v>86</v>
      </c>
      <c r="B17" s="97">
        <v>37.0</v>
      </c>
      <c r="C17" s="97">
        <v>54.0</v>
      </c>
      <c r="D17" s="97">
        <v>61.0</v>
      </c>
      <c r="E17" s="97">
        <v>903.0</v>
      </c>
      <c r="F17" s="97" t="s">
        <v>115</v>
      </c>
      <c r="G17" s="97">
        <v>46.0</v>
      </c>
      <c r="H17" s="97">
        <v>153.0</v>
      </c>
      <c r="I17" s="97">
        <v>101.0</v>
      </c>
      <c r="J17" s="97">
        <v>92.0</v>
      </c>
      <c r="K17" s="97">
        <v>103.0</v>
      </c>
      <c r="L17" s="97">
        <v>74.0</v>
      </c>
      <c r="M17" s="97" t="s">
        <v>115</v>
      </c>
      <c r="N17" s="97">
        <v>70.0</v>
      </c>
      <c r="O17" s="97" t="s">
        <v>115</v>
      </c>
      <c r="P17" s="97" t="s">
        <v>115</v>
      </c>
      <c r="Q17" s="97">
        <v>151.0</v>
      </c>
      <c r="R17" s="97">
        <v>106.0</v>
      </c>
      <c r="S17" s="97">
        <v>0.0</v>
      </c>
      <c r="T17" s="97">
        <v>37.0</v>
      </c>
      <c r="U17" s="97">
        <v>64.0</v>
      </c>
      <c r="V17" s="97">
        <v>0.0</v>
      </c>
      <c r="W17" s="97">
        <v>36.0</v>
      </c>
      <c r="X17" s="97">
        <v>61.0</v>
      </c>
      <c r="Y17" s="97">
        <v>246.0</v>
      </c>
      <c r="Z17" s="97">
        <v>49.0</v>
      </c>
      <c r="AA17" s="97">
        <v>369.0</v>
      </c>
      <c r="AB17" s="97">
        <v>29.0</v>
      </c>
      <c r="AC17" s="97">
        <v>455.0</v>
      </c>
      <c r="AD17" s="97">
        <v>66.0</v>
      </c>
      <c r="AE17" s="97">
        <v>57.0</v>
      </c>
      <c r="AF17" s="97">
        <v>83.0</v>
      </c>
      <c r="AG17" s="97">
        <v>23.0</v>
      </c>
      <c r="AH17" s="97">
        <v>76.0</v>
      </c>
      <c r="AI17" s="97">
        <v>133.0</v>
      </c>
      <c r="AJ17" s="97">
        <v>73.0</v>
      </c>
      <c r="AK17" s="97" t="s">
        <v>115</v>
      </c>
      <c r="AL17" s="97">
        <v>117.0</v>
      </c>
      <c r="AM17" s="97">
        <v>66.0</v>
      </c>
      <c r="AN17" s="97">
        <v>118.0</v>
      </c>
      <c r="AO17" s="97">
        <v>190.0</v>
      </c>
    </row>
    <row r="18">
      <c r="A18" s="145" t="s">
        <v>87</v>
      </c>
      <c r="B18" s="97" t="s">
        <v>115</v>
      </c>
      <c r="C18" s="97">
        <v>45.0</v>
      </c>
      <c r="D18" s="97">
        <v>61.0</v>
      </c>
      <c r="E18" s="97">
        <v>691.0</v>
      </c>
      <c r="F18" s="97" t="s">
        <v>115</v>
      </c>
      <c r="G18" s="97">
        <v>35.0</v>
      </c>
      <c r="H18" s="97">
        <v>134.0</v>
      </c>
      <c r="I18" s="97">
        <v>61.0</v>
      </c>
      <c r="J18" s="97">
        <v>76.0</v>
      </c>
      <c r="K18" s="97">
        <v>89.0</v>
      </c>
      <c r="L18" s="97" t="s">
        <v>115</v>
      </c>
      <c r="M18" s="97" t="s">
        <v>115</v>
      </c>
      <c r="N18" s="97" t="s">
        <v>115</v>
      </c>
      <c r="O18" s="97">
        <v>0.0</v>
      </c>
      <c r="P18" s="97">
        <v>0.0</v>
      </c>
      <c r="Q18" s="97">
        <v>86.0</v>
      </c>
      <c r="R18" s="97">
        <v>88.0</v>
      </c>
      <c r="S18" s="97">
        <v>0.0</v>
      </c>
      <c r="T18" s="97" t="s">
        <v>115</v>
      </c>
      <c r="U18" s="97" t="s">
        <v>115</v>
      </c>
      <c r="V18" s="97">
        <v>0.0</v>
      </c>
      <c r="W18" s="97">
        <v>32.0</v>
      </c>
      <c r="X18" s="97">
        <v>19.0</v>
      </c>
      <c r="Y18" s="97">
        <v>176.0</v>
      </c>
      <c r="Z18" s="97" t="s">
        <v>115</v>
      </c>
      <c r="AA18" s="97">
        <v>280.0</v>
      </c>
      <c r="AB18" s="97" t="s">
        <v>115</v>
      </c>
      <c r="AC18" s="97">
        <v>389.0</v>
      </c>
      <c r="AD18" s="97">
        <v>66.0</v>
      </c>
      <c r="AE18" s="97" t="s">
        <v>115</v>
      </c>
      <c r="AF18" s="97">
        <v>51.0</v>
      </c>
      <c r="AG18" s="97" t="s">
        <v>115</v>
      </c>
      <c r="AH18" s="97">
        <v>44.0</v>
      </c>
      <c r="AI18" s="97" t="s">
        <v>115</v>
      </c>
      <c r="AJ18" s="97">
        <v>72.0</v>
      </c>
      <c r="AK18" s="97" t="s">
        <v>115</v>
      </c>
      <c r="AL18" s="97">
        <v>86.0</v>
      </c>
      <c r="AM18" s="97">
        <v>31.0</v>
      </c>
      <c r="AN18" s="97">
        <v>130.0</v>
      </c>
      <c r="AO18" s="97">
        <v>155.0</v>
      </c>
    </row>
    <row r="19">
      <c r="A19" s="145" t="s">
        <v>88</v>
      </c>
      <c r="B19" s="97" t="s">
        <v>115</v>
      </c>
      <c r="C19" s="97">
        <v>40.0</v>
      </c>
      <c r="D19" s="97" t="s">
        <v>115</v>
      </c>
      <c r="E19" s="97">
        <v>671.0</v>
      </c>
      <c r="F19" s="97" t="s">
        <v>115</v>
      </c>
      <c r="G19" s="97">
        <v>35.0</v>
      </c>
      <c r="H19" s="97">
        <v>101.0</v>
      </c>
      <c r="I19" s="97">
        <v>61.0</v>
      </c>
      <c r="J19" s="97">
        <v>54.0</v>
      </c>
      <c r="K19" s="97">
        <v>107.0</v>
      </c>
      <c r="L19" s="97">
        <v>88.0</v>
      </c>
      <c r="M19" s="97" t="s">
        <v>115</v>
      </c>
      <c r="N19" s="97" t="s">
        <v>115</v>
      </c>
      <c r="O19" s="97" t="s">
        <v>115</v>
      </c>
      <c r="P19" s="97" t="s">
        <v>115</v>
      </c>
      <c r="Q19" s="97">
        <v>113.0</v>
      </c>
      <c r="R19" s="97">
        <v>92.0</v>
      </c>
      <c r="S19" s="97" t="s">
        <v>115</v>
      </c>
      <c r="T19" s="97" t="s">
        <v>115</v>
      </c>
      <c r="U19" s="97" t="s">
        <v>115</v>
      </c>
      <c r="V19" s="97">
        <v>0.0</v>
      </c>
      <c r="W19" s="97">
        <v>32.0</v>
      </c>
      <c r="X19" s="97">
        <v>31.0</v>
      </c>
      <c r="Y19" s="97">
        <v>139.0</v>
      </c>
      <c r="Z19" s="97" t="s">
        <v>115</v>
      </c>
      <c r="AA19" s="97">
        <v>272.0</v>
      </c>
      <c r="AB19" s="97" t="s">
        <v>115</v>
      </c>
      <c r="AC19" s="97">
        <v>304.0</v>
      </c>
      <c r="AD19" s="97" t="s">
        <v>115</v>
      </c>
      <c r="AE19" s="97" t="s">
        <v>115</v>
      </c>
      <c r="AF19" s="97">
        <v>51.0</v>
      </c>
      <c r="AG19" s="97" t="s">
        <v>115</v>
      </c>
      <c r="AH19" s="97">
        <v>32.0</v>
      </c>
      <c r="AI19" s="97" t="s">
        <v>115</v>
      </c>
      <c r="AJ19" s="97">
        <v>56.0</v>
      </c>
      <c r="AK19" s="97">
        <v>0.0</v>
      </c>
      <c r="AL19" s="97">
        <v>97.0</v>
      </c>
      <c r="AM19" s="97" t="s">
        <v>115</v>
      </c>
      <c r="AN19" s="97">
        <v>137.0</v>
      </c>
      <c r="AO19" s="97">
        <v>131.0</v>
      </c>
    </row>
    <row r="20">
      <c r="A20" s="145" t="s">
        <v>89</v>
      </c>
      <c r="B20" s="97">
        <v>37.0</v>
      </c>
      <c r="C20" s="97">
        <v>27.0</v>
      </c>
      <c r="D20" s="97" t="s">
        <v>115</v>
      </c>
      <c r="E20" s="97">
        <v>490.0</v>
      </c>
      <c r="F20" s="97">
        <v>0.0</v>
      </c>
      <c r="G20" s="97">
        <v>35.0</v>
      </c>
      <c r="H20" s="97">
        <v>94.0</v>
      </c>
      <c r="I20" s="97">
        <v>32.0</v>
      </c>
      <c r="J20" s="97">
        <v>46.0</v>
      </c>
      <c r="K20" s="97">
        <v>76.0</v>
      </c>
      <c r="L20" s="97" t="s">
        <v>115</v>
      </c>
      <c r="M20" s="97" t="s">
        <v>115</v>
      </c>
      <c r="N20" s="97">
        <v>89.0</v>
      </c>
      <c r="O20" s="97" t="s">
        <v>115</v>
      </c>
      <c r="P20" s="97">
        <v>0.0</v>
      </c>
      <c r="Q20" s="97">
        <v>79.0</v>
      </c>
      <c r="R20" s="97">
        <v>60.0</v>
      </c>
      <c r="S20" s="97">
        <v>0.0</v>
      </c>
      <c r="T20" s="97">
        <v>0.0</v>
      </c>
      <c r="U20" s="97" t="s">
        <v>115</v>
      </c>
      <c r="V20" s="97">
        <v>0.0</v>
      </c>
      <c r="W20" s="97" t="s">
        <v>115</v>
      </c>
      <c r="X20" s="97">
        <v>19.0</v>
      </c>
      <c r="Y20" s="97">
        <v>145.0</v>
      </c>
      <c r="Z20" s="97">
        <v>73.0</v>
      </c>
      <c r="AA20" s="97">
        <v>170.0</v>
      </c>
      <c r="AB20" s="97" t="s">
        <v>115</v>
      </c>
      <c r="AC20" s="97">
        <v>268.0</v>
      </c>
      <c r="AD20" s="97">
        <v>0.0</v>
      </c>
      <c r="AE20" s="97">
        <v>47.0</v>
      </c>
      <c r="AF20" s="97">
        <v>55.0</v>
      </c>
      <c r="AG20" s="97" t="s">
        <v>115</v>
      </c>
      <c r="AH20" s="97">
        <v>44.0</v>
      </c>
      <c r="AI20" s="97">
        <v>133.0</v>
      </c>
      <c r="AJ20" s="97">
        <v>43.0</v>
      </c>
      <c r="AK20" s="97" t="s">
        <v>115</v>
      </c>
      <c r="AL20" s="97">
        <v>41.0</v>
      </c>
      <c r="AM20" s="97" t="s">
        <v>115</v>
      </c>
      <c r="AN20" s="97">
        <v>104.0</v>
      </c>
      <c r="AO20" s="97">
        <v>106.0</v>
      </c>
    </row>
    <row r="21">
      <c r="A21" s="145" t="s">
        <v>90</v>
      </c>
      <c r="B21" s="97">
        <v>43.0</v>
      </c>
      <c r="C21" s="97">
        <v>45.0</v>
      </c>
      <c r="D21" s="97">
        <v>55.0</v>
      </c>
      <c r="E21" s="97">
        <v>330.0</v>
      </c>
      <c r="F21" s="97">
        <v>0.0</v>
      </c>
      <c r="G21" s="97">
        <v>49.0</v>
      </c>
      <c r="H21" s="97">
        <v>90.0</v>
      </c>
      <c r="I21" s="97">
        <v>32.0</v>
      </c>
      <c r="J21" s="97" t="s">
        <v>115</v>
      </c>
      <c r="K21" s="97">
        <v>36.0</v>
      </c>
      <c r="L21" s="97" t="s">
        <v>115</v>
      </c>
      <c r="M21" s="97" t="s">
        <v>115</v>
      </c>
      <c r="N21" s="97" t="s">
        <v>115</v>
      </c>
      <c r="O21" s="97" t="s">
        <v>115</v>
      </c>
      <c r="P21" s="97" t="s">
        <v>115</v>
      </c>
      <c r="Q21" s="97">
        <v>65.0</v>
      </c>
      <c r="R21" s="97">
        <v>51.0</v>
      </c>
      <c r="S21" s="97" t="s">
        <v>115</v>
      </c>
      <c r="T21" s="97" t="s">
        <v>115</v>
      </c>
      <c r="U21" s="97" t="s">
        <v>115</v>
      </c>
      <c r="V21" s="97">
        <v>0.0</v>
      </c>
      <c r="W21" s="97" t="s">
        <v>115</v>
      </c>
      <c r="X21" s="97">
        <v>19.0</v>
      </c>
      <c r="Y21" s="97">
        <v>80.0</v>
      </c>
      <c r="Z21" s="97">
        <v>49.0</v>
      </c>
      <c r="AA21" s="97">
        <v>155.0</v>
      </c>
      <c r="AB21" s="97">
        <v>40.0</v>
      </c>
      <c r="AC21" s="97">
        <v>227.0</v>
      </c>
      <c r="AD21" s="97" t="s">
        <v>115</v>
      </c>
      <c r="AE21" s="97" t="s">
        <v>115</v>
      </c>
      <c r="AF21" s="97">
        <v>28.0</v>
      </c>
      <c r="AG21" s="97" t="s">
        <v>115</v>
      </c>
      <c r="AH21" s="97">
        <v>57.0</v>
      </c>
      <c r="AI21" s="97">
        <v>48.0</v>
      </c>
      <c r="AJ21" s="97">
        <v>44.0</v>
      </c>
      <c r="AK21" s="97" t="s">
        <v>115</v>
      </c>
      <c r="AL21" s="97">
        <v>41.0</v>
      </c>
      <c r="AM21" s="97" t="s">
        <v>115</v>
      </c>
      <c r="AN21" s="97">
        <v>89.0</v>
      </c>
      <c r="AO21" s="97">
        <v>91.0</v>
      </c>
    </row>
    <row r="22">
      <c r="A22" s="145" t="s">
        <v>91</v>
      </c>
      <c r="B22" s="97" t="s">
        <v>115</v>
      </c>
      <c r="C22" s="97">
        <v>40.0</v>
      </c>
      <c r="D22" s="97" t="s">
        <v>115</v>
      </c>
      <c r="E22" s="97">
        <v>155.0</v>
      </c>
      <c r="F22" s="97" t="s">
        <v>115</v>
      </c>
      <c r="G22" s="97">
        <v>29.0</v>
      </c>
      <c r="H22" s="97">
        <v>60.0</v>
      </c>
      <c r="I22" s="97">
        <v>17.0</v>
      </c>
      <c r="J22" s="97">
        <v>0.0</v>
      </c>
      <c r="K22" s="97">
        <v>44.0</v>
      </c>
      <c r="L22" s="97">
        <v>0.0</v>
      </c>
      <c r="M22" s="97" t="s">
        <v>115</v>
      </c>
      <c r="N22" s="97" t="s">
        <v>115</v>
      </c>
      <c r="O22" s="97">
        <v>0.0</v>
      </c>
      <c r="P22" s="97" t="s">
        <v>115</v>
      </c>
      <c r="Q22" s="97">
        <v>120.0</v>
      </c>
      <c r="R22" s="97">
        <v>42.0</v>
      </c>
      <c r="S22" s="97">
        <v>0.0</v>
      </c>
      <c r="T22" s="97" t="s">
        <v>115</v>
      </c>
      <c r="U22" s="97" t="s">
        <v>115</v>
      </c>
      <c r="V22" s="97">
        <v>0.0</v>
      </c>
      <c r="W22" s="97">
        <v>36.0</v>
      </c>
      <c r="X22" s="97">
        <v>23.0</v>
      </c>
      <c r="Y22" s="97">
        <v>52.0</v>
      </c>
      <c r="Z22" s="97" t="s">
        <v>115</v>
      </c>
      <c r="AA22" s="97">
        <v>99.0</v>
      </c>
      <c r="AB22" s="97">
        <v>34.0</v>
      </c>
      <c r="AC22" s="97">
        <v>186.0</v>
      </c>
      <c r="AD22" s="97" t="s">
        <v>115</v>
      </c>
      <c r="AE22" s="97" t="s">
        <v>115</v>
      </c>
      <c r="AF22" s="97">
        <v>0.0</v>
      </c>
      <c r="AG22" s="97">
        <v>0.0</v>
      </c>
      <c r="AH22" s="97" t="s">
        <v>115</v>
      </c>
      <c r="AI22" s="97">
        <v>0.0</v>
      </c>
      <c r="AJ22" s="97">
        <v>25.0</v>
      </c>
      <c r="AK22" s="97" t="s">
        <v>115</v>
      </c>
      <c r="AL22" s="97">
        <v>31.0</v>
      </c>
      <c r="AM22" s="97" t="s">
        <v>115</v>
      </c>
      <c r="AN22" s="97">
        <v>91.0</v>
      </c>
      <c r="AO22" s="97">
        <v>68.0</v>
      </c>
    </row>
    <row r="23">
      <c r="A23" s="145" t="s">
        <v>92</v>
      </c>
      <c r="B23" s="97" t="s">
        <v>115</v>
      </c>
      <c r="C23" s="97" t="s">
        <v>115</v>
      </c>
      <c r="D23" s="97" t="s">
        <v>115</v>
      </c>
      <c r="E23" s="97">
        <v>170.0</v>
      </c>
      <c r="F23" s="97">
        <v>0.0</v>
      </c>
      <c r="G23" s="97" t="s">
        <v>115</v>
      </c>
      <c r="H23" s="97">
        <v>43.0</v>
      </c>
      <c r="I23" s="97">
        <v>32.0</v>
      </c>
      <c r="J23" s="97" t="s">
        <v>115</v>
      </c>
      <c r="K23" s="97">
        <v>25.0</v>
      </c>
      <c r="L23" s="97" t="s">
        <v>115</v>
      </c>
      <c r="M23" s="97">
        <v>0.0</v>
      </c>
      <c r="N23" s="97" t="s">
        <v>115</v>
      </c>
      <c r="O23" s="97">
        <v>0.0</v>
      </c>
      <c r="P23" s="97" t="s">
        <v>115</v>
      </c>
      <c r="Q23" s="97">
        <v>41.0</v>
      </c>
      <c r="R23" s="97" t="s">
        <v>115</v>
      </c>
      <c r="S23" s="97">
        <v>0.0</v>
      </c>
      <c r="T23" s="97" t="s">
        <v>115</v>
      </c>
      <c r="U23" s="97" t="s">
        <v>115</v>
      </c>
      <c r="V23" s="97">
        <v>0.0</v>
      </c>
      <c r="W23" s="97" t="s">
        <v>115</v>
      </c>
      <c r="X23" s="97" t="s">
        <v>115</v>
      </c>
      <c r="Y23" s="97">
        <v>62.0</v>
      </c>
      <c r="Z23" s="97" t="s">
        <v>115</v>
      </c>
      <c r="AA23" s="97">
        <v>71.0</v>
      </c>
      <c r="AB23" s="97">
        <v>29.0</v>
      </c>
      <c r="AC23" s="97">
        <v>144.0</v>
      </c>
      <c r="AD23" s="97">
        <v>0.0</v>
      </c>
      <c r="AE23" s="97" t="s">
        <v>115</v>
      </c>
      <c r="AF23" s="97" t="s">
        <v>115</v>
      </c>
      <c r="AG23" s="97">
        <v>0.0</v>
      </c>
      <c r="AH23" s="97" t="s">
        <v>115</v>
      </c>
      <c r="AI23" s="97" t="s">
        <v>115</v>
      </c>
      <c r="AJ23" s="97">
        <v>23.0</v>
      </c>
      <c r="AK23" s="97">
        <v>0.0</v>
      </c>
      <c r="AL23" s="97">
        <v>35.0</v>
      </c>
      <c r="AM23" s="97">
        <v>0.0</v>
      </c>
      <c r="AN23" s="97">
        <v>60.0</v>
      </c>
      <c r="AO23" s="97">
        <v>50.0</v>
      </c>
    </row>
    <row r="24">
      <c r="A24" s="145" t="s">
        <v>93</v>
      </c>
      <c r="B24" s="97" t="s">
        <v>115</v>
      </c>
      <c r="C24" s="97" t="s">
        <v>115</v>
      </c>
      <c r="D24" s="97" t="s">
        <v>115</v>
      </c>
      <c r="E24" s="97">
        <v>119.0</v>
      </c>
      <c r="F24" s="97" t="s">
        <v>115</v>
      </c>
      <c r="G24" s="97" t="s">
        <v>115</v>
      </c>
      <c r="H24" s="97">
        <v>39.0</v>
      </c>
      <c r="I24" s="97">
        <v>26.0</v>
      </c>
      <c r="J24" s="97" t="s">
        <v>115</v>
      </c>
      <c r="K24" s="97">
        <v>25.0</v>
      </c>
      <c r="L24" s="97" t="s">
        <v>115</v>
      </c>
      <c r="M24" s="97">
        <v>0.0</v>
      </c>
      <c r="N24" s="97">
        <v>0.0</v>
      </c>
      <c r="O24" s="97">
        <v>0.0</v>
      </c>
      <c r="P24" s="97">
        <v>0.0</v>
      </c>
      <c r="Q24" s="97">
        <v>51.0</v>
      </c>
      <c r="R24" s="97">
        <v>28.0</v>
      </c>
      <c r="S24" s="97">
        <v>0.0</v>
      </c>
      <c r="T24" s="97" t="s">
        <v>115</v>
      </c>
      <c r="U24" s="97">
        <v>0.0</v>
      </c>
      <c r="V24" s="97">
        <v>0.0</v>
      </c>
      <c r="W24" s="97" t="s">
        <v>115</v>
      </c>
      <c r="X24" s="97" t="s">
        <v>115</v>
      </c>
      <c r="Y24" s="97">
        <v>28.0</v>
      </c>
      <c r="Z24" s="97">
        <v>57.0</v>
      </c>
      <c r="AA24" s="97">
        <v>57.0</v>
      </c>
      <c r="AB24" s="97">
        <v>0.0</v>
      </c>
      <c r="AC24" s="97">
        <v>89.0</v>
      </c>
      <c r="AD24" s="97">
        <v>0.0</v>
      </c>
      <c r="AE24" s="97" t="s">
        <v>115</v>
      </c>
      <c r="AF24" s="97" t="s">
        <v>115</v>
      </c>
      <c r="AG24" s="97" t="s">
        <v>115</v>
      </c>
      <c r="AH24" s="97" t="s">
        <v>115</v>
      </c>
      <c r="AI24" s="97" t="s">
        <v>115</v>
      </c>
      <c r="AJ24" s="97">
        <v>12.0</v>
      </c>
      <c r="AK24" s="97">
        <v>0.0</v>
      </c>
      <c r="AL24" s="97" t="s">
        <v>115</v>
      </c>
      <c r="AM24" s="97">
        <v>0.0</v>
      </c>
      <c r="AN24" s="97">
        <v>46.0</v>
      </c>
      <c r="AO24" s="97">
        <v>36.0</v>
      </c>
    </row>
    <row r="25">
      <c r="A25" s="145" t="s">
        <v>94</v>
      </c>
      <c r="B25" s="97">
        <v>0.0</v>
      </c>
      <c r="C25" s="97" t="s">
        <v>115</v>
      </c>
      <c r="D25" s="97" t="s">
        <v>115</v>
      </c>
      <c r="E25" s="97">
        <v>114.0</v>
      </c>
      <c r="F25" s="97" t="s">
        <v>115</v>
      </c>
      <c r="G25" s="97">
        <v>0.0</v>
      </c>
      <c r="H25" s="97">
        <v>22.0</v>
      </c>
      <c r="I25" s="97" t="s">
        <v>115</v>
      </c>
      <c r="J25" s="97" t="s">
        <v>115</v>
      </c>
      <c r="K25" s="97">
        <v>17.0</v>
      </c>
      <c r="L25" s="97">
        <v>0.0</v>
      </c>
      <c r="M25" s="97">
        <v>0.0</v>
      </c>
      <c r="N25" s="97">
        <v>0.0</v>
      </c>
      <c r="O25" s="97">
        <v>0.0</v>
      </c>
      <c r="P25" s="97" t="s">
        <v>115</v>
      </c>
      <c r="Q25" s="97">
        <v>21.0</v>
      </c>
      <c r="R25" s="97">
        <v>32.0</v>
      </c>
      <c r="S25" s="97">
        <v>0.0</v>
      </c>
      <c r="T25" s="97" t="s">
        <v>115</v>
      </c>
      <c r="U25" s="97" t="s">
        <v>115</v>
      </c>
      <c r="V25" s="97">
        <v>0.0</v>
      </c>
      <c r="W25" s="97">
        <v>28.0</v>
      </c>
      <c r="X25" s="97" t="s">
        <v>115</v>
      </c>
      <c r="Y25" s="97" t="s">
        <v>115</v>
      </c>
      <c r="Z25" s="97" t="s">
        <v>115</v>
      </c>
      <c r="AA25" s="97">
        <v>36.0</v>
      </c>
      <c r="AB25" s="97">
        <v>0.0</v>
      </c>
      <c r="AC25" s="97">
        <v>72.0</v>
      </c>
      <c r="AD25" s="97" t="s">
        <v>115</v>
      </c>
      <c r="AE25" s="97" t="s">
        <v>115</v>
      </c>
      <c r="AF25" s="97" t="s">
        <v>115</v>
      </c>
      <c r="AG25" s="97">
        <v>0.0</v>
      </c>
      <c r="AH25" s="97">
        <v>0.0</v>
      </c>
      <c r="AI25" s="97" t="s">
        <v>115</v>
      </c>
      <c r="AJ25" s="97">
        <v>14.0</v>
      </c>
      <c r="AK25" s="97">
        <v>0.0</v>
      </c>
      <c r="AL25" s="97">
        <v>35.0</v>
      </c>
      <c r="AM25" s="97" t="s">
        <v>115</v>
      </c>
      <c r="AN25" s="97">
        <v>39.0</v>
      </c>
      <c r="AO25" s="97">
        <v>28.0</v>
      </c>
    </row>
    <row r="26">
      <c r="A26" s="145" t="s">
        <v>95</v>
      </c>
      <c r="B26" s="97" t="s">
        <v>115</v>
      </c>
      <c r="C26" s="97" t="s">
        <v>115</v>
      </c>
      <c r="D26" s="97" t="s">
        <v>115</v>
      </c>
      <c r="E26" s="97">
        <v>62.0</v>
      </c>
      <c r="F26" s="97" t="s">
        <v>115</v>
      </c>
      <c r="G26" s="97" t="s">
        <v>115</v>
      </c>
      <c r="H26" s="97">
        <v>16.0</v>
      </c>
      <c r="I26" s="97">
        <v>26.0</v>
      </c>
      <c r="J26" s="97" t="s">
        <v>115</v>
      </c>
      <c r="K26" s="97">
        <v>15.0</v>
      </c>
      <c r="L26" s="97">
        <v>0.0</v>
      </c>
      <c r="M26" s="97" t="s">
        <v>115</v>
      </c>
      <c r="N26" s="97" t="s">
        <v>115</v>
      </c>
      <c r="O26" s="97" t="s">
        <v>115</v>
      </c>
      <c r="P26" s="97">
        <v>0.0</v>
      </c>
      <c r="Q26" s="97">
        <v>31.0</v>
      </c>
      <c r="R26" s="97">
        <v>23.0</v>
      </c>
      <c r="S26" s="97">
        <v>0.0</v>
      </c>
      <c r="T26" s="97">
        <v>37.0</v>
      </c>
      <c r="U26" s="97">
        <v>0.0</v>
      </c>
      <c r="V26" s="97">
        <v>0.0</v>
      </c>
      <c r="W26" s="97">
        <v>48.0</v>
      </c>
      <c r="X26" s="97" t="s">
        <v>115</v>
      </c>
      <c r="Y26" s="97">
        <v>37.0</v>
      </c>
      <c r="Z26" s="97" t="s">
        <v>115</v>
      </c>
      <c r="AA26" s="97">
        <v>56.0</v>
      </c>
      <c r="AB26" s="97" t="s">
        <v>115</v>
      </c>
      <c r="AC26" s="97">
        <v>66.0</v>
      </c>
      <c r="AD26" s="97">
        <v>0.0</v>
      </c>
      <c r="AE26" s="97" t="s">
        <v>115</v>
      </c>
      <c r="AF26" s="97" t="s">
        <v>115</v>
      </c>
      <c r="AG26" s="97" t="s">
        <v>115</v>
      </c>
      <c r="AH26" s="97" t="s">
        <v>115</v>
      </c>
      <c r="AI26" s="97" t="s">
        <v>115</v>
      </c>
      <c r="AJ26" s="97">
        <v>12.0</v>
      </c>
      <c r="AK26" s="97" t="s">
        <v>115</v>
      </c>
      <c r="AL26" s="97">
        <v>31.0</v>
      </c>
      <c r="AM26" s="97" t="s">
        <v>115</v>
      </c>
      <c r="AN26" s="97">
        <v>39.0</v>
      </c>
      <c r="AO26" s="97">
        <v>31.0</v>
      </c>
    </row>
    <row r="27">
      <c r="A27" s="145" t="s">
        <v>96</v>
      </c>
      <c r="B27" s="97" t="s">
        <v>115</v>
      </c>
      <c r="C27" s="97" t="s">
        <v>115</v>
      </c>
      <c r="D27" s="97" t="s">
        <v>115</v>
      </c>
      <c r="E27" s="97">
        <v>31.0</v>
      </c>
      <c r="F27" s="97" t="s">
        <v>115</v>
      </c>
      <c r="G27" s="97">
        <v>26.0</v>
      </c>
      <c r="H27" s="97">
        <v>39.0</v>
      </c>
      <c r="I27" s="97" t="s">
        <v>115</v>
      </c>
      <c r="J27" s="97" t="s">
        <v>115</v>
      </c>
      <c r="K27" s="97">
        <v>13.0</v>
      </c>
      <c r="L27" s="97">
        <v>0.0</v>
      </c>
      <c r="M27" s="97" t="s">
        <v>115</v>
      </c>
      <c r="N27" s="97" t="s">
        <v>115</v>
      </c>
      <c r="O27" s="97">
        <v>0.0</v>
      </c>
      <c r="P27" s="97" t="s">
        <v>115</v>
      </c>
      <c r="Q27" s="97">
        <v>31.0</v>
      </c>
      <c r="R27" s="97" t="s">
        <v>115</v>
      </c>
      <c r="S27" s="97" t="s">
        <v>115</v>
      </c>
      <c r="T27" s="97">
        <v>31.0</v>
      </c>
      <c r="U27" s="97">
        <v>0.0</v>
      </c>
      <c r="V27" s="97">
        <v>0.0</v>
      </c>
      <c r="W27" s="97">
        <v>36.0</v>
      </c>
      <c r="X27" s="97" t="s">
        <v>115</v>
      </c>
      <c r="Y27" s="97">
        <v>31.0</v>
      </c>
      <c r="Z27" s="97" t="s">
        <v>115</v>
      </c>
      <c r="AA27" s="97">
        <v>18.0</v>
      </c>
      <c r="AB27" s="97" t="s">
        <v>115</v>
      </c>
      <c r="AC27" s="97">
        <v>47.0</v>
      </c>
      <c r="AD27" s="97">
        <v>0.0</v>
      </c>
      <c r="AE27" s="97" t="s">
        <v>115</v>
      </c>
      <c r="AF27" s="97">
        <v>23.0</v>
      </c>
      <c r="AG27" s="97">
        <v>0.0</v>
      </c>
      <c r="AH27" s="97" t="s">
        <v>115</v>
      </c>
      <c r="AI27" s="97" t="s">
        <v>115</v>
      </c>
      <c r="AJ27" s="97">
        <v>12.0</v>
      </c>
      <c r="AK27" s="97">
        <v>0.0</v>
      </c>
      <c r="AL27" s="97">
        <v>28.0</v>
      </c>
      <c r="AM27" s="97">
        <v>22.0</v>
      </c>
      <c r="AN27" s="97">
        <v>17.0</v>
      </c>
      <c r="AO27" s="97">
        <v>25.0</v>
      </c>
    </row>
    <row r="28">
      <c r="A28" s="145" t="s">
        <v>97</v>
      </c>
      <c r="B28" s="97" t="s">
        <v>115</v>
      </c>
      <c r="C28" s="97">
        <v>31.0</v>
      </c>
      <c r="D28" s="97" t="s">
        <v>115</v>
      </c>
      <c r="E28" s="97">
        <v>77.0</v>
      </c>
      <c r="F28" s="97" t="s">
        <v>115</v>
      </c>
      <c r="G28" s="97">
        <v>26.0</v>
      </c>
      <c r="H28" s="97">
        <v>30.0</v>
      </c>
      <c r="I28" s="97" t="s">
        <v>115</v>
      </c>
      <c r="J28" s="97">
        <v>54.0</v>
      </c>
      <c r="K28" s="97">
        <v>15.0</v>
      </c>
      <c r="L28" s="97">
        <v>0.0</v>
      </c>
      <c r="M28" s="97">
        <v>0.0</v>
      </c>
      <c r="N28" s="97" t="s">
        <v>115</v>
      </c>
      <c r="O28" s="97" t="s">
        <v>115</v>
      </c>
      <c r="P28" s="97" t="s">
        <v>115</v>
      </c>
      <c r="Q28" s="97">
        <v>21.0</v>
      </c>
      <c r="R28" s="97">
        <v>28.0</v>
      </c>
      <c r="S28" s="97">
        <v>0.0</v>
      </c>
      <c r="T28" s="97">
        <v>50.0</v>
      </c>
      <c r="U28" s="97" t="s">
        <v>115</v>
      </c>
      <c r="V28" s="97" t="s">
        <v>115</v>
      </c>
      <c r="W28" s="97">
        <v>44.0</v>
      </c>
      <c r="X28" s="97">
        <v>0.0</v>
      </c>
      <c r="Y28" s="97">
        <v>49.0</v>
      </c>
      <c r="Z28" s="97">
        <v>40.0</v>
      </c>
      <c r="AA28" s="97">
        <v>39.0</v>
      </c>
      <c r="AB28" s="97" t="s">
        <v>115</v>
      </c>
      <c r="AC28" s="97">
        <v>57.0</v>
      </c>
      <c r="AD28" s="97">
        <v>0.0</v>
      </c>
      <c r="AE28" s="97" t="s">
        <v>115</v>
      </c>
      <c r="AF28" s="97">
        <v>23.0</v>
      </c>
      <c r="AG28" s="97" t="s">
        <v>115</v>
      </c>
      <c r="AH28" s="97" t="s">
        <v>115</v>
      </c>
      <c r="AI28" s="97" t="s">
        <v>115</v>
      </c>
      <c r="AJ28" s="97">
        <v>21.0</v>
      </c>
      <c r="AK28" s="97" t="s">
        <v>115</v>
      </c>
      <c r="AL28" s="97">
        <v>45.0</v>
      </c>
      <c r="AM28" s="97" t="s">
        <v>115</v>
      </c>
      <c r="AN28" s="97">
        <v>29.0</v>
      </c>
      <c r="AO28" s="97">
        <v>32.0</v>
      </c>
    </row>
    <row r="29">
      <c r="A29" s="145" t="s">
        <v>98</v>
      </c>
      <c r="B29" s="97" t="s">
        <v>115</v>
      </c>
      <c r="C29" s="97">
        <v>36.0</v>
      </c>
      <c r="D29" s="97" t="s">
        <v>115</v>
      </c>
      <c r="E29" s="97">
        <v>108.0</v>
      </c>
      <c r="F29" s="97" t="s">
        <v>115</v>
      </c>
      <c r="G29" s="97" t="s">
        <v>115</v>
      </c>
      <c r="H29" s="97">
        <v>43.0</v>
      </c>
      <c r="I29" s="97">
        <v>32.0</v>
      </c>
      <c r="J29" s="97" t="s">
        <v>115</v>
      </c>
      <c r="K29" s="97">
        <v>32.0</v>
      </c>
      <c r="L29" s="97">
        <v>0.0</v>
      </c>
      <c r="M29" s="97">
        <v>0.0</v>
      </c>
      <c r="N29" s="97">
        <v>0.0</v>
      </c>
      <c r="O29" s="97">
        <v>0.0</v>
      </c>
      <c r="P29" s="97">
        <v>0.0</v>
      </c>
      <c r="Q29" s="97">
        <v>38.0</v>
      </c>
      <c r="R29" s="97">
        <v>23.0</v>
      </c>
      <c r="S29" s="97" t="s">
        <v>115</v>
      </c>
      <c r="T29" s="97" t="s">
        <v>115</v>
      </c>
      <c r="U29" s="97" t="s">
        <v>115</v>
      </c>
      <c r="V29" s="97">
        <v>0.0</v>
      </c>
      <c r="W29" s="97" t="s">
        <v>115</v>
      </c>
      <c r="X29" s="97" t="s">
        <v>115</v>
      </c>
      <c r="Y29" s="97">
        <v>43.0</v>
      </c>
      <c r="Z29" s="97" t="s">
        <v>115</v>
      </c>
      <c r="AA29" s="97">
        <v>81.0</v>
      </c>
      <c r="AB29" s="97" t="s">
        <v>115</v>
      </c>
      <c r="AC29" s="97">
        <v>67.0</v>
      </c>
      <c r="AD29" s="97">
        <v>0.0</v>
      </c>
      <c r="AE29" s="97" t="s">
        <v>115</v>
      </c>
      <c r="AF29" s="97">
        <v>60.0</v>
      </c>
      <c r="AG29" s="97">
        <v>0.0</v>
      </c>
      <c r="AH29" s="97" t="s">
        <v>115</v>
      </c>
      <c r="AI29" s="97" t="s">
        <v>115</v>
      </c>
      <c r="AJ29" s="97">
        <v>25.0</v>
      </c>
      <c r="AK29" s="97">
        <v>0.0</v>
      </c>
      <c r="AL29" s="97">
        <v>31.0</v>
      </c>
      <c r="AM29" s="97" t="s">
        <v>115</v>
      </c>
      <c r="AN29" s="97">
        <v>39.0</v>
      </c>
      <c r="AO29" s="97">
        <v>39.0</v>
      </c>
    </row>
    <row r="30">
      <c r="A30" s="145" t="s">
        <v>99</v>
      </c>
      <c r="B30" s="97">
        <v>0.0</v>
      </c>
      <c r="C30" s="97">
        <v>36.0</v>
      </c>
      <c r="D30" s="97" t="s">
        <v>115</v>
      </c>
      <c r="E30" s="97">
        <v>181.0</v>
      </c>
      <c r="F30" s="97" t="s">
        <v>115</v>
      </c>
      <c r="G30" s="97">
        <v>32.0</v>
      </c>
      <c r="H30" s="97">
        <v>54.0</v>
      </c>
      <c r="I30" s="97">
        <v>29.0</v>
      </c>
      <c r="J30" s="97">
        <v>46.0</v>
      </c>
      <c r="K30" s="97">
        <v>40.0</v>
      </c>
      <c r="L30" s="97" t="s">
        <v>115</v>
      </c>
      <c r="M30" s="97">
        <v>0.0</v>
      </c>
      <c r="N30" s="97" t="s">
        <v>115</v>
      </c>
      <c r="O30" s="97" t="s">
        <v>115</v>
      </c>
      <c r="P30" s="97" t="s">
        <v>115</v>
      </c>
      <c r="Q30" s="97">
        <v>65.0</v>
      </c>
      <c r="R30" s="97">
        <v>23.0</v>
      </c>
      <c r="S30" s="97">
        <v>0.0</v>
      </c>
      <c r="T30" s="97" t="s">
        <v>115</v>
      </c>
      <c r="U30" s="97" t="s">
        <v>115</v>
      </c>
      <c r="V30" s="97" t="s">
        <v>115</v>
      </c>
      <c r="W30" s="97">
        <v>32.0</v>
      </c>
      <c r="X30" s="97">
        <v>23.0</v>
      </c>
      <c r="Y30" s="97">
        <v>102.0</v>
      </c>
      <c r="Z30" s="97" t="s">
        <v>115</v>
      </c>
      <c r="AA30" s="97">
        <v>128.0</v>
      </c>
      <c r="AB30" s="97" t="s">
        <v>115</v>
      </c>
      <c r="AC30" s="97">
        <v>94.0</v>
      </c>
      <c r="AD30" s="97">
        <v>0.0</v>
      </c>
      <c r="AE30" s="97" t="s">
        <v>115</v>
      </c>
      <c r="AF30" s="97">
        <v>42.0</v>
      </c>
      <c r="AG30" s="97">
        <v>0.0</v>
      </c>
      <c r="AH30" s="97" t="s">
        <v>115</v>
      </c>
      <c r="AI30" s="97">
        <v>86.0</v>
      </c>
      <c r="AJ30" s="97">
        <v>42.0</v>
      </c>
      <c r="AK30" s="97" t="s">
        <v>115</v>
      </c>
      <c r="AL30" s="97">
        <v>35.0</v>
      </c>
      <c r="AM30" s="97" t="s">
        <v>115</v>
      </c>
      <c r="AN30" s="97">
        <v>41.0</v>
      </c>
      <c r="AO30" s="97">
        <v>58.0</v>
      </c>
    </row>
    <row r="31">
      <c r="A31" s="147" t="s">
        <v>100</v>
      </c>
      <c r="B31" s="97" t="s">
        <v>115</v>
      </c>
      <c r="C31" s="97">
        <v>22.0</v>
      </c>
      <c r="D31" s="97">
        <v>43.0</v>
      </c>
      <c r="E31" s="97">
        <v>191.0</v>
      </c>
      <c r="F31" s="97" t="s">
        <v>115</v>
      </c>
      <c r="G31" s="97">
        <v>20.0</v>
      </c>
      <c r="H31" s="97">
        <v>94.0</v>
      </c>
      <c r="I31" s="97">
        <v>29.0</v>
      </c>
      <c r="J31" s="97">
        <v>54.0</v>
      </c>
      <c r="K31" s="97">
        <v>30.0</v>
      </c>
      <c r="L31" s="97" t="s">
        <v>115</v>
      </c>
      <c r="M31" s="97" t="s">
        <v>115</v>
      </c>
      <c r="N31" s="97" t="s">
        <v>115</v>
      </c>
      <c r="O31" s="97">
        <v>0.0</v>
      </c>
      <c r="P31" s="97" t="s">
        <v>115</v>
      </c>
      <c r="Q31" s="97">
        <v>34.0</v>
      </c>
      <c r="R31" s="97">
        <v>60.0</v>
      </c>
      <c r="S31" s="97">
        <v>0.0</v>
      </c>
      <c r="T31" s="97">
        <v>37.0</v>
      </c>
      <c r="U31" s="97">
        <v>0.0</v>
      </c>
      <c r="V31" s="97" t="s">
        <v>115</v>
      </c>
      <c r="W31" s="97">
        <v>28.0</v>
      </c>
      <c r="X31" s="97">
        <v>19.0</v>
      </c>
      <c r="Y31" s="97">
        <v>105.0</v>
      </c>
      <c r="Z31" s="97" t="s">
        <v>115</v>
      </c>
      <c r="AA31" s="97">
        <v>145.0</v>
      </c>
      <c r="AB31" s="97">
        <v>0.0</v>
      </c>
      <c r="AC31" s="97">
        <v>106.0</v>
      </c>
      <c r="AD31" s="97" t="s">
        <v>115</v>
      </c>
      <c r="AE31" s="97" t="s">
        <v>115</v>
      </c>
      <c r="AF31" s="97" t="s">
        <v>115</v>
      </c>
      <c r="AG31" s="97" t="s">
        <v>115</v>
      </c>
      <c r="AH31" s="97" t="s">
        <v>115</v>
      </c>
      <c r="AI31" s="97" t="s">
        <v>115</v>
      </c>
      <c r="AJ31" s="97">
        <v>44.0</v>
      </c>
      <c r="AK31" s="97" t="s">
        <v>115</v>
      </c>
      <c r="AL31" s="97">
        <v>73.0</v>
      </c>
      <c r="AM31" s="97" t="s">
        <v>115</v>
      </c>
      <c r="AN31" s="97">
        <v>48.0</v>
      </c>
      <c r="AO31" s="97">
        <v>63.0</v>
      </c>
    </row>
    <row r="32">
      <c r="A32" s="147" t="s">
        <v>101</v>
      </c>
      <c r="B32" s="97" t="s">
        <v>115</v>
      </c>
      <c r="C32" s="97">
        <v>27.0</v>
      </c>
      <c r="D32" s="97" t="s">
        <v>115</v>
      </c>
      <c r="E32" s="97">
        <v>196.0</v>
      </c>
      <c r="F32" s="97">
        <v>0.0</v>
      </c>
      <c r="G32" s="97">
        <v>23.0</v>
      </c>
      <c r="H32" s="97">
        <v>115.0</v>
      </c>
      <c r="I32" s="97">
        <v>32.0</v>
      </c>
      <c r="J32" s="97" t="s">
        <v>115</v>
      </c>
      <c r="K32" s="97">
        <v>40.0</v>
      </c>
      <c r="L32" s="97" t="s">
        <v>115</v>
      </c>
      <c r="M32" s="97" t="s">
        <v>115</v>
      </c>
      <c r="N32" s="97" t="s">
        <v>115</v>
      </c>
      <c r="O32" s="97" t="s">
        <v>115</v>
      </c>
      <c r="P32" s="97">
        <v>0.0</v>
      </c>
      <c r="Q32" s="97">
        <v>51.0</v>
      </c>
      <c r="R32" s="97">
        <v>60.0</v>
      </c>
      <c r="S32" s="97">
        <v>0.0</v>
      </c>
      <c r="T32" s="97" t="s">
        <v>115</v>
      </c>
      <c r="U32" s="97" t="s">
        <v>115</v>
      </c>
      <c r="V32" s="97" t="s">
        <v>115</v>
      </c>
      <c r="W32" s="97">
        <v>20.0</v>
      </c>
      <c r="X32" s="97">
        <v>27.0</v>
      </c>
      <c r="Y32" s="97">
        <v>83.0</v>
      </c>
      <c r="Z32" s="97" t="s">
        <v>115</v>
      </c>
      <c r="AA32" s="97">
        <v>116.0</v>
      </c>
      <c r="AB32" s="97" t="s">
        <v>115</v>
      </c>
      <c r="AC32" s="97">
        <v>123.0</v>
      </c>
      <c r="AD32" s="97" t="s">
        <v>115</v>
      </c>
      <c r="AE32" s="97">
        <v>47.0</v>
      </c>
      <c r="AF32" s="97">
        <v>32.0</v>
      </c>
      <c r="AG32" s="97" t="s">
        <v>115</v>
      </c>
      <c r="AH32" s="97">
        <v>0.0</v>
      </c>
      <c r="AI32" s="97">
        <v>0.0</v>
      </c>
      <c r="AJ32" s="97">
        <v>37.0</v>
      </c>
      <c r="AK32" s="97">
        <v>0.0</v>
      </c>
      <c r="AL32" s="97">
        <v>38.0</v>
      </c>
      <c r="AM32" s="97">
        <v>22.0</v>
      </c>
      <c r="AN32" s="97">
        <v>51.0</v>
      </c>
      <c r="AO32" s="97">
        <v>62.0</v>
      </c>
    </row>
    <row r="33">
      <c r="A33" s="147" t="s">
        <v>102</v>
      </c>
      <c r="B33" s="97" t="s">
        <v>115</v>
      </c>
      <c r="C33" s="97">
        <v>22.0</v>
      </c>
      <c r="D33" s="97" t="s">
        <v>115</v>
      </c>
      <c r="E33" s="97">
        <v>175.0</v>
      </c>
      <c r="F33" s="97" t="s">
        <v>115</v>
      </c>
      <c r="G33" s="97">
        <v>17.0</v>
      </c>
      <c r="H33" s="97">
        <v>41.0</v>
      </c>
      <c r="I33" s="97">
        <v>43.0</v>
      </c>
      <c r="J33" s="97">
        <v>46.0</v>
      </c>
      <c r="K33" s="97">
        <v>27.0</v>
      </c>
      <c r="L33" s="97" t="s">
        <v>115</v>
      </c>
      <c r="M33" s="97" t="s">
        <v>115</v>
      </c>
      <c r="N33" s="97" t="s">
        <v>115</v>
      </c>
      <c r="O33" s="97">
        <v>0.0</v>
      </c>
      <c r="P33" s="97" t="s">
        <v>115</v>
      </c>
      <c r="Q33" s="97">
        <v>34.0</v>
      </c>
      <c r="R33" s="97">
        <v>28.0</v>
      </c>
      <c r="S33" s="97">
        <v>0.0</v>
      </c>
      <c r="T33" s="97">
        <v>0.0</v>
      </c>
      <c r="U33" s="97">
        <v>116.0</v>
      </c>
      <c r="V33" s="97" t="s">
        <v>115</v>
      </c>
      <c r="W33" s="97" t="s">
        <v>115</v>
      </c>
      <c r="X33" s="97">
        <v>34.0</v>
      </c>
      <c r="Y33" s="97">
        <v>59.0</v>
      </c>
      <c r="Z33" s="97">
        <v>0.0</v>
      </c>
      <c r="AA33" s="97">
        <v>77.0</v>
      </c>
      <c r="AB33" s="97" t="s">
        <v>115</v>
      </c>
      <c r="AC33" s="97">
        <v>124.0</v>
      </c>
      <c r="AD33" s="97" t="s">
        <v>115</v>
      </c>
      <c r="AE33" s="97" t="s">
        <v>115</v>
      </c>
      <c r="AF33" s="97">
        <v>46.0</v>
      </c>
      <c r="AG33" s="97">
        <v>49.0</v>
      </c>
      <c r="AH33" s="97" t="s">
        <v>115</v>
      </c>
      <c r="AI33" s="97">
        <v>0.0</v>
      </c>
      <c r="AJ33" s="97">
        <v>25.0</v>
      </c>
      <c r="AK33" s="97">
        <v>0.0</v>
      </c>
      <c r="AL33" s="97">
        <v>48.0</v>
      </c>
      <c r="AM33" s="97">
        <v>0.0</v>
      </c>
      <c r="AN33" s="97">
        <v>46.0</v>
      </c>
      <c r="AO33" s="97">
        <v>54.0</v>
      </c>
    </row>
    <row r="34">
      <c r="A34" s="147" t="s">
        <v>103</v>
      </c>
      <c r="B34" s="97">
        <v>0.0</v>
      </c>
      <c r="C34" s="97">
        <v>67.0</v>
      </c>
      <c r="D34" s="97" t="s">
        <v>115</v>
      </c>
      <c r="E34" s="97">
        <v>181.0</v>
      </c>
      <c r="F34" s="97">
        <v>0.0</v>
      </c>
      <c r="G34" s="97">
        <v>26.0</v>
      </c>
      <c r="H34" s="97">
        <v>63.0</v>
      </c>
      <c r="I34" s="97">
        <v>61.0</v>
      </c>
      <c r="J34" s="97">
        <v>69.0</v>
      </c>
      <c r="K34" s="97">
        <v>27.0</v>
      </c>
      <c r="L34" s="97" t="s">
        <v>115</v>
      </c>
      <c r="M34" s="97" t="s">
        <v>115</v>
      </c>
      <c r="N34" s="97" t="s">
        <v>115</v>
      </c>
      <c r="O34" s="97" t="s">
        <v>115</v>
      </c>
      <c r="P34" s="97" t="s">
        <v>115</v>
      </c>
      <c r="Q34" s="97">
        <v>75.0</v>
      </c>
      <c r="R34" s="97">
        <v>42.0</v>
      </c>
      <c r="S34" s="97">
        <v>0.0</v>
      </c>
      <c r="T34" s="97">
        <v>31.0</v>
      </c>
      <c r="U34" s="97">
        <v>58.0</v>
      </c>
      <c r="V34" s="97">
        <v>0.0</v>
      </c>
      <c r="W34" s="97" t="s">
        <v>115</v>
      </c>
      <c r="X34" s="97">
        <v>53.0</v>
      </c>
      <c r="Y34" s="97">
        <v>59.0</v>
      </c>
      <c r="Z34" s="97" t="s">
        <v>115</v>
      </c>
      <c r="AA34" s="97">
        <v>75.0</v>
      </c>
      <c r="AB34" s="97" t="s">
        <v>115</v>
      </c>
      <c r="AC34" s="97">
        <v>121.0</v>
      </c>
      <c r="AD34" s="97">
        <v>0.0</v>
      </c>
      <c r="AE34" s="97" t="s">
        <v>115</v>
      </c>
      <c r="AF34" s="97">
        <v>37.0</v>
      </c>
      <c r="AG34" s="97" t="s">
        <v>115</v>
      </c>
      <c r="AH34" s="97">
        <v>44.0</v>
      </c>
      <c r="AI34" s="97" t="s">
        <v>115</v>
      </c>
      <c r="AJ34" s="97">
        <v>44.0</v>
      </c>
      <c r="AK34" s="97" t="s">
        <v>115</v>
      </c>
      <c r="AL34" s="97" t="s">
        <v>115</v>
      </c>
      <c r="AM34" s="97" t="s">
        <v>115</v>
      </c>
      <c r="AN34" s="97">
        <v>39.0</v>
      </c>
      <c r="AO34" s="97">
        <v>60.0</v>
      </c>
    </row>
    <row r="35">
      <c r="A35" s="147" t="s">
        <v>104</v>
      </c>
      <c r="B35" s="97" t="s">
        <v>115</v>
      </c>
      <c r="C35" s="97">
        <v>31.0</v>
      </c>
      <c r="D35" s="97" t="s">
        <v>115</v>
      </c>
      <c r="E35" s="97">
        <v>114.0</v>
      </c>
      <c r="F35" s="97" t="s">
        <v>115</v>
      </c>
      <c r="G35" s="97">
        <v>26.0</v>
      </c>
      <c r="H35" s="97">
        <v>52.0</v>
      </c>
      <c r="I35" s="97">
        <v>32.0</v>
      </c>
      <c r="J35" s="97">
        <v>61.0</v>
      </c>
      <c r="K35" s="97">
        <v>11.0</v>
      </c>
      <c r="L35" s="97">
        <v>0.0</v>
      </c>
      <c r="M35" s="97" t="s">
        <v>115</v>
      </c>
      <c r="N35" s="97" t="s">
        <v>115</v>
      </c>
      <c r="O35" s="97" t="s">
        <v>115</v>
      </c>
      <c r="P35" s="97">
        <v>0.0</v>
      </c>
      <c r="Q35" s="97">
        <v>48.0</v>
      </c>
      <c r="R35" s="97">
        <v>37.0</v>
      </c>
      <c r="S35" s="97">
        <v>0.0</v>
      </c>
      <c r="T35" s="97" t="s">
        <v>115</v>
      </c>
      <c r="U35" s="97">
        <v>39.0</v>
      </c>
      <c r="V35" s="97">
        <v>0.0</v>
      </c>
      <c r="W35" s="97">
        <v>20.0</v>
      </c>
      <c r="X35" s="97">
        <v>27.0</v>
      </c>
      <c r="Y35" s="97">
        <v>49.0</v>
      </c>
      <c r="Z35" s="97" t="s">
        <v>115</v>
      </c>
      <c r="AA35" s="97">
        <v>53.0</v>
      </c>
      <c r="AB35" s="97">
        <v>29.0</v>
      </c>
      <c r="AC35" s="97">
        <v>106.0</v>
      </c>
      <c r="AD35" s="97" t="s">
        <v>115</v>
      </c>
      <c r="AE35" s="97" t="s">
        <v>115</v>
      </c>
      <c r="AF35" s="97">
        <v>37.0</v>
      </c>
      <c r="AG35" s="97" t="s">
        <v>115</v>
      </c>
      <c r="AH35" s="97">
        <v>32.0</v>
      </c>
      <c r="AI35" s="97" t="s">
        <v>115</v>
      </c>
      <c r="AJ35" s="97">
        <v>17.0</v>
      </c>
      <c r="AK35" s="97" t="s">
        <v>115</v>
      </c>
      <c r="AL35" s="97">
        <v>21.0</v>
      </c>
      <c r="AM35" s="97" t="s">
        <v>115</v>
      </c>
      <c r="AN35" s="97">
        <v>43.0</v>
      </c>
      <c r="AO35" s="97">
        <v>46.0</v>
      </c>
    </row>
    <row r="36">
      <c r="A36" s="147" t="s">
        <v>105</v>
      </c>
      <c r="B36" s="97" t="s">
        <v>115</v>
      </c>
      <c r="C36" s="97" t="s">
        <v>115</v>
      </c>
      <c r="D36" s="97" t="s">
        <v>115</v>
      </c>
      <c r="E36" s="97">
        <v>26.0</v>
      </c>
      <c r="F36" s="97">
        <v>0.0</v>
      </c>
      <c r="G36" s="97" t="s">
        <v>115</v>
      </c>
      <c r="H36" s="97">
        <v>44.0</v>
      </c>
      <c r="I36" s="97">
        <v>43.0</v>
      </c>
      <c r="J36" s="97">
        <v>0.0</v>
      </c>
      <c r="K36" s="97">
        <v>21.0</v>
      </c>
      <c r="L36" s="97">
        <v>0.0</v>
      </c>
      <c r="M36" s="97" t="s">
        <v>115</v>
      </c>
      <c r="N36" s="97" t="s">
        <v>115</v>
      </c>
      <c r="O36" s="97">
        <v>0.0</v>
      </c>
      <c r="P36" s="97" t="s">
        <v>115</v>
      </c>
      <c r="Q36" s="97">
        <v>48.0</v>
      </c>
      <c r="R36" s="97">
        <v>28.0</v>
      </c>
      <c r="S36" s="97">
        <v>0.0</v>
      </c>
      <c r="T36" s="97" t="s">
        <v>115</v>
      </c>
      <c r="U36" s="97" t="s">
        <v>115</v>
      </c>
      <c r="V36" s="97">
        <v>0.0</v>
      </c>
      <c r="W36" s="97">
        <v>24.0</v>
      </c>
      <c r="X36" s="97">
        <v>23.0</v>
      </c>
      <c r="Y36" s="97">
        <v>86.0</v>
      </c>
      <c r="Z36" s="97" t="s">
        <v>115</v>
      </c>
      <c r="AA36" s="97">
        <v>53.0</v>
      </c>
      <c r="AB36" s="97" t="s">
        <v>115</v>
      </c>
      <c r="AC36" s="97">
        <v>100.0</v>
      </c>
      <c r="AD36" s="97">
        <v>0.0</v>
      </c>
      <c r="AE36" s="97" t="s">
        <v>115</v>
      </c>
      <c r="AF36" s="97">
        <v>28.0</v>
      </c>
      <c r="AG36" s="97">
        <v>0.0</v>
      </c>
      <c r="AH36" s="97">
        <v>38.0</v>
      </c>
      <c r="AI36" s="97" t="s">
        <v>115</v>
      </c>
      <c r="AJ36" s="97">
        <v>32.0</v>
      </c>
      <c r="AK36" s="97">
        <v>0.0</v>
      </c>
      <c r="AL36" s="97" t="s">
        <v>115</v>
      </c>
      <c r="AM36" s="97" t="s">
        <v>115</v>
      </c>
      <c r="AN36" s="97">
        <v>29.0</v>
      </c>
      <c r="AO36" s="97">
        <v>43.0</v>
      </c>
    </row>
    <row r="37">
      <c r="A37" s="147" t="s">
        <v>106</v>
      </c>
      <c r="B37" s="97">
        <v>31.0</v>
      </c>
      <c r="C37" s="97">
        <v>45.0</v>
      </c>
      <c r="D37" s="97">
        <v>43.0</v>
      </c>
      <c r="E37" s="97">
        <v>98.0</v>
      </c>
      <c r="F37" s="97" t="s">
        <v>115</v>
      </c>
      <c r="G37" s="97" t="s">
        <v>115</v>
      </c>
      <c r="H37" s="97">
        <v>38.0</v>
      </c>
      <c r="I37" s="97">
        <v>87.0</v>
      </c>
      <c r="J37" s="97" t="s">
        <v>115</v>
      </c>
      <c r="K37" s="97">
        <v>34.0</v>
      </c>
      <c r="L37" s="97">
        <v>0.0</v>
      </c>
      <c r="M37" s="97" t="s">
        <v>115</v>
      </c>
      <c r="N37" s="97">
        <v>0.0</v>
      </c>
      <c r="O37" s="97">
        <v>0.0</v>
      </c>
      <c r="P37" s="97">
        <v>0.0</v>
      </c>
      <c r="Q37" s="97">
        <v>31.0</v>
      </c>
      <c r="R37" s="97" t="s">
        <v>115</v>
      </c>
      <c r="S37" s="97">
        <v>0.0</v>
      </c>
      <c r="T37" s="97" t="s">
        <v>115</v>
      </c>
      <c r="U37" s="97">
        <v>32.0</v>
      </c>
      <c r="V37" s="97">
        <v>0.0</v>
      </c>
      <c r="W37" s="97">
        <v>52.0</v>
      </c>
      <c r="X37" s="97">
        <v>27.0</v>
      </c>
      <c r="Y37" s="97">
        <v>34.0</v>
      </c>
      <c r="Z37" s="97" t="s">
        <v>115</v>
      </c>
      <c r="AA37" s="97">
        <v>75.0</v>
      </c>
      <c r="AB37" s="97" t="s">
        <v>115</v>
      </c>
      <c r="AC37" s="97">
        <v>80.0</v>
      </c>
      <c r="AD37" s="97">
        <v>0.0</v>
      </c>
      <c r="AE37" s="97" t="s">
        <v>115</v>
      </c>
      <c r="AF37" s="97">
        <v>28.0</v>
      </c>
      <c r="AG37" s="97" t="s">
        <v>115</v>
      </c>
      <c r="AH37" s="97" t="s">
        <v>115</v>
      </c>
      <c r="AI37" s="97">
        <v>0.0</v>
      </c>
      <c r="AJ37" s="97">
        <v>27.0</v>
      </c>
      <c r="AK37" s="97" t="s">
        <v>115</v>
      </c>
      <c r="AL37" s="97">
        <v>38.0</v>
      </c>
      <c r="AM37" s="97">
        <v>22.0</v>
      </c>
      <c r="AN37" s="97">
        <v>39.0</v>
      </c>
      <c r="AO37" s="97">
        <v>43.0</v>
      </c>
    </row>
    <row r="38">
      <c r="A38" s="147" t="s">
        <v>107</v>
      </c>
      <c r="B38" s="97">
        <v>31.0</v>
      </c>
      <c r="C38" s="97">
        <v>31.0</v>
      </c>
      <c r="D38" s="97">
        <v>61.0</v>
      </c>
      <c r="E38" s="97">
        <v>114.0</v>
      </c>
      <c r="F38" s="97" t="s">
        <v>115</v>
      </c>
      <c r="G38" s="97">
        <v>61.0</v>
      </c>
      <c r="H38" s="97">
        <v>48.0</v>
      </c>
      <c r="I38" s="97">
        <v>43.0</v>
      </c>
      <c r="J38" s="97" t="s">
        <v>115</v>
      </c>
      <c r="K38" s="97">
        <v>19.0</v>
      </c>
      <c r="L38" s="97" t="s">
        <v>115</v>
      </c>
      <c r="M38" s="97">
        <v>0.0</v>
      </c>
      <c r="N38" s="97">
        <v>0.0</v>
      </c>
      <c r="O38" s="97">
        <v>0.0</v>
      </c>
      <c r="P38" s="97" t="s">
        <v>115</v>
      </c>
      <c r="Q38" s="97">
        <v>72.0</v>
      </c>
      <c r="R38" s="97">
        <v>23.0</v>
      </c>
      <c r="S38" s="97">
        <v>0.0</v>
      </c>
      <c r="T38" s="97">
        <v>0.0</v>
      </c>
      <c r="U38" s="97">
        <v>212.0</v>
      </c>
      <c r="V38" s="97">
        <v>0.0</v>
      </c>
      <c r="W38" s="97">
        <v>28.0</v>
      </c>
      <c r="X38" s="97">
        <v>19.0</v>
      </c>
      <c r="Y38" s="97">
        <v>65.0</v>
      </c>
      <c r="Z38" s="97">
        <v>49.0</v>
      </c>
      <c r="AA38" s="97">
        <v>54.0</v>
      </c>
      <c r="AB38" s="97" t="s">
        <v>115</v>
      </c>
      <c r="AC38" s="97">
        <v>157.0</v>
      </c>
      <c r="AD38" s="97">
        <v>0.0</v>
      </c>
      <c r="AE38" s="97" t="s">
        <v>115</v>
      </c>
      <c r="AF38" s="97">
        <v>46.0</v>
      </c>
      <c r="AG38" s="97">
        <v>23.0</v>
      </c>
      <c r="AH38" s="97">
        <v>32.0</v>
      </c>
      <c r="AI38" s="97" t="s">
        <v>115</v>
      </c>
      <c r="AJ38" s="97">
        <v>39.0</v>
      </c>
      <c r="AK38" s="97" t="s">
        <v>115</v>
      </c>
      <c r="AL38" s="97">
        <v>35.0</v>
      </c>
      <c r="AM38" s="97">
        <v>35.0</v>
      </c>
      <c r="AN38" s="97">
        <v>36.0</v>
      </c>
      <c r="AO38" s="97">
        <v>63.0</v>
      </c>
    </row>
    <row r="39">
      <c r="A39" s="147" t="s">
        <v>108</v>
      </c>
      <c r="B39" s="97" t="s">
        <v>115</v>
      </c>
      <c r="C39" s="97" t="s">
        <v>115</v>
      </c>
      <c r="D39" s="97">
        <v>43.0</v>
      </c>
      <c r="E39" s="97">
        <v>175.0</v>
      </c>
      <c r="F39" s="97" t="s">
        <v>115</v>
      </c>
      <c r="G39" s="97">
        <v>17.0</v>
      </c>
      <c r="H39" s="97">
        <v>52.0</v>
      </c>
      <c r="I39" s="97">
        <v>40.0</v>
      </c>
      <c r="J39" s="97" t="s">
        <v>115</v>
      </c>
      <c r="K39" s="97">
        <v>17.0</v>
      </c>
      <c r="L39" s="97" t="s">
        <v>115</v>
      </c>
      <c r="M39" s="97">
        <v>0.0</v>
      </c>
      <c r="N39" s="97" t="s">
        <v>115</v>
      </c>
      <c r="O39" s="97" t="s">
        <v>115</v>
      </c>
      <c r="P39" s="97" t="s">
        <v>115</v>
      </c>
      <c r="Q39" s="97">
        <v>96.0</v>
      </c>
      <c r="R39" s="97">
        <v>65.0</v>
      </c>
      <c r="S39" s="97">
        <v>0.0</v>
      </c>
      <c r="T39" s="97" t="s">
        <v>115</v>
      </c>
      <c r="U39" s="97">
        <v>186.0</v>
      </c>
      <c r="V39" s="97">
        <v>0.0</v>
      </c>
      <c r="W39" s="97" t="s">
        <v>115</v>
      </c>
      <c r="X39" s="97">
        <v>19.0</v>
      </c>
      <c r="Y39" s="97">
        <v>59.0</v>
      </c>
      <c r="Z39" s="97">
        <v>65.0</v>
      </c>
      <c r="AA39" s="97">
        <v>110.0</v>
      </c>
      <c r="AB39" s="97">
        <v>0.0</v>
      </c>
      <c r="AC39" s="97">
        <v>132.0</v>
      </c>
      <c r="AD39" s="97" t="s">
        <v>115</v>
      </c>
      <c r="AE39" s="97" t="s">
        <v>115</v>
      </c>
      <c r="AF39" s="97">
        <v>51.0</v>
      </c>
      <c r="AG39" s="97" t="s">
        <v>115</v>
      </c>
      <c r="AH39" s="97" t="s">
        <v>115</v>
      </c>
      <c r="AI39" s="97">
        <v>67.0</v>
      </c>
      <c r="AJ39" s="97">
        <v>30.0</v>
      </c>
      <c r="AK39" s="97" t="s">
        <v>115</v>
      </c>
      <c r="AL39" s="97">
        <v>31.0</v>
      </c>
      <c r="AM39" s="97">
        <v>49.0</v>
      </c>
      <c r="AN39" s="97">
        <v>26.0</v>
      </c>
      <c r="AO39" s="97">
        <v>62.0</v>
      </c>
    </row>
    <row r="40">
      <c r="A40" s="147" t="s">
        <v>109</v>
      </c>
      <c r="B40" s="97" t="s">
        <v>115</v>
      </c>
      <c r="C40" s="97">
        <v>40.0</v>
      </c>
      <c r="D40" s="97" t="s">
        <v>115</v>
      </c>
      <c r="E40" s="97">
        <v>175.0</v>
      </c>
      <c r="F40" s="97" t="s">
        <v>115</v>
      </c>
      <c r="G40" s="97">
        <v>40.0</v>
      </c>
      <c r="H40" s="97">
        <v>76.0</v>
      </c>
      <c r="I40" s="97">
        <v>66.0</v>
      </c>
      <c r="J40" s="97">
        <v>76.0</v>
      </c>
      <c r="K40" s="97">
        <v>67.0</v>
      </c>
      <c r="L40" s="97" t="s">
        <v>115</v>
      </c>
      <c r="M40" s="97" t="s">
        <v>115</v>
      </c>
      <c r="N40" s="97" t="s">
        <v>115</v>
      </c>
      <c r="O40" s="97">
        <v>0.0</v>
      </c>
      <c r="P40" s="97" t="s">
        <v>115</v>
      </c>
      <c r="Q40" s="97">
        <v>86.0</v>
      </c>
      <c r="R40" s="97">
        <v>79.0</v>
      </c>
      <c r="S40" s="97" t="s">
        <v>115</v>
      </c>
      <c r="T40" s="97" t="s">
        <v>115</v>
      </c>
      <c r="U40" s="97">
        <v>251.0</v>
      </c>
      <c r="V40" s="97">
        <v>0.0</v>
      </c>
      <c r="W40" s="97" t="s">
        <v>115</v>
      </c>
      <c r="X40" s="97">
        <v>57.0</v>
      </c>
      <c r="Y40" s="97">
        <v>99.0</v>
      </c>
      <c r="Z40" s="97">
        <v>49.0</v>
      </c>
      <c r="AA40" s="97">
        <v>162.0</v>
      </c>
      <c r="AB40" s="97">
        <v>29.0</v>
      </c>
      <c r="AC40" s="97">
        <v>157.0</v>
      </c>
      <c r="AD40" s="97">
        <v>0.0</v>
      </c>
      <c r="AE40" s="97" t="s">
        <v>115</v>
      </c>
      <c r="AF40" s="97">
        <v>65.0</v>
      </c>
      <c r="AG40" s="97">
        <v>33.0</v>
      </c>
      <c r="AH40" s="97" t="s">
        <v>115</v>
      </c>
      <c r="AI40" s="97">
        <v>0.0</v>
      </c>
      <c r="AJ40" s="97">
        <v>48.0</v>
      </c>
      <c r="AK40" s="97" t="s">
        <v>115</v>
      </c>
      <c r="AL40" s="97">
        <v>41.0</v>
      </c>
      <c r="AM40" s="97">
        <v>53.0</v>
      </c>
      <c r="AN40" s="97">
        <v>63.0</v>
      </c>
      <c r="AO40" s="97">
        <v>85.0</v>
      </c>
    </row>
    <row r="41">
      <c r="A41" s="147" t="s">
        <v>110</v>
      </c>
      <c r="B41" s="97">
        <v>43.0</v>
      </c>
      <c r="C41" s="97">
        <v>58.0</v>
      </c>
      <c r="D41" s="97">
        <v>49.0</v>
      </c>
      <c r="E41" s="97">
        <v>217.0</v>
      </c>
      <c r="F41" s="97" t="s">
        <v>115</v>
      </c>
      <c r="G41" s="97">
        <v>52.0</v>
      </c>
      <c r="H41" s="97">
        <v>111.0</v>
      </c>
      <c r="I41" s="97">
        <v>84.0</v>
      </c>
      <c r="J41" s="97">
        <v>46.0</v>
      </c>
      <c r="K41" s="97">
        <v>65.0</v>
      </c>
      <c r="L41" s="97">
        <v>74.0</v>
      </c>
      <c r="M41" s="97">
        <v>128.0</v>
      </c>
      <c r="N41" s="97" t="s">
        <v>115</v>
      </c>
      <c r="O41" s="97">
        <v>0.0</v>
      </c>
      <c r="P41" s="97" t="s">
        <v>115</v>
      </c>
      <c r="Q41" s="97">
        <v>79.0</v>
      </c>
      <c r="R41" s="97">
        <v>65.0</v>
      </c>
      <c r="S41" s="97" t="s">
        <v>115</v>
      </c>
      <c r="T41" s="97" t="s">
        <v>115</v>
      </c>
      <c r="U41" s="97">
        <v>482.0</v>
      </c>
      <c r="V41" s="97" t="s">
        <v>115</v>
      </c>
      <c r="W41" s="97">
        <v>32.0</v>
      </c>
      <c r="X41" s="97">
        <v>61.0</v>
      </c>
      <c r="Y41" s="97">
        <v>129.0</v>
      </c>
      <c r="Z41" s="97">
        <v>73.0</v>
      </c>
      <c r="AA41" s="97">
        <v>156.0</v>
      </c>
      <c r="AB41" s="97">
        <v>29.0</v>
      </c>
      <c r="AC41" s="97">
        <v>149.0</v>
      </c>
      <c r="AD41" s="97" t="s">
        <v>115</v>
      </c>
      <c r="AE41" s="97" t="s">
        <v>115</v>
      </c>
      <c r="AF41" s="97">
        <v>46.0</v>
      </c>
      <c r="AG41" s="97">
        <v>72.0</v>
      </c>
      <c r="AH41" s="97">
        <v>95.0</v>
      </c>
      <c r="AI41" s="97">
        <v>57.0</v>
      </c>
      <c r="AJ41" s="97">
        <v>74.0</v>
      </c>
      <c r="AK41" s="97" t="s">
        <v>115</v>
      </c>
      <c r="AL41" s="97">
        <v>90.0</v>
      </c>
      <c r="AM41" s="97">
        <v>88.0</v>
      </c>
      <c r="AN41" s="97">
        <v>87.0</v>
      </c>
      <c r="AO41" s="97">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216</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217</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218</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44118.0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219</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173</v>
      </c>
      <c r="C8" s="154" t="s">
        <v>174</v>
      </c>
      <c r="D8" s="154" t="s">
        <v>175</v>
      </c>
      <c r="E8" s="154" t="s">
        <v>176</v>
      </c>
      <c r="F8" s="154" t="s">
        <v>177</v>
      </c>
      <c r="G8" s="154" t="s">
        <v>178</v>
      </c>
      <c r="H8" s="154" t="s">
        <v>179</v>
      </c>
      <c r="I8" s="154" t="s">
        <v>180</v>
      </c>
      <c r="J8" s="154" t="s">
        <v>181</v>
      </c>
      <c r="K8" s="154" t="s">
        <v>182</v>
      </c>
      <c r="L8" s="154" t="s">
        <v>183</v>
      </c>
      <c r="M8" s="154" t="s">
        <v>184</v>
      </c>
      <c r="N8" s="154" t="s">
        <v>185</v>
      </c>
      <c r="O8" s="154" t="s">
        <v>186</v>
      </c>
      <c r="P8" s="154" t="s">
        <v>187</v>
      </c>
      <c r="Q8" s="154" t="s">
        <v>188</v>
      </c>
      <c r="R8" s="154" t="s">
        <v>189</v>
      </c>
      <c r="S8" s="154" t="s">
        <v>190</v>
      </c>
      <c r="T8" s="154" t="s">
        <v>191</v>
      </c>
      <c r="U8" s="154" t="s">
        <v>192</v>
      </c>
      <c r="V8" s="154" t="s">
        <v>193</v>
      </c>
      <c r="W8" s="154" t="s">
        <v>194</v>
      </c>
      <c r="X8" s="154" t="s">
        <v>195</v>
      </c>
      <c r="Y8" s="154" t="s">
        <v>196</v>
      </c>
      <c r="Z8" s="154" t="s">
        <v>197</v>
      </c>
      <c r="AA8" s="154" t="s">
        <v>198</v>
      </c>
      <c r="AB8" s="154" t="s">
        <v>199</v>
      </c>
      <c r="AC8" s="154" t="s">
        <v>200</v>
      </c>
      <c r="AD8" s="154" t="s">
        <v>201</v>
      </c>
      <c r="AE8" s="154" t="s">
        <v>202</v>
      </c>
      <c r="AF8" s="154" t="s">
        <v>203</v>
      </c>
      <c r="AG8" s="154" t="s">
        <v>204</v>
      </c>
      <c r="AH8" s="154" t="s">
        <v>205</v>
      </c>
      <c r="AI8" s="154" t="s">
        <v>206</v>
      </c>
      <c r="AJ8" s="154" t="s">
        <v>207</v>
      </c>
      <c r="AK8" s="154" t="s">
        <v>208</v>
      </c>
      <c r="AL8" s="154" t="s">
        <v>209</v>
      </c>
      <c r="AM8" s="154" t="s">
        <v>210</v>
      </c>
      <c r="AN8" s="154" t="s">
        <v>211</v>
      </c>
      <c r="AO8" s="154" t="s">
        <v>212</v>
      </c>
      <c r="AP8" s="154" t="s">
        <v>167</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1063.0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14410.0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433.0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282.0</v>
      </c>
      <c r="AH20" s="157">
        <v>171.0</v>
      </c>
      <c r="AI20" s="157">
        <v>176.0</v>
      </c>
      <c r="AJ20" s="157">
        <v>943.0</v>
      </c>
      <c r="AK20" s="157">
        <v>55.0</v>
      </c>
      <c r="AL20" s="157">
        <v>348.0</v>
      </c>
      <c r="AM20" s="157">
        <v>145.0</v>
      </c>
      <c r="AN20" s="157">
        <v>603.0</v>
      </c>
      <c r="AO20" s="157">
        <v>405.0</v>
      </c>
      <c r="AP20" s="159">
        <v>16656.0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351.0</v>
      </c>
      <c r="AM21" s="157">
        <v>237.0</v>
      </c>
      <c r="AN21" s="157">
        <v>555.0</v>
      </c>
      <c r="AO21" s="157">
        <v>173.0</v>
      </c>
      <c r="AP21" s="159">
        <v>13860.0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556.0</v>
      </c>
      <c r="Z22" s="157">
        <v>160.0</v>
      </c>
      <c r="AA22" s="158">
        <v>1242.0</v>
      </c>
      <c r="AB22" s="157">
        <v>188.0</v>
      </c>
      <c r="AC22" s="158">
        <v>3554.0</v>
      </c>
      <c r="AD22" s="157">
        <v>84.0</v>
      </c>
      <c r="AE22" s="157">
        <v>138.0</v>
      </c>
      <c r="AF22" s="157">
        <v>260.0</v>
      </c>
      <c r="AG22" s="157">
        <v>335.0</v>
      </c>
      <c r="AH22" s="157">
        <v>165.0</v>
      </c>
      <c r="AI22" s="157">
        <v>147.0</v>
      </c>
      <c r="AJ22" s="158">
        <v>1129.0</v>
      </c>
      <c r="AK22" s="157">
        <v>52.0</v>
      </c>
      <c r="AL22" s="157">
        <v>442.0</v>
      </c>
      <c r="AM22" s="157">
        <v>168.0</v>
      </c>
      <c r="AN22" s="157">
        <v>587.0</v>
      </c>
      <c r="AO22" s="157">
        <v>150.0</v>
      </c>
      <c r="AP22" s="159">
        <v>15878.0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490.0</v>
      </c>
      <c r="Z23" s="157">
        <v>136.0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240.0</v>
      </c>
      <c r="AP23" s="159">
        <v>14173.0</v>
      </c>
    </row>
    <row r="24">
      <c r="A24" s="155" t="s">
        <v>94</v>
      </c>
      <c r="B24" s="157">
        <v>180.0</v>
      </c>
      <c r="C24" s="157">
        <v>231.0</v>
      </c>
      <c r="D24" s="157">
        <v>148.0</v>
      </c>
      <c r="E24" s="157">
        <v>297.0</v>
      </c>
      <c r="F24" s="157">
        <v>93.0</v>
      </c>
      <c r="G24" s="157">
        <v>363.0</v>
      </c>
      <c r="H24" s="157">
        <v>925.0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451.0</v>
      </c>
      <c r="Z24" s="157">
        <v>135.0</v>
      </c>
      <c r="AA24" s="157">
        <v>812.0</v>
      </c>
      <c r="AB24" s="157">
        <v>219.0</v>
      </c>
      <c r="AC24" s="158">
        <v>3238.0</v>
      </c>
      <c r="AD24" s="157">
        <v>62.0</v>
      </c>
      <c r="AE24" s="157">
        <v>133.0</v>
      </c>
      <c r="AF24" s="157">
        <v>204.0</v>
      </c>
      <c r="AG24" s="157">
        <v>410.0</v>
      </c>
      <c r="AH24" s="157">
        <v>110.0</v>
      </c>
      <c r="AI24" s="157">
        <v>157.0</v>
      </c>
      <c r="AJ24" s="157">
        <v>857.0</v>
      </c>
      <c r="AK24" s="157">
        <v>48.0</v>
      </c>
      <c r="AL24" s="157">
        <v>373.0</v>
      </c>
      <c r="AM24" s="157">
        <v>242.0</v>
      </c>
      <c r="AN24" s="157">
        <v>442.0</v>
      </c>
      <c r="AO24" s="157">
        <v>220.0</v>
      </c>
      <c r="AP24" s="159">
        <v>13832.0</v>
      </c>
    </row>
    <row r="25">
      <c r="A25" s="155" t="s">
        <v>95</v>
      </c>
      <c r="B25" s="157">
        <v>193.0</v>
      </c>
      <c r="C25" s="157">
        <v>257.0</v>
      </c>
      <c r="D25" s="157">
        <v>171.0</v>
      </c>
      <c r="E25" s="157">
        <v>276.0</v>
      </c>
      <c r="F25" s="157">
        <v>129.0</v>
      </c>
      <c r="G25" s="157">
        <v>486.0</v>
      </c>
      <c r="H25" s="158">
        <v>1069.0</v>
      </c>
      <c r="I25" s="157">
        <v>457.0</v>
      </c>
      <c r="J25" s="157">
        <v>326.0</v>
      </c>
      <c r="K25" s="157">
        <v>736.0</v>
      </c>
      <c r="L25" s="157">
        <v>59.0</v>
      </c>
      <c r="M25" s="157">
        <v>51.0</v>
      </c>
      <c r="N25" s="157">
        <v>96.0</v>
      </c>
      <c r="O25" s="157">
        <v>82.0</v>
      </c>
      <c r="P25" s="157">
        <v>87.0</v>
      </c>
      <c r="Q25" s="157">
        <v>424.0</v>
      </c>
      <c r="R25" s="157">
        <v>307.0</v>
      </c>
      <c r="S25" s="157">
        <v>28.0</v>
      </c>
      <c r="T25" s="157">
        <v>241.0</v>
      </c>
      <c r="U25" s="157">
        <v>173.0</v>
      </c>
      <c r="V25" s="157">
        <v>19.0</v>
      </c>
      <c r="W25" s="157">
        <v>414.0</v>
      </c>
      <c r="X25" s="157">
        <v>404.0</v>
      </c>
      <c r="Y25" s="157">
        <v>534.0</v>
      </c>
      <c r="Z25" s="157">
        <v>147.0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191.0</v>
      </c>
      <c r="AP25" s="159">
        <v>16010.0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382.0</v>
      </c>
      <c r="Z26" s="157">
        <v>170.0</v>
      </c>
      <c r="AA26" s="157">
        <v>854.0</v>
      </c>
      <c r="AB26" s="157">
        <v>158.0</v>
      </c>
      <c r="AC26" s="158">
        <v>2972.0</v>
      </c>
      <c r="AD26" s="157">
        <v>49.0</v>
      </c>
      <c r="AE26" s="157">
        <v>149.0</v>
      </c>
      <c r="AF26" s="157">
        <v>208.0</v>
      </c>
      <c r="AG26" s="157">
        <v>367.0</v>
      </c>
      <c r="AH26" s="157">
        <v>85.0</v>
      </c>
      <c r="AI26" s="157">
        <v>143.0</v>
      </c>
      <c r="AJ26" s="157">
        <v>967.0</v>
      </c>
      <c r="AK26" s="157">
        <v>63.0</v>
      </c>
      <c r="AL26" s="157">
        <v>395.0</v>
      </c>
      <c r="AM26" s="157">
        <v>286.0</v>
      </c>
      <c r="AN26" s="157">
        <v>512.0</v>
      </c>
      <c r="AO26" s="157">
        <v>166.0</v>
      </c>
      <c r="AP26" s="159">
        <v>13789.0</v>
      </c>
    </row>
    <row r="27">
      <c r="A27" s="155" t="s">
        <v>97</v>
      </c>
      <c r="B27" s="157">
        <v>263.0</v>
      </c>
      <c r="C27" s="157">
        <v>411.0</v>
      </c>
      <c r="D27" s="157">
        <v>184.0</v>
      </c>
      <c r="E27" s="157">
        <v>307.0</v>
      </c>
      <c r="F27" s="157">
        <v>154.0</v>
      </c>
      <c r="G27" s="157">
        <v>599.0</v>
      </c>
      <c r="H27" s="158">
        <v>1271.0</v>
      </c>
      <c r="I27" s="157">
        <v>482.0</v>
      </c>
      <c r="J27" s="157">
        <v>432.0</v>
      </c>
      <c r="K27" s="157">
        <v>913.0</v>
      </c>
      <c r="L27" s="157">
        <v>78.0</v>
      </c>
      <c r="M27" s="157">
        <v>77.0</v>
      </c>
      <c r="N27" s="157">
        <v>108.0</v>
      </c>
      <c r="O27" s="157">
        <v>105.0</v>
      </c>
      <c r="P27" s="157">
        <v>119.0</v>
      </c>
      <c r="Q27" s="157">
        <v>430.0</v>
      </c>
      <c r="R27" s="157">
        <v>309.0</v>
      </c>
      <c r="S27" s="157">
        <v>43.0</v>
      </c>
      <c r="T27" s="157">
        <v>374.0</v>
      </c>
      <c r="U27" s="157">
        <v>236.0</v>
      </c>
      <c r="V27" s="157">
        <v>31.0</v>
      </c>
      <c r="W27" s="157">
        <v>642.0</v>
      </c>
      <c r="X27" s="157">
        <v>483.0</v>
      </c>
      <c r="Y27" s="157">
        <v>573.0</v>
      </c>
      <c r="Z27" s="157">
        <v>135.0</v>
      </c>
      <c r="AA27" s="158">
        <v>1159.0</v>
      </c>
      <c r="AB27" s="157">
        <v>270.0</v>
      </c>
      <c r="AC27" s="158">
        <v>3984.0</v>
      </c>
      <c r="AD27" s="157">
        <v>59.0</v>
      </c>
      <c r="AE27" s="157">
        <v>190.0</v>
      </c>
      <c r="AF27" s="157">
        <v>343.0</v>
      </c>
      <c r="AG27" s="157">
        <v>598.0</v>
      </c>
      <c r="AH27" s="157">
        <v>134.0</v>
      </c>
      <c r="AI27" s="157">
        <v>174.0</v>
      </c>
      <c r="AJ27" s="158">
        <v>1202.0</v>
      </c>
      <c r="AK27" s="157">
        <v>102.0</v>
      </c>
      <c r="AL27" s="157">
        <v>494.0</v>
      </c>
      <c r="AM27" s="157">
        <v>274.0</v>
      </c>
      <c r="AN27" s="157">
        <v>580.0</v>
      </c>
      <c r="AO27" s="157">
        <v>419.0</v>
      </c>
      <c r="AP27" s="159">
        <v>18741.0</v>
      </c>
    </row>
    <row r="28">
      <c r="A28" s="155" t="s">
        <v>98</v>
      </c>
      <c r="B28" s="157">
        <v>278.0</v>
      </c>
      <c r="C28" s="157">
        <v>353.0</v>
      </c>
      <c r="D28" s="157">
        <v>174.0</v>
      </c>
      <c r="E28" s="157">
        <v>339.0</v>
      </c>
      <c r="F28" s="157">
        <v>171.0</v>
      </c>
      <c r="G28" s="157">
        <v>567.0</v>
      </c>
      <c r="H28" s="158">
        <v>1124.0</v>
      </c>
      <c r="I28" s="157">
        <v>477.0</v>
      </c>
      <c r="J28" s="157">
        <v>407.0</v>
      </c>
      <c r="K28" s="157">
        <v>743.0</v>
      </c>
      <c r="L28" s="157">
        <v>78.0</v>
      </c>
      <c r="M28" s="157">
        <v>75.0</v>
      </c>
      <c r="N28" s="157">
        <v>98.0</v>
      </c>
      <c r="O28" s="157">
        <v>94.0</v>
      </c>
      <c r="P28" s="157">
        <v>108.0</v>
      </c>
      <c r="Q28" s="157">
        <v>395.0</v>
      </c>
      <c r="R28" s="157">
        <v>292.0</v>
      </c>
      <c r="S28" s="157">
        <v>50.0</v>
      </c>
      <c r="T28" s="157">
        <v>343.0</v>
      </c>
      <c r="U28" s="157">
        <v>186.0</v>
      </c>
      <c r="V28" s="157">
        <v>40.0</v>
      </c>
      <c r="W28" s="157">
        <v>437.0</v>
      </c>
      <c r="X28" s="157">
        <v>463.0</v>
      </c>
      <c r="Y28" s="157">
        <v>525.0</v>
      </c>
      <c r="Z28" s="157">
        <v>131.0</v>
      </c>
      <c r="AA28" s="158">
        <v>1289.0</v>
      </c>
      <c r="AB28" s="157">
        <v>217.0</v>
      </c>
      <c r="AC28" s="158">
        <v>3532.0</v>
      </c>
      <c r="AD28" s="157">
        <v>73.0</v>
      </c>
      <c r="AE28" s="157">
        <v>175.0</v>
      </c>
      <c r="AF28" s="157">
        <v>311.0</v>
      </c>
      <c r="AG28" s="157">
        <v>526.0</v>
      </c>
      <c r="AH28" s="157">
        <v>154.0</v>
      </c>
      <c r="AI28" s="157">
        <v>178.0</v>
      </c>
      <c r="AJ28" s="158">
        <v>1161.0</v>
      </c>
      <c r="AK28" s="157">
        <v>79.0</v>
      </c>
      <c r="AL28" s="157">
        <v>466.0</v>
      </c>
      <c r="AM28" s="157">
        <v>306.0</v>
      </c>
      <c r="AN28" s="157">
        <v>551.0</v>
      </c>
      <c r="AO28" s="157">
        <v>529.0</v>
      </c>
      <c r="AP28" s="159">
        <v>17495.0</v>
      </c>
    </row>
    <row r="29">
      <c r="A29" s="160" t="s">
        <v>99</v>
      </c>
      <c r="B29" s="157">
        <v>276.0</v>
      </c>
      <c r="C29" s="157">
        <v>461.0</v>
      </c>
      <c r="D29" s="157">
        <v>195.0</v>
      </c>
      <c r="E29" s="157">
        <v>442.0</v>
      </c>
      <c r="F29" s="157">
        <v>151.0</v>
      </c>
      <c r="G29" s="157">
        <v>846.0</v>
      </c>
      <c r="H29" s="158">
        <v>1495.0</v>
      </c>
      <c r="I29" s="157">
        <v>497.0</v>
      </c>
      <c r="J29" s="157">
        <v>556.0</v>
      </c>
      <c r="K29" s="158">
        <v>1051.0</v>
      </c>
      <c r="L29" s="157">
        <v>106.0</v>
      </c>
      <c r="M29" s="157">
        <v>88.0</v>
      </c>
      <c r="N29" s="157">
        <v>129.0</v>
      </c>
      <c r="O29" s="157">
        <v>116.0</v>
      </c>
      <c r="P29" s="157">
        <v>113.0</v>
      </c>
      <c r="Q29" s="157">
        <v>525.0</v>
      </c>
      <c r="R29" s="157">
        <v>333.0</v>
      </c>
      <c r="S29" s="157">
        <v>52.0</v>
      </c>
      <c r="T29" s="157">
        <v>403.0</v>
      </c>
      <c r="U29" s="157">
        <v>269.0</v>
      </c>
      <c r="V29" s="157">
        <v>49.0</v>
      </c>
      <c r="W29" s="157">
        <v>637.0</v>
      </c>
      <c r="X29" s="157">
        <v>589.0</v>
      </c>
      <c r="Y29" s="157">
        <v>647.0</v>
      </c>
      <c r="Z29" s="157">
        <v>153.0</v>
      </c>
      <c r="AA29" s="158">
        <v>1629.0</v>
      </c>
      <c r="AB29" s="157">
        <v>208.0</v>
      </c>
      <c r="AC29" s="158">
        <v>4524.0</v>
      </c>
      <c r="AD29" s="157">
        <v>68.0</v>
      </c>
      <c r="AE29" s="157">
        <v>220.0</v>
      </c>
      <c r="AF29" s="157">
        <v>355.0</v>
      </c>
      <c r="AG29" s="157">
        <v>670.0</v>
      </c>
      <c r="AH29" s="157">
        <v>175.0</v>
      </c>
      <c r="AI29" s="157">
        <v>235.0</v>
      </c>
      <c r="AJ29" s="158">
        <v>1498.0</v>
      </c>
      <c r="AK29" s="157">
        <v>129.0</v>
      </c>
      <c r="AL29" s="157">
        <v>600.0</v>
      </c>
      <c r="AM29" s="157">
        <v>395.0</v>
      </c>
      <c r="AN29" s="157">
        <v>737.0</v>
      </c>
      <c r="AO29" s="158">
        <v>1099.0</v>
      </c>
      <c r="AP29" s="159">
        <v>22721.0</v>
      </c>
    </row>
    <row r="30">
      <c r="A30" s="161" t="s">
        <v>100</v>
      </c>
      <c r="B30" s="157">
        <v>333.0</v>
      </c>
      <c r="C30" s="157">
        <v>429.0</v>
      </c>
      <c r="D30" s="157">
        <v>200.0</v>
      </c>
      <c r="E30" s="157">
        <v>498.0</v>
      </c>
      <c r="F30" s="157">
        <v>145.0</v>
      </c>
      <c r="G30" s="157">
        <v>869.0</v>
      </c>
      <c r="H30" s="158">
        <v>1434.0</v>
      </c>
      <c r="I30" s="157">
        <v>591.0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621.0</v>
      </c>
      <c r="Z30" s="157">
        <v>152.0</v>
      </c>
      <c r="AA30" s="158">
        <v>1795.0</v>
      </c>
      <c r="AB30" s="157">
        <v>244.0</v>
      </c>
      <c r="AC30" s="158">
        <v>4623.0</v>
      </c>
      <c r="AD30" s="157">
        <v>94.0</v>
      </c>
      <c r="AE30" s="157">
        <v>224.0</v>
      </c>
      <c r="AF30" s="157">
        <v>325.0</v>
      </c>
      <c r="AG30" s="157">
        <v>538.0</v>
      </c>
      <c r="AH30" s="157">
        <v>198.0</v>
      </c>
      <c r="AI30" s="157">
        <v>230.0</v>
      </c>
      <c r="AJ30" s="158">
        <v>1717.0</v>
      </c>
      <c r="AK30" s="157">
        <v>127.0</v>
      </c>
      <c r="AL30" s="157">
        <v>615.0</v>
      </c>
      <c r="AM30" s="157">
        <v>351.0</v>
      </c>
      <c r="AN30" s="157">
        <v>888.0</v>
      </c>
      <c r="AO30" s="158">
        <v>1886.0</v>
      </c>
      <c r="AP30" s="159">
        <v>23385.0</v>
      </c>
    </row>
    <row r="31">
      <c r="A31" s="131" t="s">
        <v>101</v>
      </c>
      <c r="B31" s="157">
        <v>378.0</v>
      </c>
      <c r="C31" s="158">
        <v>1069.0</v>
      </c>
      <c r="D31" s="157">
        <v>227.0</v>
      </c>
      <c r="E31" s="157">
        <v>523.0</v>
      </c>
      <c r="F31" s="157">
        <v>159.0</v>
      </c>
      <c r="G31" s="157">
        <v>755.0</v>
      </c>
      <c r="H31" s="158">
        <v>1547.0</v>
      </c>
      <c r="I31" s="157">
        <v>626.0</v>
      </c>
      <c r="J31" s="157">
        <v>319.0</v>
      </c>
      <c r="K31" s="158">
        <v>1105.0</v>
      </c>
      <c r="L31" s="157">
        <v>82.0</v>
      </c>
      <c r="M31" s="157">
        <v>83.0</v>
      </c>
      <c r="N31" s="157">
        <v>112.0</v>
      </c>
      <c r="O31" s="157">
        <v>98.0</v>
      </c>
      <c r="P31" s="157">
        <v>96.0</v>
      </c>
      <c r="Q31" s="157">
        <v>509.0</v>
      </c>
      <c r="R31" s="157">
        <v>391.0</v>
      </c>
      <c r="S31" s="157">
        <v>55.0</v>
      </c>
      <c r="T31" s="157">
        <v>516.0</v>
      </c>
      <c r="U31" s="157">
        <v>220.0</v>
      </c>
      <c r="V31" s="157">
        <v>32.0</v>
      </c>
      <c r="W31" s="157">
        <v>651.0</v>
      </c>
      <c r="X31" s="157">
        <v>476.0</v>
      </c>
      <c r="Y31" s="157">
        <v>638.0</v>
      </c>
      <c r="Z31" s="157">
        <v>163.0</v>
      </c>
      <c r="AA31" s="158">
        <v>1616.0</v>
      </c>
      <c r="AB31" s="157">
        <v>261.0</v>
      </c>
      <c r="AC31" s="158">
        <v>5079.0</v>
      </c>
      <c r="AD31" s="157">
        <v>74.0</v>
      </c>
      <c r="AE31" s="157">
        <v>209.0</v>
      </c>
      <c r="AF31" s="157">
        <v>324.0</v>
      </c>
      <c r="AG31" s="157">
        <v>555.0</v>
      </c>
      <c r="AH31" s="157">
        <v>259.0</v>
      </c>
      <c r="AI31" s="157">
        <v>224.0</v>
      </c>
      <c r="AJ31" s="158">
        <v>1443.0</v>
      </c>
      <c r="AK31" s="157">
        <v>91.0</v>
      </c>
      <c r="AL31" s="157">
        <v>525.0</v>
      </c>
      <c r="AM31" s="157">
        <v>397.0</v>
      </c>
      <c r="AN31" s="157">
        <v>774.0</v>
      </c>
      <c r="AO31" s="158">
        <v>2602.0</v>
      </c>
      <c r="AP31" s="159">
        <v>25263.0</v>
      </c>
    </row>
    <row r="32">
      <c r="A32" s="131" t="s">
        <v>102</v>
      </c>
      <c r="B32" s="157">
        <v>403.0</v>
      </c>
      <c r="C32" s="157">
        <v>710.0</v>
      </c>
      <c r="D32" s="157">
        <v>302.0</v>
      </c>
      <c r="E32" s="157">
        <v>502.0</v>
      </c>
      <c r="F32" s="157">
        <v>144.0</v>
      </c>
      <c r="G32" s="157">
        <v>554.0</v>
      </c>
      <c r="H32" s="158">
        <v>1436.0</v>
      </c>
      <c r="I32" s="157">
        <v>740.0</v>
      </c>
      <c r="J32" s="157">
        <v>352.0</v>
      </c>
      <c r="K32" s="158">
        <v>1012.0</v>
      </c>
      <c r="L32" s="157">
        <v>79.0</v>
      </c>
      <c r="M32" s="157">
        <v>68.0</v>
      </c>
      <c r="N32" s="157">
        <v>116.0</v>
      </c>
      <c r="O32" s="157">
        <v>126.0</v>
      </c>
      <c r="P32" s="157">
        <v>122.0</v>
      </c>
      <c r="Q32" s="157">
        <v>490.0</v>
      </c>
      <c r="R32" s="157">
        <v>405.0</v>
      </c>
      <c r="S32" s="157">
        <v>58.0</v>
      </c>
      <c r="T32" s="157">
        <v>369.0</v>
      </c>
      <c r="U32" s="157">
        <v>255.0</v>
      </c>
      <c r="V32" s="157">
        <v>56.0</v>
      </c>
      <c r="W32" s="157">
        <v>547.0</v>
      </c>
      <c r="X32" s="157">
        <v>471.0</v>
      </c>
      <c r="Y32" s="157">
        <v>700.0</v>
      </c>
      <c r="Z32" s="157">
        <v>178.0</v>
      </c>
      <c r="AA32" s="158">
        <v>1646.0</v>
      </c>
      <c r="AB32" s="157">
        <v>303.0</v>
      </c>
      <c r="AC32" s="158">
        <v>4697.0</v>
      </c>
      <c r="AD32" s="157">
        <v>79.0</v>
      </c>
      <c r="AE32" s="157">
        <v>174.0</v>
      </c>
      <c r="AF32" s="157">
        <v>414.0</v>
      </c>
      <c r="AG32" s="157">
        <v>523.0</v>
      </c>
      <c r="AH32" s="157">
        <v>191.0</v>
      </c>
      <c r="AI32" s="157">
        <v>218.0</v>
      </c>
      <c r="AJ32" s="158">
        <v>1402.0</v>
      </c>
      <c r="AK32" s="157">
        <v>84.0</v>
      </c>
      <c r="AL32" s="157">
        <v>525.0</v>
      </c>
      <c r="AM32" s="157">
        <v>355.0</v>
      </c>
      <c r="AN32" s="157">
        <v>927.0</v>
      </c>
      <c r="AO32" s="158">
        <v>2388.0</v>
      </c>
      <c r="AP32" s="159">
        <v>24121.0</v>
      </c>
    </row>
    <row r="33">
      <c r="A33" s="131" t="s">
        <v>103</v>
      </c>
      <c r="B33" s="157">
        <v>440.0</v>
      </c>
      <c r="C33" s="158">
        <v>3650.0</v>
      </c>
      <c r="D33" s="157">
        <v>365.0</v>
      </c>
      <c r="E33" s="157">
        <v>414.0</v>
      </c>
      <c r="F33" s="157">
        <v>135.0</v>
      </c>
      <c r="G33" s="157">
        <v>569.0</v>
      </c>
      <c r="H33" s="158">
        <v>1400.0</v>
      </c>
      <c r="I33" s="157">
        <v>831.0</v>
      </c>
      <c r="J33" s="157">
        <v>405.0</v>
      </c>
      <c r="K33" s="157">
        <v>998.0</v>
      </c>
      <c r="L33" s="157">
        <v>100.0</v>
      </c>
      <c r="M33" s="157">
        <v>85.0</v>
      </c>
      <c r="N33" s="157">
        <v>174.0</v>
      </c>
      <c r="O33" s="157">
        <v>120.0</v>
      </c>
      <c r="P33" s="157">
        <v>119.0</v>
      </c>
      <c r="Q33" s="157">
        <v>462.0</v>
      </c>
      <c r="R33" s="157">
        <v>440.0</v>
      </c>
      <c r="S33" s="157">
        <v>63.0</v>
      </c>
      <c r="T33" s="157">
        <v>395.0</v>
      </c>
      <c r="U33" s="157">
        <v>321.0</v>
      </c>
      <c r="V33" s="157">
        <v>46.0</v>
      </c>
      <c r="W33" s="157">
        <v>535.0</v>
      </c>
      <c r="X33" s="157">
        <v>706.0</v>
      </c>
      <c r="Y33" s="157">
        <v>598.0</v>
      </c>
      <c r="Z33" s="157">
        <v>210.0</v>
      </c>
      <c r="AA33" s="158">
        <v>1582.0</v>
      </c>
      <c r="AB33" s="157">
        <v>285.0</v>
      </c>
      <c r="AC33" s="158">
        <v>5410.0</v>
      </c>
      <c r="AD33" s="157">
        <v>71.0</v>
      </c>
      <c r="AE33" s="157">
        <v>195.0</v>
      </c>
      <c r="AF33" s="158">
        <v>2094.0</v>
      </c>
      <c r="AG33" s="157">
        <v>508.0</v>
      </c>
      <c r="AH33" s="157">
        <v>257.0</v>
      </c>
      <c r="AI33" s="157">
        <v>234.0</v>
      </c>
      <c r="AJ33" s="158">
        <v>1484.0</v>
      </c>
      <c r="AK33" s="157">
        <v>84.0</v>
      </c>
      <c r="AL33" s="157">
        <v>499.0</v>
      </c>
      <c r="AM33" s="157">
        <v>398.0</v>
      </c>
      <c r="AN33" s="157">
        <v>791.0</v>
      </c>
      <c r="AO33" s="158">
        <v>2377.0</v>
      </c>
      <c r="AP33" s="159">
        <v>29850.0</v>
      </c>
    </row>
    <row r="34">
      <c r="A34" s="131" t="s">
        <v>104</v>
      </c>
      <c r="B34" s="157">
        <v>457.0</v>
      </c>
      <c r="C34" s="158">
        <v>6354.0</v>
      </c>
      <c r="D34" s="157">
        <v>259.0</v>
      </c>
      <c r="E34" s="157">
        <v>447.0</v>
      </c>
      <c r="F34" s="157">
        <v>174.0</v>
      </c>
      <c r="G34" s="157">
        <v>693.0</v>
      </c>
      <c r="H34" s="158">
        <v>1555.0</v>
      </c>
      <c r="I34" s="157">
        <v>782.0</v>
      </c>
      <c r="J34" s="157">
        <v>466.0</v>
      </c>
      <c r="K34" s="157">
        <v>986.0</v>
      </c>
      <c r="L34" s="157">
        <v>84.0</v>
      </c>
      <c r="M34" s="157">
        <v>110.0</v>
      </c>
      <c r="N34" s="157">
        <v>142.0</v>
      </c>
      <c r="O34" s="157">
        <v>126.0</v>
      </c>
      <c r="P34" s="157">
        <v>136.0</v>
      </c>
      <c r="Q34" s="157">
        <v>518.0</v>
      </c>
      <c r="R34" s="157">
        <v>475.0</v>
      </c>
      <c r="S34" s="157">
        <v>53.0</v>
      </c>
      <c r="T34" s="157">
        <v>291.0</v>
      </c>
      <c r="U34" s="157">
        <v>286.0</v>
      </c>
      <c r="V34" s="157">
        <v>44.0</v>
      </c>
      <c r="W34" s="157">
        <v>796.0</v>
      </c>
      <c r="X34" s="157">
        <v>598.0</v>
      </c>
      <c r="Y34" s="157">
        <v>631.0</v>
      </c>
      <c r="Z34" s="157">
        <v>319.0</v>
      </c>
      <c r="AA34" s="158">
        <v>1503.0</v>
      </c>
      <c r="AB34" s="157">
        <v>256.0</v>
      </c>
      <c r="AC34" s="158">
        <v>7152.0</v>
      </c>
      <c r="AD34" s="157">
        <v>68.0</v>
      </c>
      <c r="AE34" s="157">
        <v>236.0</v>
      </c>
      <c r="AF34" s="158">
        <v>4275.0</v>
      </c>
      <c r="AG34" s="157">
        <v>645.0</v>
      </c>
      <c r="AH34" s="157">
        <v>226.0</v>
      </c>
      <c r="AI34" s="157">
        <v>196.0</v>
      </c>
      <c r="AJ34" s="158">
        <v>1536.0</v>
      </c>
      <c r="AK34" s="157">
        <v>101.0</v>
      </c>
      <c r="AL34" s="157">
        <v>521.0</v>
      </c>
      <c r="AM34" s="157">
        <v>375.0</v>
      </c>
      <c r="AN34" s="157">
        <v>862.0</v>
      </c>
      <c r="AO34" s="158">
        <v>2145.0</v>
      </c>
      <c r="AP34" s="159">
        <v>36879.0</v>
      </c>
    </row>
    <row r="35">
      <c r="A35" s="131" t="s">
        <v>105</v>
      </c>
      <c r="B35" s="157">
        <v>576.0</v>
      </c>
      <c r="C35" s="158">
        <v>6994.0</v>
      </c>
      <c r="D35" s="157">
        <v>395.0</v>
      </c>
      <c r="E35" s="157">
        <v>342.0</v>
      </c>
      <c r="F35" s="157">
        <v>151.0</v>
      </c>
      <c r="G35" s="157">
        <v>675.0</v>
      </c>
      <c r="H35" s="158">
        <v>1734.0</v>
      </c>
      <c r="I35" s="157">
        <v>944.0</v>
      </c>
      <c r="J35" s="157">
        <v>531.0</v>
      </c>
      <c r="K35" s="158">
        <v>1096.0</v>
      </c>
      <c r="L35" s="157">
        <v>106.0</v>
      </c>
      <c r="M35" s="157">
        <v>126.0</v>
      </c>
      <c r="N35" s="157">
        <v>167.0</v>
      </c>
      <c r="O35" s="157">
        <v>126.0</v>
      </c>
      <c r="P35" s="157">
        <v>163.0</v>
      </c>
      <c r="Q35" s="157">
        <v>603.0</v>
      </c>
      <c r="R35" s="157">
        <v>555.0</v>
      </c>
      <c r="S35" s="157">
        <v>67.0</v>
      </c>
      <c r="T35" s="157">
        <v>408.0</v>
      </c>
      <c r="U35" s="157">
        <v>307.0</v>
      </c>
      <c r="V35" s="157">
        <v>26.0</v>
      </c>
      <c r="W35" s="158">
        <v>1230.0</v>
      </c>
      <c r="X35" s="157">
        <v>663.0</v>
      </c>
      <c r="Y35" s="157">
        <v>728.0</v>
      </c>
      <c r="Z35" s="157">
        <v>396.0</v>
      </c>
      <c r="AA35" s="158">
        <v>1801.0</v>
      </c>
      <c r="AB35" s="157">
        <v>360.0</v>
      </c>
      <c r="AC35" s="158">
        <v>12361.0</v>
      </c>
      <c r="AD35" s="157">
        <v>80.0</v>
      </c>
      <c r="AE35" s="157">
        <v>266.0</v>
      </c>
      <c r="AF35" s="158">
        <v>3401.0</v>
      </c>
      <c r="AG35" s="157">
        <v>632.0</v>
      </c>
      <c r="AH35" s="157">
        <v>271.0</v>
      </c>
      <c r="AI35" s="157">
        <v>261.0</v>
      </c>
      <c r="AJ35" s="158">
        <v>1536.0</v>
      </c>
      <c r="AK35" s="157">
        <v>128.0</v>
      </c>
      <c r="AL35" s="157">
        <v>452.0</v>
      </c>
      <c r="AM35" s="157">
        <v>361.0</v>
      </c>
      <c r="AN35" s="158">
        <v>1080.0</v>
      </c>
      <c r="AO35" s="158">
        <v>1018.0</v>
      </c>
      <c r="AP35" s="159">
        <v>43117.0</v>
      </c>
    </row>
    <row r="36">
      <c r="A36" s="131" t="s">
        <v>106</v>
      </c>
      <c r="B36" s="157">
        <v>507.0</v>
      </c>
      <c r="C36" s="158">
        <v>7513.0</v>
      </c>
      <c r="D36" s="157">
        <v>262.0</v>
      </c>
      <c r="E36" s="157">
        <v>351.0</v>
      </c>
      <c r="F36" s="157">
        <v>133.0</v>
      </c>
      <c r="G36" s="157">
        <v>620.0</v>
      </c>
      <c r="H36" s="158">
        <v>1480.0</v>
      </c>
      <c r="I36" s="157">
        <v>742.0</v>
      </c>
      <c r="J36" s="157">
        <v>407.0</v>
      </c>
      <c r="K36" s="158">
        <v>1066.0</v>
      </c>
      <c r="L36" s="157">
        <v>78.0</v>
      </c>
      <c r="M36" s="157">
        <v>94.0</v>
      </c>
      <c r="N36" s="157">
        <v>172.0</v>
      </c>
      <c r="O36" s="157">
        <v>114.0</v>
      </c>
      <c r="P36" s="157">
        <v>126.0</v>
      </c>
      <c r="Q36" s="157">
        <v>468.0</v>
      </c>
      <c r="R36" s="157">
        <v>467.0</v>
      </c>
      <c r="S36" s="157">
        <v>50.0</v>
      </c>
      <c r="T36" s="157">
        <v>496.0</v>
      </c>
      <c r="U36" s="157">
        <v>263.0</v>
      </c>
      <c r="V36" s="157">
        <v>61.0</v>
      </c>
      <c r="W36" s="158">
        <v>1692.0</v>
      </c>
      <c r="X36" s="157">
        <v>546.0</v>
      </c>
      <c r="Y36" s="157">
        <v>595.0</v>
      </c>
      <c r="Z36" s="157">
        <v>260.0</v>
      </c>
      <c r="AA36" s="158">
        <v>1649.0</v>
      </c>
      <c r="AB36" s="157">
        <v>278.0</v>
      </c>
      <c r="AC36" s="158">
        <v>10209.0</v>
      </c>
      <c r="AD36" s="157">
        <v>66.0</v>
      </c>
      <c r="AE36" s="157">
        <v>226.0</v>
      </c>
      <c r="AF36" s="158">
        <v>3660.0</v>
      </c>
      <c r="AG36" s="157">
        <v>518.0</v>
      </c>
      <c r="AH36" s="157">
        <v>267.0</v>
      </c>
      <c r="AI36" s="157">
        <v>217.0</v>
      </c>
      <c r="AJ36" s="158">
        <v>1383.0</v>
      </c>
      <c r="AK36" s="157">
        <v>100.0</v>
      </c>
      <c r="AL36" s="157">
        <v>430.0</v>
      </c>
      <c r="AM36" s="157">
        <v>331.0</v>
      </c>
      <c r="AN36" s="157">
        <v>682.0</v>
      </c>
      <c r="AO36" s="158">
        <v>1319.0</v>
      </c>
      <c r="AP36" s="159">
        <v>39898.0</v>
      </c>
    </row>
    <row r="37">
      <c r="A37" s="131" t="s">
        <v>107</v>
      </c>
      <c r="B37" s="157">
        <v>555.0</v>
      </c>
      <c r="C37" s="158">
        <v>8138.0</v>
      </c>
      <c r="D37" s="157">
        <v>309.0</v>
      </c>
      <c r="E37" s="157">
        <v>395.0</v>
      </c>
      <c r="F37" s="157">
        <v>169.0</v>
      </c>
      <c r="G37" s="157">
        <v>750.0</v>
      </c>
      <c r="H37" s="158">
        <v>1766.0</v>
      </c>
      <c r="I37" s="157">
        <v>806.0</v>
      </c>
      <c r="J37" s="157">
        <v>491.0</v>
      </c>
      <c r="K37" s="158">
        <v>1149.0</v>
      </c>
      <c r="L37" s="157">
        <v>128.0</v>
      </c>
      <c r="M37" s="157">
        <v>131.0</v>
      </c>
      <c r="N37" s="157">
        <v>194.0</v>
      </c>
      <c r="O37" s="157">
        <v>151.0</v>
      </c>
      <c r="P37" s="157">
        <v>171.0</v>
      </c>
      <c r="Q37" s="157">
        <v>673.0</v>
      </c>
      <c r="R37" s="157">
        <v>598.0</v>
      </c>
      <c r="S37" s="157">
        <v>50.0</v>
      </c>
      <c r="T37" s="157">
        <v>308.0</v>
      </c>
      <c r="U37" s="157">
        <v>349.0</v>
      </c>
      <c r="V37" s="157">
        <v>38.0</v>
      </c>
      <c r="W37" s="157">
        <v>801.0</v>
      </c>
      <c r="X37" s="157">
        <v>733.0</v>
      </c>
      <c r="Y37" s="157">
        <v>741.0</v>
      </c>
      <c r="Z37" s="157">
        <v>322.0</v>
      </c>
      <c r="AA37" s="158">
        <v>1750.0</v>
      </c>
      <c r="AB37" s="157">
        <v>354.0</v>
      </c>
      <c r="AC37" s="158">
        <v>12359.0</v>
      </c>
      <c r="AD37" s="157">
        <v>72.0</v>
      </c>
      <c r="AE37" s="157">
        <v>289.0</v>
      </c>
      <c r="AF37" s="158">
        <v>3734.0</v>
      </c>
      <c r="AG37" s="157">
        <v>668.0</v>
      </c>
      <c r="AH37" s="157">
        <v>276.0</v>
      </c>
      <c r="AI37" s="157">
        <v>256.0</v>
      </c>
      <c r="AJ37" s="158">
        <v>1623.0</v>
      </c>
      <c r="AK37" s="157">
        <v>135.0</v>
      </c>
      <c r="AL37" s="157">
        <v>577.0</v>
      </c>
      <c r="AM37" s="157">
        <v>426.0</v>
      </c>
      <c r="AN37" s="157">
        <v>885.0</v>
      </c>
      <c r="AO37" s="158">
        <v>1320.0</v>
      </c>
      <c r="AP37" s="159">
        <v>44640.0</v>
      </c>
    </row>
    <row r="38">
      <c r="A38" s="131" t="s">
        <v>108</v>
      </c>
      <c r="B38" s="157">
        <v>686.0</v>
      </c>
      <c r="C38" s="158">
        <v>7829.0</v>
      </c>
      <c r="D38" s="157">
        <v>381.0</v>
      </c>
      <c r="E38" s="157">
        <v>478.0</v>
      </c>
      <c r="F38" s="157">
        <v>224.0</v>
      </c>
      <c r="G38" s="157">
        <v>811.0</v>
      </c>
      <c r="H38" s="158">
        <v>1895.0</v>
      </c>
      <c r="I38" s="158">
        <v>1030.0</v>
      </c>
      <c r="J38" s="157">
        <v>611.0</v>
      </c>
      <c r="K38" s="158">
        <v>1360.0</v>
      </c>
      <c r="L38" s="157">
        <v>139.0</v>
      </c>
      <c r="M38" s="157">
        <v>158.0</v>
      </c>
      <c r="N38" s="157">
        <v>231.0</v>
      </c>
      <c r="O38" s="157">
        <v>173.0</v>
      </c>
      <c r="P38" s="157">
        <v>177.0</v>
      </c>
      <c r="Q38" s="157">
        <v>737.0</v>
      </c>
      <c r="R38" s="157">
        <v>668.0</v>
      </c>
      <c r="S38" s="157">
        <v>61.0</v>
      </c>
      <c r="T38" s="157">
        <v>383.0</v>
      </c>
      <c r="U38" s="157">
        <v>366.0</v>
      </c>
      <c r="V38" s="157">
        <v>35.0</v>
      </c>
      <c r="W38" s="157">
        <v>948.0</v>
      </c>
      <c r="X38" s="157">
        <v>792.0</v>
      </c>
      <c r="Y38" s="157">
        <v>810.0</v>
      </c>
      <c r="Z38" s="157">
        <v>400.0</v>
      </c>
      <c r="AA38" s="158">
        <v>1977.0</v>
      </c>
      <c r="AB38" s="157">
        <v>354.0</v>
      </c>
      <c r="AC38" s="158">
        <v>13734.0</v>
      </c>
      <c r="AD38" s="157">
        <v>90.0</v>
      </c>
      <c r="AE38" s="157">
        <v>337.0</v>
      </c>
      <c r="AF38" s="158">
        <v>3781.0</v>
      </c>
      <c r="AG38" s="157">
        <v>721.0</v>
      </c>
      <c r="AH38" s="157">
        <v>323.0</v>
      </c>
      <c r="AI38" s="157">
        <v>278.0</v>
      </c>
      <c r="AJ38" s="158">
        <v>1786.0</v>
      </c>
      <c r="AK38" s="157">
        <v>151.0</v>
      </c>
      <c r="AL38" s="157">
        <v>579.0</v>
      </c>
      <c r="AM38" s="157">
        <v>530.0</v>
      </c>
      <c r="AN38" s="157">
        <v>900.0</v>
      </c>
      <c r="AO38" s="158">
        <v>1981.0</v>
      </c>
      <c r="AP38" s="159">
        <v>48905.0</v>
      </c>
    </row>
    <row r="39">
      <c r="A39" s="131" t="s">
        <v>109</v>
      </c>
      <c r="B39" s="157">
        <v>692.0</v>
      </c>
      <c r="C39" s="158">
        <v>7525.0</v>
      </c>
      <c r="D39" s="157">
        <v>483.0</v>
      </c>
      <c r="E39" s="157">
        <v>526.0</v>
      </c>
      <c r="F39" s="157">
        <v>221.0</v>
      </c>
      <c r="G39" s="157">
        <v>904.0</v>
      </c>
      <c r="H39" s="158">
        <v>1996.0</v>
      </c>
      <c r="I39" s="158">
        <v>1043.0</v>
      </c>
      <c r="J39" s="157">
        <v>597.0</v>
      </c>
      <c r="K39" s="158">
        <v>1447.0</v>
      </c>
      <c r="L39" s="157">
        <v>147.0</v>
      </c>
      <c r="M39" s="157">
        <v>138.0</v>
      </c>
      <c r="N39" s="157">
        <v>225.0</v>
      </c>
      <c r="O39" s="157">
        <v>216.0</v>
      </c>
      <c r="P39" s="157">
        <v>173.0</v>
      </c>
      <c r="Q39" s="157">
        <v>831.0</v>
      </c>
      <c r="R39" s="157">
        <v>719.0</v>
      </c>
      <c r="S39" s="157">
        <v>70.0</v>
      </c>
      <c r="T39" s="157">
        <v>404.0</v>
      </c>
      <c r="U39" s="157">
        <v>428.0</v>
      </c>
      <c r="V39" s="157">
        <v>27.0</v>
      </c>
      <c r="W39" s="157">
        <v>798.0</v>
      </c>
      <c r="X39" s="157">
        <v>933.0</v>
      </c>
      <c r="Y39" s="157">
        <v>908.0</v>
      </c>
      <c r="Z39" s="157">
        <v>396.0</v>
      </c>
      <c r="AA39" s="158">
        <v>2365.0</v>
      </c>
      <c r="AB39" s="157">
        <v>342.0</v>
      </c>
      <c r="AC39" s="158">
        <v>14563.0</v>
      </c>
      <c r="AD39" s="157">
        <v>129.0</v>
      </c>
      <c r="AE39" s="157">
        <v>334.0</v>
      </c>
      <c r="AF39" s="158">
        <v>3770.0</v>
      </c>
      <c r="AG39" s="157">
        <v>854.0</v>
      </c>
      <c r="AH39" s="157">
        <v>309.0</v>
      </c>
      <c r="AI39" s="157">
        <v>270.0</v>
      </c>
      <c r="AJ39" s="158">
        <v>1847.0</v>
      </c>
      <c r="AK39" s="157">
        <v>162.0</v>
      </c>
      <c r="AL39" s="157">
        <v>603.0</v>
      </c>
      <c r="AM39" s="157">
        <v>575.0</v>
      </c>
      <c r="AN39" s="157">
        <v>965.0</v>
      </c>
      <c r="AO39" s="158">
        <v>2024.0</v>
      </c>
      <c r="AP39" s="159">
        <v>50959.0</v>
      </c>
    </row>
    <row r="40">
      <c r="A40" s="131" t="s">
        <v>110</v>
      </c>
      <c r="B40" s="157">
        <v>838.0</v>
      </c>
      <c r="C40" s="158">
        <v>7219.0</v>
      </c>
      <c r="D40" s="157">
        <v>484.0</v>
      </c>
      <c r="E40" s="157">
        <v>551.0</v>
      </c>
      <c r="F40" s="157">
        <v>264.0</v>
      </c>
      <c r="G40" s="157">
        <v>984.0</v>
      </c>
      <c r="H40" s="158">
        <v>2241.0</v>
      </c>
      <c r="I40" s="158">
        <v>1226.0</v>
      </c>
      <c r="J40" s="157">
        <v>836.0</v>
      </c>
      <c r="K40" s="158">
        <v>1431.0</v>
      </c>
      <c r="L40" s="157">
        <v>218.0</v>
      </c>
      <c r="M40" s="157">
        <v>187.0</v>
      </c>
      <c r="N40" s="157">
        <v>272.0</v>
      </c>
      <c r="O40" s="157">
        <v>319.0</v>
      </c>
      <c r="P40" s="157">
        <v>245.0</v>
      </c>
      <c r="Q40" s="157">
        <v>873.0</v>
      </c>
      <c r="R40" s="157">
        <v>795.0</v>
      </c>
      <c r="S40" s="157">
        <v>85.0</v>
      </c>
      <c r="T40" s="157">
        <v>480.0</v>
      </c>
      <c r="U40" s="157">
        <v>493.0</v>
      </c>
      <c r="V40" s="157">
        <v>26.0</v>
      </c>
      <c r="W40" s="157">
        <v>959.0</v>
      </c>
      <c r="X40" s="158">
        <v>1187.0</v>
      </c>
      <c r="Y40" s="157">
        <v>992.0</v>
      </c>
      <c r="Z40" s="157">
        <v>404.0</v>
      </c>
      <c r="AA40" s="158">
        <v>2407.0</v>
      </c>
      <c r="AB40" s="157">
        <v>482.0</v>
      </c>
      <c r="AC40" s="158">
        <v>15383.0</v>
      </c>
      <c r="AD40" s="157">
        <v>160.0</v>
      </c>
      <c r="AE40" s="157">
        <v>411.0</v>
      </c>
      <c r="AF40" s="158">
        <v>3907.0</v>
      </c>
      <c r="AG40" s="158">
        <v>1379.0</v>
      </c>
      <c r="AH40" s="157">
        <v>411.0</v>
      </c>
      <c r="AI40" s="157">
        <v>313.0</v>
      </c>
      <c r="AJ40" s="158">
        <v>2126.0</v>
      </c>
      <c r="AK40" s="157">
        <v>231.0</v>
      </c>
      <c r="AL40" s="157">
        <v>679.0</v>
      </c>
      <c r="AM40" s="157">
        <v>701.0</v>
      </c>
      <c r="AN40" s="157">
        <v>973.0</v>
      </c>
      <c r="AO40" s="158">
        <v>4182.0</v>
      </c>
      <c r="AP40" s="159">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220</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221</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222</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223</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173</v>
      </c>
      <c r="C8" s="163" t="s">
        <v>174</v>
      </c>
      <c r="D8" s="163" t="s">
        <v>175</v>
      </c>
      <c r="E8" s="163" t="s">
        <v>176</v>
      </c>
      <c r="F8" s="163" t="s">
        <v>177</v>
      </c>
      <c r="G8" s="163" t="s">
        <v>178</v>
      </c>
      <c r="H8" s="163" t="s">
        <v>179</v>
      </c>
      <c r="I8" s="163" t="s">
        <v>180</v>
      </c>
      <c r="J8" s="163" t="s">
        <v>181</v>
      </c>
      <c r="K8" s="163" t="s">
        <v>182</v>
      </c>
      <c r="L8" s="163" t="s">
        <v>183</v>
      </c>
      <c r="M8" s="163" t="s">
        <v>184</v>
      </c>
      <c r="N8" s="163" t="s">
        <v>185</v>
      </c>
      <c r="O8" s="163" t="s">
        <v>186</v>
      </c>
      <c r="P8" s="163" t="s">
        <v>187</v>
      </c>
      <c r="Q8" s="163" t="s">
        <v>188</v>
      </c>
      <c r="R8" s="163" t="s">
        <v>189</v>
      </c>
      <c r="S8" s="163" t="s">
        <v>190</v>
      </c>
      <c r="T8" s="163" t="s">
        <v>191</v>
      </c>
      <c r="U8" s="163" t="s">
        <v>192</v>
      </c>
      <c r="V8" s="163" t="s">
        <v>193</v>
      </c>
      <c r="W8" s="163" t="s">
        <v>194</v>
      </c>
      <c r="X8" s="163" t="s">
        <v>195</v>
      </c>
      <c r="Y8" s="163" t="s">
        <v>196</v>
      </c>
      <c r="Z8" s="163" t="s">
        <v>197</v>
      </c>
      <c r="AA8" s="163" t="s">
        <v>198</v>
      </c>
      <c r="AB8" s="163" t="s">
        <v>199</v>
      </c>
      <c r="AC8" s="163" t="s">
        <v>200</v>
      </c>
      <c r="AD8" s="163" t="s">
        <v>201</v>
      </c>
      <c r="AE8" s="163" t="s">
        <v>202</v>
      </c>
      <c r="AF8" s="163" t="s">
        <v>203</v>
      </c>
      <c r="AG8" s="163" t="s">
        <v>204</v>
      </c>
      <c r="AH8" s="163" t="s">
        <v>205</v>
      </c>
      <c r="AI8" s="163" t="s">
        <v>206</v>
      </c>
      <c r="AJ8" s="163" t="s">
        <v>207</v>
      </c>
      <c r="AK8" s="163" t="s">
        <v>208</v>
      </c>
      <c r="AL8" s="163" t="s">
        <v>209</v>
      </c>
      <c r="AM8" s="163" t="s">
        <v>210</v>
      </c>
      <c r="AN8" s="163" t="s">
        <v>211</v>
      </c>
      <c r="AO8" s="163" t="s">
        <v>167</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115</v>
      </c>
      <c r="C17" s="164">
        <v>0.051</v>
      </c>
      <c r="D17" s="164">
        <v>0.052</v>
      </c>
      <c r="E17" s="164">
        <v>0.227</v>
      </c>
      <c r="F17" s="164" t="s">
        <v>115</v>
      </c>
      <c r="G17" s="164">
        <v>0.044</v>
      </c>
      <c r="H17" s="164">
        <v>0.103</v>
      </c>
      <c r="I17" s="164">
        <v>0.049</v>
      </c>
      <c r="J17" s="164">
        <v>0.067</v>
      </c>
      <c r="K17" s="164">
        <v>0.056</v>
      </c>
      <c r="L17" s="164" t="s">
        <v>115</v>
      </c>
      <c r="M17" s="164" t="s">
        <v>115</v>
      </c>
      <c r="N17" s="164" t="s">
        <v>115</v>
      </c>
      <c r="O17" s="164">
        <v>0.0</v>
      </c>
      <c r="P17" s="164">
        <v>0.0</v>
      </c>
      <c r="Q17" s="164">
        <v>0.071</v>
      </c>
      <c r="R17" s="164">
        <v>0.073</v>
      </c>
      <c r="S17" s="164">
        <v>0.0</v>
      </c>
      <c r="T17" s="164" t="s">
        <v>115</v>
      </c>
      <c r="U17" s="164" t="s">
        <v>115</v>
      </c>
      <c r="V17" s="164">
        <v>0.0</v>
      </c>
      <c r="W17" s="164">
        <v>0.037</v>
      </c>
      <c r="X17" s="164">
        <v>0.021</v>
      </c>
      <c r="Y17" s="164">
        <v>0.098</v>
      </c>
      <c r="Z17" s="164" t="s">
        <v>115</v>
      </c>
      <c r="AA17" s="164">
        <v>0.155</v>
      </c>
      <c r="AB17" s="164" t="s">
        <v>115</v>
      </c>
      <c r="AC17" s="164">
        <v>0.197</v>
      </c>
      <c r="AD17" s="164">
        <v>0.116</v>
      </c>
      <c r="AE17" s="164" t="s">
        <v>115</v>
      </c>
      <c r="AF17" s="164">
        <v>0.055</v>
      </c>
      <c r="AG17" s="164" t="s">
        <v>115</v>
      </c>
      <c r="AH17" s="164">
        <v>0.049</v>
      </c>
      <c r="AI17" s="164" t="s">
        <v>115</v>
      </c>
      <c r="AJ17" s="164">
        <v>0.076</v>
      </c>
      <c r="AK17" s="164" t="s">
        <v>115</v>
      </c>
      <c r="AL17" s="164">
        <v>0.085</v>
      </c>
      <c r="AM17" s="164">
        <v>0.074</v>
      </c>
      <c r="AN17" s="164">
        <v>0.107</v>
      </c>
      <c r="AO17" s="164">
        <v>0.114</v>
      </c>
    </row>
    <row r="18">
      <c r="A18" s="161" t="s">
        <v>88</v>
      </c>
      <c r="B18" s="164" t="s">
        <v>115</v>
      </c>
      <c r="C18" s="164">
        <v>0.039</v>
      </c>
      <c r="D18" s="164" t="s">
        <v>115</v>
      </c>
      <c r="E18" s="164">
        <v>0.199</v>
      </c>
      <c r="F18" s="164" t="s">
        <v>115</v>
      </c>
      <c r="G18" s="164">
        <v>0.037</v>
      </c>
      <c r="H18" s="164">
        <v>0.071</v>
      </c>
      <c r="I18" s="164">
        <v>0.061</v>
      </c>
      <c r="J18" s="164">
        <v>0.046</v>
      </c>
      <c r="K18" s="164">
        <v>0.068</v>
      </c>
      <c r="L18" s="164">
        <v>0.15</v>
      </c>
      <c r="M18" s="164" t="s">
        <v>115</v>
      </c>
      <c r="N18" s="164" t="s">
        <v>115</v>
      </c>
      <c r="O18" s="164" t="s">
        <v>115</v>
      </c>
      <c r="P18" s="164" t="s">
        <v>115</v>
      </c>
      <c r="Q18" s="164">
        <v>0.077</v>
      </c>
      <c r="R18" s="164">
        <v>0.066</v>
      </c>
      <c r="S18" s="164" t="s">
        <v>115</v>
      </c>
      <c r="T18" s="164" t="s">
        <v>115</v>
      </c>
      <c r="U18" s="164" t="s">
        <v>115</v>
      </c>
      <c r="V18" s="164">
        <v>0.0</v>
      </c>
      <c r="W18" s="164">
        <v>0.036</v>
      </c>
      <c r="X18" s="164">
        <v>0.035</v>
      </c>
      <c r="Y18" s="164">
        <v>0.079</v>
      </c>
      <c r="Z18" s="164" t="s">
        <v>115</v>
      </c>
      <c r="AA18" s="164">
        <v>0.13</v>
      </c>
      <c r="AB18" s="164" t="s">
        <v>115</v>
      </c>
      <c r="AC18" s="164">
        <v>0.142</v>
      </c>
      <c r="AD18" s="164" t="s">
        <v>115</v>
      </c>
      <c r="AE18" s="164" t="s">
        <v>115</v>
      </c>
      <c r="AF18" s="164">
        <v>0.058</v>
      </c>
      <c r="AG18" s="164" t="s">
        <v>115</v>
      </c>
      <c r="AH18" s="164">
        <v>0.029</v>
      </c>
      <c r="AI18" s="164" t="s">
        <v>115</v>
      </c>
      <c r="AJ18" s="164">
        <v>0.049</v>
      </c>
      <c r="AK18" s="164">
        <v>0.0</v>
      </c>
      <c r="AL18" s="164">
        <v>0.085</v>
      </c>
      <c r="AM18" s="164" t="s">
        <v>115</v>
      </c>
      <c r="AN18" s="164">
        <v>0.115</v>
      </c>
      <c r="AO18" s="164">
        <v>0.089</v>
      </c>
    </row>
    <row r="19">
      <c r="A19" s="161" t="s">
        <v>89</v>
      </c>
      <c r="B19" s="164">
        <v>0.05</v>
      </c>
      <c r="C19" s="164">
        <v>0.028</v>
      </c>
      <c r="D19" s="164" t="s">
        <v>115</v>
      </c>
      <c r="E19" s="164">
        <v>0.156</v>
      </c>
      <c r="F19" s="164">
        <v>0.0</v>
      </c>
      <c r="G19" s="164">
        <v>0.025</v>
      </c>
      <c r="H19" s="164">
        <v>0.066</v>
      </c>
      <c r="I19" s="164">
        <v>0.029</v>
      </c>
      <c r="J19" s="164">
        <v>0.029</v>
      </c>
      <c r="K19" s="164">
        <v>0.046</v>
      </c>
      <c r="L19" s="164" t="s">
        <v>115</v>
      </c>
      <c r="M19" s="164" t="s">
        <v>115</v>
      </c>
      <c r="N19" s="164">
        <v>0.087</v>
      </c>
      <c r="O19" s="164" t="s">
        <v>115</v>
      </c>
      <c r="P19" s="164">
        <v>0.0</v>
      </c>
      <c r="Q19" s="164">
        <v>0.053</v>
      </c>
      <c r="R19" s="164">
        <v>0.043</v>
      </c>
      <c r="S19" s="164">
        <v>0.0</v>
      </c>
      <c r="T19" s="164">
        <v>0.0</v>
      </c>
      <c r="U19" s="164" t="s">
        <v>115</v>
      </c>
      <c r="V19" s="164" t="s">
        <v>115</v>
      </c>
      <c r="W19" s="164" t="s">
        <v>115</v>
      </c>
      <c r="X19" s="164">
        <v>0.016</v>
      </c>
      <c r="Y19" s="164">
        <v>0.074</v>
      </c>
      <c r="Z19" s="164">
        <v>0.031</v>
      </c>
      <c r="AA19" s="164">
        <v>0.086</v>
      </c>
      <c r="AB19" s="164" t="s">
        <v>115</v>
      </c>
      <c r="AC19" s="164">
        <v>0.121</v>
      </c>
      <c r="AD19" s="164">
        <v>0.0</v>
      </c>
      <c r="AE19" s="164">
        <v>0.036</v>
      </c>
      <c r="AF19" s="164">
        <v>0.054</v>
      </c>
      <c r="AG19" s="164" t="s">
        <v>115</v>
      </c>
      <c r="AH19" s="164">
        <v>0.051</v>
      </c>
      <c r="AI19" s="164">
        <v>0.083</v>
      </c>
      <c r="AJ19" s="164">
        <v>0.035</v>
      </c>
      <c r="AK19" s="164" t="s">
        <v>115</v>
      </c>
      <c r="AL19" s="164">
        <v>0.035</v>
      </c>
      <c r="AM19" s="164" t="s">
        <v>115</v>
      </c>
      <c r="AN19" s="164">
        <v>0.081</v>
      </c>
      <c r="AO19" s="164">
        <v>0.066</v>
      </c>
    </row>
    <row r="20">
      <c r="A20" s="161" t="s">
        <v>90</v>
      </c>
      <c r="B20" s="164">
        <v>0.052</v>
      </c>
      <c r="C20" s="164">
        <v>0.036</v>
      </c>
      <c r="D20" s="164">
        <v>0.04</v>
      </c>
      <c r="E20" s="164">
        <v>0.122</v>
      </c>
      <c r="F20" s="164">
        <v>0.0</v>
      </c>
      <c r="G20" s="164">
        <v>0.042</v>
      </c>
      <c r="H20" s="164">
        <v>0.057</v>
      </c>
      <c r="I20" s="164">
        <v>0.025</v>
      </c>
      <c r="J20" s="164" t="s">
        <v>115</v>
      </c>
      <c r="K20" s="164">
        <v>0.023</v>
      </c>
      <c r="L20" s="164" t="s">
        <v>115</v>
      </c>
      <c r="M20" s="164" t="s">
        <v>115</v>
      </c>
      <c r="N20" s="164" t="s">
        <v>115</v>
      </c>
      <c r="O20" s="164" t="s">
        <v>115</v>
      </c>
      <c r="P20" s="164" t="s">
        <v>115</v>
      </c>
      <c r="Q20" s="164">
        <v>0.045</v>
      </c>
      <c r="R20" s="164">
        <v>0.035</v>
      </c>
      <c r="S20" s="164" t="s">
        <v>115</v>
      </c>
      <c r="T20" s="164" t="s">
        <v>115</v>
      </c>
      <c r="U20" s="164" t="s">
        <v>115</v>
      </c>
      <c r="V20" s="164">
        <v>0.0</v>
      </c>
      <c r="W20" s="164" t="s">
        <v>115</v>
      </c>
      <c r="X20" s="164">
        <v>0.017</v>
      </c>
      <c r="Y20" s="164">
        <v>0.045</v>
      </c>
      <c r="Z20" s="164">
        <v>0.035</v>
      </c>
      <c r="AA20" s="164">
        <v>0.071</v>
      </c>
      <c r="AB20" s="164">
        <v>0.047</v>
      </c>
      <c r="AC20" s="164">
        <v>0.1</v>
      </c>
      <c r="AD20" s="164" t="s">
        <v>115</v>
      </c>
      <c r="AE20" s="164" t="s">
        <v>115</v>
      </c>
      <c r="AF20" s="164">
        <v>0.027</v>
      </c>
      <c r="AG20" s="164" t="s">
        <v>115</v>
      </c>
      <c r="AH20" s="164">
        <v>0.053</v>
      </c>
      <c r="AI20" s="164">
        <v>0.028</v>
      </c>
      <c r="AJ20" s="164">
        <v>0.038</v>
      </c>
      <c r="AK20" s="164" t="s">
        <v>115</v>
      </c>
      <c r="AL20" s="164">
        <v>0.034</v>
      </c>
      <c r="AM20" s="164" t="s">
        <v>115</v>
      </c>
      <c r="AN20" s="164">
        <v>0.061</v>
      </c>
      <c r="AO20" s="164">
        <v>0.057</v>
      </c>
    </row>
    <row r="21">
      <c r="A21" s="161" t="s">
        <v>91</v>
      </c>
      <c r="B21" s="164" t="s">
        <v>115</v>
      </c>
      <c r="C21" s="164">
        <v>0.029</v>
      </c>
      <c r="D21" s="164" t="s">
        <v>115</v>
      </c>
      <c r="E21" s="164">
        <v>0.085</v>
      </c>
      <c r="F21" s="164" t="s">
        <v>115</v>
      </c>
      <c r="G21" s="164">
        <v>0.022</v>
      </c>
      <c r="H21" s="164">
        <v>0.048</v>
      </c>
      <c r="I21" s="164">
        <v>0.019</v>
      </c>
      <c r="J21" s="164">
        <v>0.0</v>
      </c>
      <c r="K21" s="164">
        <v>0.032</v>
      </c>
      <c r="L21" s="164">
        <v>0.0</v>
      </c>
      <c r="M21" s="164" t="s">
        <v>115</v>
      </c>
      <c r="N21" s="164" t="s">
        <v>115</v>
      </c>
      <c r="O21" s="164">
        <v>0.0</v>
      </c>
      <c r="P21" s="164" t="s">
        <v>115</v>
      </c>
      <c r="Q21" s="164">
        <v>0.096</v>
      </c>
      <c r="R21" s="164">
        <v>0.042</v>
      </c>
      <c r="S21" s="164">
        <v>0.0</v>
      </c>
      <c r="T21" s="164" t="s">
        <v>115</v>
      </c>
      <c r="U21" s="164" t="s">
        <v>115</v>
      </c>
      <c r="V21" s="164">
        <v>0.0</v>
      </c>
      <c r="W21" s="164">
        <v>0.041</v>
      </c>
      <c r="X21" s="164">
        <v>0.019</v>
      </c>
      <c r="Y21" s="164">
        <v>0.038</v>
      </c>
      <c r="Z21" s="164" t="s">
        <v>115</v>
      </c>
      <c r="AA21" s="164">
        <v>0.066</v>
      </c>
      <c r="AB21" s="164">
        <v>0.041</v>
      </c>
      <c r="AC21" s="164">
        <v>0.107</v>
      </c>
      <c r="AD21" s="164" t="s">
        <v>115</v>
      </c>
      <c r="AE21" s="164" t="s">
        <v>115</v>
      </c>
      <c r="AF21" s="164">
        <v>0.0</v>
      </c>
      <c r="AG21" s="164">
        <v>0.0</v>
      </c>
      <c r="AH21" s="164" t="s">
        <v>115</v>
      </c>
      <c r="AI21" s="164">
        <v>0.0</v>
      </c>
      <c r="AJ21" s="164">
        <v>0.02</v>
      </c>
      <c r="AK21" s="164" t="s">
        <v>115</v>
      </c>
      <c r="AL21" s="164">
        <v>0.026</v>
      </c>
      <c r="AM21" s="164" t="s">
        <v>115</v>
      </c>
      <c r="AN21" s="164">
        <v>0.068</v>
      </c>
      <c r="AO21" s="164">
        <v>0.052</v>
      </c>
    </row>
    <row r="22">
      <c r="A22" s="161" t="s">
        <v>92</v>
      </c>
      <c r="B22" s="164" t="s">
        <v>115</v>
      </c>
      <c r="C22" s="164" t="s">
        <v>115</v>
      </c>
      <c r="D22" s="164" t="s">
        <v>115</v>
      </c>
      <c r="E22" s="164">
        <v>0.097</v>
      </c>
      <c r="F22" s="164">
        <v>0.0</v>
      </c>
      <c r="G22" s="164" t="s">
        <v>115</v>
      </c>
      <c r="H22" s="164">
        <v>0.031</v>
      </c>
      <c r="I22" s="164">
        <v>0.03</v>
      </c>
      <c r="J22" s="164" t="s">
        <v>115</v>
      </c>
      <c r="K22" s="164">
        <v>0.014</v>
      </c>
      <c r="L22" s="164" t="s">
        <v>115</v>
      </c>
      <c r="M22" s="164">
        <v>0.0</v>
      </c>
      <c r="N22" s="164" t="s">
        <v>115</v>
      </c>
      <c r="O22" s="164">
        <v>0.0</v>
      </c>
      <c r="P22" s="164" t="s">
        <v>115</v>
      </c>
      <c r="Q22" s="164">
        <v>0.028</v>
      </c>
      <c r="R22" s="164" t="s">
        <v>115</v>
      </c>
      <c r="S22" s="164">
        <v>0.0</v>
      </c>
      <c r="T22" s="164" t="s">
        <v>115</v>
      </c>
      <c r="U22" s="164" t="s">
        <v>115</v>
      </c>
      <c r="V22" s="164">
        <v>0.0</v>
      </c>
      <c r="W22" s="164" t="s">
        <v>115</v>
      </c>
      <c r="X22" s="164" t="s">
        <v>115</v>
      </c>
      <c r="Y22" s="164">
        <v>0.036</v>
      </c>
      <c r="Z22" s="164" t="s">
        <v>115</v>
      </c>
      <c r="AA22" s="164">
        <v>0.041</v>
      </c>
      <c r="AB22" s="164">
        <v>0.027</v>
      </c>
      <c r="AC22" s="164">
        <v>0.073</v>
      </c>
      <c r="AD22" s="164">
        <v>0.0</v>
      </c>
      <c r="AE22" s="164" t="s">
        <v>115</v>
      </c>
      <c r="AF22" s="164" t="s">
        <v>115</v>
      </c>
      <c r="AG22" s="164">
        <v>0.0</v>
      </c>
      <c r="AH22" s="164" t="s">
        <v>115</v>
      </c>
      <c r="AI22" s="164" t="s">
        <v>115</v>
      </c>
      <c r="AJ22" s="164">
        <v>0.017</v>
      </c>
      <c r="AK22" s="164">
        <v>0.0</v>
      </c>
      <c r="AL22" s="164">
        <v>0.023</v>
      </c>
      <c r="AM22" s="164">
        <v>0.0</v>
      </c>
      <c r="AN22" s="164">
        <v>0.043</v>
      </c>
      <c r="AO22" s="164">
        <v>0.034</v>
      </c>
    </row>
    <row r="23">
      <c r="A23" s="161" t="s">
        <v>93</v>
      </c>
      <c r="B23" s="164" t="s">
        <v>115</v>
      </c>
      <c r="C23" s="164" t="s">
        <v>115</v>
      </c>
      <c r="D23" s="164" t="s">
        <v>115</v>
      </c>
      <c r="E23" s="164">
        <v>0.082</v>
      </c>
      <c r="F23" s="164" t="s">
        <v>115</v>
      </c>
      <c r="G23" s="164" t="s">
        <v>115</v>
      </c>
      <c r="H23" s="164">
        <v>0.032</v>
      </c>
      <c r="I23" s="164">
        <v>0.02</v>
      </c>
      <c r="J23" s="164" t="s">
        <v>115</v>
      </c>
      <c r="K23" s="164">
        <v>0.019</v>
      </c>
      <c r="L23" s="164" t="s">
        <v>115</v>
      </c>
      <c r="M23" s="164">
        <v>0.0</v>
      </c>
      <c r="N23" s="164">
        <v>0.0</v>
      </c>
      <c r="O23" s="164">
        <v>0.0</v>
      </c>
      <c r="P23" s="164">
        <v>0.0</v>
      </c>
      <c r="Q23" s="164">
        <v>0.037</v>
      </c>
      <c r="R23" s="164">
        <v>0.018</v>
      </c>
      <c r="S23" s="164">
        <v>0.0</v>
      </c>
      <c r="T23" s="164" t="s">
        <v>115</v>
      </c>
      <c r="U23" s="164">
        <v>0.0</v>
      </c>
      <c r="V23" s="164">
        <v>0.0</v>
      </c>
      <c r="W23" s="164" t="s">
        <v>115</v>
      </c>
      <c r="X23" s="164" t="s">
        <v>115</v>
      </c>
      <c r="Y23" s="164">
        <v>0.018</v>
      </c>
      <c r="Z23" s="164">
        <v>0.051</v>
      </c>
      <c r="AA23" s="164">
        <v>0.037</v>
      </c>
      <c r="AB23" s="164">
        <v>0.0</v>
      </c>
      <c r="AC23" s="164">
        <v>0.047</v>
      </c>
      <c r="AD23" s="164">
        <v>0.0</v>
      </c>
      <c r="AE23" s="164" t="s">
        <v>115</v>
      </c>
      <c r="AF23" s="164" t="s">
        <v>115</v>
      </c>
      <c r="AG23" s="164" t="s">
        <v>115</v>
      </c>
      <c r="AH23" s="164" t="s">
        <v>115</v>
      </c>
      <c r="AI23" s="164" t="s">
        <v>115</v>
      </c>
      <c r="AJ23" s="164">
        <v>0.011</v>
      </c>
      <c r="AK23" s="164">
        <v>0.0</v>
      </c>
      <c r="AL23" s="164" t="s">
        <v>115</v>
      </c>
      <c r="AM23" s="164">
        <v>0.0</v>
      </c>
      <c r="AN23" s="164">
        <v>0.037</v>
      </c>
      <c r="AO23" s="164">
        <v>0.027</v>
      </c>
    </row>
    <row r="24">
      <c r="A24" s="161" t="s">
        <v>94</v>
      </c>
      <c r="B24" s="164">
        <v>0.0</v>
      </c>
      <c r="C24" s="164" t="s">
        <v>115</v>
      </c>
      <c r="D24" s="164" t="s">
        <v>115</v>
      </c>
      <c r="E24" s="164">
        <v>0.074</v>
      </c>
      <c r="F24" s="164" t="s">
        <v>115</v>
      </c>
      <c r="G24" s="164">
        <v>0.0</v>
      </c>
      <c r="H24" s="164">
        <v>0.019</v>
      </c>
      <c r="I24" s="164" t="s">
        <v>115</v>
      </c>
      <c r="J24" s="164" t="s">
        <v>115</v>
      </c>
      <c r="K24" s="164">
        <v>0.014</v>
      </c>
      <c r="L24" s="164">
        <v>0.0</v>
      </c>
      <c r="M24" s="164">
        <v>0.0</v>
      </c>
      <c r="N24" s="164">
        <v>0.0</v>
      </c>
      <c r="O24" s="164">
        <v>0.0</v>
      </c>
      <c r="P24" s="164" t="s">
        <v>115</v>
      </c>
      <c r="Q24" s="164">
        <v>0.015</v>
      </c>
      <c r="R24" s="164">
        <v>0.034</v>
      </c>
      <c r="S24" s="164">
        <v>0.0</v>
      </c>
      <c r="T24" s="164" t="s">
        <v>115</v>
      </c>
      <c r="U24" s="164" t="s">
        <v>115</v>
      </c>
      <c r="V24" s="164">
        <v>0.0</v>
      </c>
      <c r="W24" s="164">
        <v>0.016</v>
      </c>
      <c r="X24" s="164" t="s">
        <v>115</v>
      </c>
      <c r="Y24" s="164" t="s">
        <v>115</v>
      </c>
      <c r="Z24" s="164" t="s">
        <v>115</v>
      </c>
      <c r="AA24" s="164">
        <v>0.032</v>
      </c>
      <c r="AB24" s="164">
        <v>0.0</v>
      </c>
      <c r="AC24" s="164">
        <v>0.04</v>
      </c>
      <c r="AD24" s="164" t="s">
        <v>115</v>
      </c>
      <c r="AE24" s="164" t="s">
        <v>115</v>
      </c>
      <c r="AF24" s="164" t="s">
        <v>115</v>
      </c>
      <c r="AG24" s="164">
        <v>0.0</v>
      </c>
      <c r="AH24" s="164">
        <v>0.0</v>
      </c>
      <c r="AI24" s="164" t="s">
        <v>115</v>
      </c>
      <c r="AJ24" s="164">
        <v>0.013</v>
      </c>
      <c r="AK24" s="164">
        <v>0.0</v>
      </c>
      <c r="AL24" s="164">
        <v>0.027</v>
      </c>
      <c r="AM24" s="164" t="s">
        <v>115</v>
      </c>
      <c r="AN24" s="164">
        <v>0.036</v>
      </c>
      <c r="AO24" s="164">
        <v>0.021</v>
      </c>
    </row>
    <row r="25">
      <c r="A25" s="161" t="s">
        <v>95</v>
      </c>
      <c r="B25" s="164" t="s">
        <v>115</v>
      </c>
      <c r="C25" s="164" t="s">
        <v>115</v>
      </c>
      <c r="D25" s="164" t="s">
        <v>115</v>
      </c>
      <c r="E25" s="164">
        <v>0.043</v>
      </c>
      <c r="F25" s="164" t="s">
        <v>115</v>
      </c>
      <c r="G25" s="164" t="s">
        <v>115</v>
      </c>
      <c r="H25" s="164">
        <v>0.012</v>
      </c>
      <c r="I25" s="164">
        <v>0.02</v>
      </c>
      <c r="J25" s="164" t="s">
        <v>115</v>
      </c>
      <c r="K25" s="164">
        <v>0.01</v>
      </c>
      <c r="L25" s="164">
        <v>0.0</v>
      </c>
      <c r="M25" s="164" t="s">
        <v>115</v>
      </c>
      <c r="N25" s="164" t="s">
        <v>115</v>
      </c>
      <c r="O25" s="164" t="s">
        <v>115</v>
      </c>
      <c r="P25" s="164">
        <v>0.0</v>
      </c>
      <c r="Q25" s="164">
        <v>0.021</v>
      </c>
      <c r="R25" s="164">
        <v>0.016</v>
      </c>
      <c r="S25" s="164">
        <v>0.0</v>
      </c>
      <c r="T25" s="164">
        <v>0.025</v>
      </c>
      <c r="U25" s="164">
        <v>0.0</v>
      </c>
      <c r="V25" s="164">
        <v>0.0</v>
      </c>
      <c r="W25" s="164">
        <v>0.029</v>
      </c>
      <c r="X25" s="164" t="s">
        <v>115</v>
      </c>
      <c r="Y25" s="164">
        <v>0.022</v>
      </c>
      <c r="Z25" s="164" t="s">
        <v>115</v>
      </c>
      <c r="AA25" s="164">
        <v>0.038</v>
      </c>
      <c r="AB25" s="164" t="s">
        <v>115</v>
      </c>
      <c r="AC25" s="164">
        <v>0.033</v>
      </c>
      <c r="AD25" s="164">
        <v>0.0</v>
      </c>
      <c r="AE25" s="164" t="s">
        <v>115</v>
      </c>
      <c r="AF25" s="164" t="s">
        <v>115</v>
      </c>
      <c r="AG25" s="164" t="s">
        <v>115</v>
      </c>
      <c r="AH25" s="164" t="s">
        <v>115</v>
      </c>
      <c r="AI25" s="164" t="s">
        <v>115</v>
      </c>
      <c r="AJ25" s="164">
        <v>0.009</v>
      </c>
      <c r="AK25" s="164" t="s">
        <v>115</v>
      </c>
      <c r="AL25" s="164">
        <v>0.024</v>
      </c>
      <c r="AM25" s="164" t="s">
        <v>115</v>
      </c>
      <c r="AN25" s="164">
        <v>0.026</v>
      </c>
      <c r="AO25" s="164">
        <v>0.02</v>
      </c>
    </row>
    <row r="26">
      <c r="A26" s="161" t="s">
        <v>96</v>
      </c>
      <c r="B26" s="164" t="s">
        <v>115</v>
      </c>
      <c r="C26" s="164" t="s">
        <v>115</v>
      </c>
      <c r="D26" s="164" t="s">
        <v>115</v>
      </c>
      <c r="E26" s="164">
        <v>0.024</v>
      </c>
      <c r="F26" s="164" t="s">
        <v>115</v>
      </c>
      <c r="G26" s="164">
        <v>0.021</v>
      </c>
      <c r="H26" s="164">
        <v>0.036</v>
      </c>
      <c r="I26" s="164" t="s">
        <v>115</v>
      </c>
      <c r="J26" s="164" t="s">
        <v>115</v>
      </c>
      <c r="K26" s="164">
        <v>0.009</v>
      </c>
      <c r="L26" s="164">
        <v>0.0</v>
      </c>
      <c r="M26" s="164" t="s">
        <v>115</v>
      </c>
      <c r="N26" s="164" t="s">
        <v>115</v>
      </c>
      <c r="O26" s="164">
        <v>0.0</v>
      </c>
      <c r="P26" s="164" t="s">
        <v>115</v>
      </c>
      <c r="Q26" s="164">
        <v>0.03</v>
      </c>
      <c r="R26" s="164" t="s">
        <v>115</v>
      </c>
      <c r="S26" s="164" t="s">
        <v>115</v>
      </c>
      <c r="T26" s="164">
        <v>0.019</v>
      </c>
      <c r="U26" s="164">
        <v>0.0</v>
      </c>
      <c r="V26" s="164">
        <v>0.0</v>
      </c>
      <c r="W26" s="164">
        <v>0.019</v>
      </c>
      <c r="X26" s="164" t="s">
        <v>115</v>
      </c>
      <c r="Y26" s="164">
        <v>0.026</v>
      </c>
      <c r="Z26" s="164" t="s">
        <v>115</v>
      </c>
      <c r="AA26" s="164">
        <v>0.015</v>
      </c>
      <c r="AB26" s="164" t="s">
        <v>115</v>
      </c>
      <c r="AC26" s="164">
        <v>0.028</v>
      </c>
      <c r="AD26" s="164">
        <v>0.0</v>
      </c>
      <c r="AE26" s="164" t="s">
        <v>115</v>
      </c>
      <c r="AF26" s="164">
        <v>0.024</v>
      </c>
      <c r="AG26" s="164">
        <v>0.0</v>
      </c>
      <c r="AH26" s="164" t="s">
        <v>115</v>
      </c>
      <c r="AI26" s="164" t="s">
        <v>115</v>
      </c>
      <c r="AJ26" s="164">
        <v>0.01</v>
      </c>
      <c r="AK26" s="164">
        <v>0.0</v>
      </c>
      <c r="AL26" s="164">
        <v>0.02</v>
      </c>
      <c r="AM26" s="164">
        <v>0.017</v>
      </c>
      <c r="AN26" s="164">
        <v>0.014</v>
      </c>
      <c r="AO26" s="164">
        <v>0.019</v>
      </c>
    </row>
    <row r="27">
      <c r="A27" s="161" t="s">
        <v>97</v>
      </c>
      <c r="B27" s="164" t="s">
        <v>115</v>
      </c>
      <c r="C27" s="164">
        <v>0.017</v>
      </c>
      <c r="D27" s="164" t="s">
        <v>115</v>
      </c>
      <c r="E27" s="164">
        <v>0.049</v>
      </c>
      <c r="F27" s="164" t="s">
        <v>115</v>
      </c>
      <c r="G27" s="164">
        <v>0.015</v>
      </c>
      <c r="H27" s="164">
        <v>0.019</v>
      </c>
      <c r="I27" s="164" t="s">
        <v>115</v>
      </c>
      <c r="J27" s="164">
        <v>0.016</v>
      </c>
      <c r="K27" s="164">
        <v>0.008</v>
      </c>
      <c r="L27" s="164">
        <v>0.0</v>
      </c>
      <c r="M27" s="164">
        <v>0.0</v>
      </c>
      <c r="N27" s="164" t="s">
        <v>115</v>
      </c>
      <c r="O27" s="164" t="s">
        <v>115</v>
      </c>
      <c r="P27" s="164" t="s">
        <v>115</v>
      </c>
      <c r="Q27" s="164">
        <v>0.014</v>
      </c>
      <c r="R27" s="164">
        <v>0.019</v>
      </c>
      <c r="S27" s="164">
        <v>0.0</v>
      </c>
      <c r="T27" s="164">
        <v>0.021</v>
      </c>
      <c r="U27" s="164" t="s">
        <v>115</v>
      </c>
      <c r="V27" s="164" t="s">
        <v>115</v>
      </c>
      <c r="W27" s="164">
        <v>0.017</v>
      </c>
      <c r="X27" s="164">
        <v>0.0</v>
      </c>
      <c r="Y27" s="164">
        <v>0.028</v>
      </c>
      <c r="Z27" s="164">
        <v>0.037</v>
      </c>
      <c r="AA27" s="164">
        <v>0.024</v>
      </c>
      <c r="AB27" s="164" t="s">
        <v>115</v>
      </c>
      <c r="AC27" s="164">
        <v>0.026</v>
      </c>
      <c r="AD27" s="164">
        <v>0.0</v>
      </c>
      <c r="AE27" s="164" t="s">
        <v>115</v>
      </c>
      <c r="AF27" s="164">
        <v>0.015</v>
      </c>
      <c r="AG27" s="164" t="s">
        <v>115</v>
      </c>
      <c r="AH27" s="164" t="s">
        <v>115</v>
      </c>
      <c r="AI27" s="164" t="s">
        <v>115</v>
      </c>
      <c r="AJ27" s="164">
        <v>0.014</v>
      </c>
      <c r="AK27" s="164" t="s">
        <v>115</v>
      </c>
      <c r="AL27" s="164">
        <v>0.026</v>
      </c>
      <c r="AM27" s="164" t="s">
        <v>115</v>
      </c>
      <c r="AN27" s="164">
        <v>0.021</v>
      </c>
      <c r="AO27" s="164">
        <v>0.018</v>
      </c>
    </row>
    <row r="28">
      <c r="A28" s="161" t="s">
        <v>98</v>
      </c>
      <c r="B28" s="164" t="s">
        <v>115</v>
      </c>
      <c r="C28" s="164">
        <v>0.023</v>
      </c>
      <c r="D28" s="164" t="s">
        <v>115</v>
      </c>
      <c r="E28" s="164">
        <v>0.062</v>
      </c>
      <c r="F28" s="164" t="s">
        <v>115</v>
      </c>
      <c r="G28" s="164" t="s">
        <v>115</v>
      </c>
      <c r="H28" s="164">
        <v>0.031</v>
      </c>
      <c r="I28" s="164">
        <v>0.023</v>
      </c>
      <c r="J28" s="164" t="s">
        <v>115</v>
      </c>
      <c r="K28" s="164">
        <v>0.02</v>
      </c>
      <c r="L28" s="164">
        <v>0.0</v>
      </c>
      <c r="M28" s="164">
        <v>0.0</v>
      </c>
      <c r="N28" s="164">
        <v>0.0</v>
      </c>
      <c r="O28" s="164">
        <v>0.0</v>
      </c>
      <c r="P28" s="164">
        <v>0.0</v>
      </c>
      <c r="Q28" s="164">
        <v>0.028</v>
      </c>
      <c r="R28" s="164">
        <v>0.017</v>
      </c>
      <c r="S28" s="164" t="s">
        <v>115</v>
      </c>
      <c r="T28" s="164" t="s">
        <v>115</v>
      </c>
      <c r="U28" s="164" t="s">
        <v>115</v>
      </c>
      <c r="V28" s="164">
        <v>0.0</v>
      </c>
      <c r="W28" s="164" t="s">
        <v>115</v>
      </c>
      <c r="X28" s="164" t="s">
        <v>115</v>
      </c>
      <c r="Y28" s="164">
        <v>0.027</v>
      </c>
      <c r="Z28" s="164" t="s">
        <v>115</v>
      </c>
      <c r="AA28" s="164">
        <v>0.045</v>
      </c>
      <c r="AB28" s="164" t="s">
        <v>115</v>
      </c>
      <c r="AC28" s="164">
        <v>0.034</v>
      </c>
      <c r="AD28" s="164">
        <v>0.0</v>
      </c>
      <c r="AE28" s="164" t="s">
        <v>115</v>
      </c>
      <c r="AF28" s="164">
        <v>0.042</v>
      </c>
      <c r="AG28" s="164">
        <v>0.0</v>
      </c>
      <c r="AH28" s="164" t="s">
        <v>115</v>
      </c>
      <c r="AI28" s="164" t="s">
        <v>115</v>
      </c>
      <c r="AJ28" s="164">
        <v>0.017</v>
      </c>
      <c r="AK28" s="164">
        <v>0.0</v>
      </c>
      <c r="AL28" s="164">
        <v>0.019</v>
      </c>
      <c r="AM28" s="164" t="s">
        <v>115</v>
      </c>
      <c r="AN28" s="164">
        <v>0.029</v>
      </c>
      <c r="AO28" s="164">
        <v>0.024</v>
      </c>
    </row>
    <row r="29">
      <c r="A29" s="165" t="s">
        <v>99</v>
      </c>
      <c r="B29" s="164">
        <v>0.0</v>
      </c>
      <c r="C29" s="164">
        <v>0.017</v>
      </c>
      <c r="D29" s="164" t="s">
        <v>115</v>
      </c>
      <c r="E29" s="164">
        <v>0.079</v>
      </c>
      <c r="F29" s="164" t="s">
        <v>115</v>
      </c>
      <c r="G29" s="164">
        <v>0.013</v>
      </c>
      <c r="H29" s="164">
        <v>0.029</v>
      </c>
      <c r="I29" s="164">
        <v>0.02</v>
      </c>
      <c r="J29" s="164">
        <v>0.011</v>
      </c>
      <c r="K29" s="164">
        <v>0.018</v>
      </c>
      <c r="L29" s="164" t="s">
        <v>115</v>
      </c>
      <c r="M29" s="164">
        <v>0.0</v>
      </c>
      <c r="N29" s="164" t="s">
        <v>115</v>
      </c>
      <c r="O29" s="164" t="s">
        <v>115</v>
      </c>
      <c r="P29" s="164" t="s">
        <v>115</v>
      </c>
      <c r="Q29" s="164">
        <v>0.036</v>
      </c>
      <c r="R29" s="164">
        <v>0.015</v>
      </c>
      <c r="S29" s="164">
        <v>0.0</v>
      </c>
      <c r="T29" s="164" t="s">
        <v>115</v>
      </c>
      <c r="U29" s="164" t="s">
        <v>115</v>
      </c>
      <c r="V29" s="164" t="s">
        <v>115</v>
      </c>
      <c r="W29" s="164">
        <v>0.013</v>
      </c>
      <c r="X29" s="164">
        <v>0.01</v>
      </c>
      <c r="Y29" s="164">
        <v>0.051</v>
      </c>
      <c r="Z29" s="164" t="s">
        <v>115</v>
      </c>
      <c r="AA29" s="164">
        <v>0.056</v>
      </c>
      <c r="AB29" s="164" t="s">
        <v>115</v>
      </c>
      <c r="AC29" s="164">
        <v>0.037</v>
      </c>
      <c r="AD29" s="164">
        <v>0.0</v>
      </c>
      <c r="AE29" s="164" t="s">
        <v>115</v>
      </c>
      <c r="AF29" s="164">
        <v>0.025</v>
      </c>
      <c r="AG29" s="164">
        <v>0.0</v>
      </c>
      <c r="AH29" s="164" t="s">
        <v>115</v>
      </c>
      <c r="AI29" s="164">
        <v>0.038</v>
      </c>
      <c r="AJ29" s="164">
        <v>0.023</v>
      </c>
      <c r="AK29" s="164" t="s">
        <v>115</v>
      </c>
      <c r="AL29" s="164">
        <v>0.017</v>
      </c>
      <c r="AM29" s="164" t="s">
        <v>115</v>
      </c>
      <c r="AN29" s="164">
        <v>0.023</v>
      </c>
      <c r="AO29" s="164">
        <v>0.027</v>
      </c>
    </row>
    <row r="30">
      <c r="A30" s="161" t="s">
        <v>100</v>
      </c>
      <c r="B30" s="164" t="s">
        <v>115</v>
      </c>
      <c r="C30" s="164">
        <v>0.012</v>
      </c>
      <c r="D30" s="164">
        <v>0.035</v>
      </c>
      <c r="E30" s="164">
        <v>0.074</v>
      </c>
      <c r="F30" s="164" t="s">
        <v>115</v>
      </c>
      <c r="G30" s="164">
        <v>0.008</v>
      </c>
      <c r="H30" s="164">
        <v>0.053</v>
      </c>
      <c r="I30" s="164">
        <v>0.017</v>
      </c>
      <c r="J30" s="164">
        <v>0.022</v>
      </c>
      <c r="K30" s="164">
        <v>0.012</v>
      </c>
      <c r="L30" s="164" t="s">
        <v>115</v>
      </c>
      <c r="M30" s="164" t="s">
        <v>115</v>
      </c>
      <c r="N30" s="164" t="s">
        <v>115</v>
      </c>
      <c r="O30" s="164">
        <v>0.0</v>
      </c>
      <c r="P30" s="164" t="s">
        <v>115</v>
      </c>
      <c r="Q30" s="164">
        <v>0.023</v>
      </c>
      <c r="R30" s="164">
        <v>0.041</v>
      </c>
      <c r="S30" s="164">
        <v>0.0</v>
      </c>
      <c r="T30" s="164">
        <v>0.018</v>
      </c>
      <c r="U30" s="164">
        <v>0.0</v>
      </c>
      <c r="V30" s="164" t="s">
        <v>115</v>
      </c>
      <c r="W30" s="164">
        <v>0.013</v>
      </c>
      <c r="X30" s="164">
        <v>0.011</v>
      </c>
      <c r="Y30" s="164">
        <v>0.055</v>
      </c>
      <c r="Z30" s="164" t="s">
        <v>115</v>
      </c>
      <c r="AA30" s="164">
        <v>0.058</v>
      </c>
      <c r="AB30" s="164">
        <v>0.0</v>
      </c>
      <c r="AC30" s="164">
        <v>0.041</v>
      </c>
      <c r="AD30" s="164" t="s">
        <v>115</v>
      </c>
      <c r="AE30" s="164" t="s">
        <v>115</v>
      </c>
      <c r="AF30" s="164" t="s">
        <v>115</v>
      </c>
      <c r="AG30" s="164" t="s">
        <v>115</v>
      </c>
      <c r="AH30" s="164" t="s">
        <v>115</v>
      </c>
      <c r="AI30" s="164" t="s">
        <v>115</v>
      </c>
      <c r="AJ30" s="164">
        <v>0.021</v>
      </c>
      <c r="AK30" s="164" t="s">
        <v>115</v>
      </c>
      <c r="AL30" s="164">
        <v>0.034</v>
      </c>
      <c r="AM30" s="164" t="s">
        <v>115</v>
      </c>
      <c r="AN30" s="164">
        <v>0.023</v>
      </c>
      <c r="AO30" s="164">
        <v>0.029</v>
      </c>
    </row>
    <row r="31">
      <c r="A31" s="166" t="s">
        <v>101</v>
      </c>
      <c r="B31" s="164" t="s">
        <v>115</v>
      </c>
      <c r="C31" s="164">
        <v>0.006</v>
      </c>
      <c r="D31" s="164" t="s">
        <v>115</v>
      </c>
      <c r="E31" s="164">
        <v>0.073</v>
      </c>
      <c r="F31" s="164">
        <v>0.0</v>
      </c>
      <c r="G31" s="164">
        <v>0.011</v>
      </c>
      <c r="H31" s="164">
        <v>0.06</v>
      </c>
      <c r="I31" s="164">
        <v>0.018</v>
      </c>
      <c r="J31" s="164" t="s">
        <v>115</v>
      </c>
      <c r="K31" s="164">
        <v>0.017</v>
      </c>
      <c r="L31" s="164" t="s">
        <v>115</v>
      </c>
      <c r="M31" s="164" t="s">
        <v>115</v>
      </c>
      <c r="N31" s="164" t="s">
        <v>115</v>
      </c>
      <c r="O31" s="164" t="s">
        <v>115</v>
      </c>
      <c r="P31" s="164">
        <v>0.0</v>
      </c>
      <c r="Q31" s="164">
        <v>0.029</v>
      </c>
      <c r="R31" s="164">
        <v>0.033</v>
      </c>
      <c r="S31" s="164">
        <v>0.0</v>
      </c>
      <c r="T31" s="164" t="s">
        <v>115</v>
      </c>
      <c r="U31" s="164" t="s">
        <v>115</v>
      </c>
      <c r="V31" s="164" t="s">
        <v>115</v>
      </c>
      <c r="W31" s="164">
        <v>0.008</v>
      </c>
      <c r="X31" s="164">
        <v>0.015</v>
      </c>
      <c r="Y31" s="164">
        <v>0.042</v>
      </c>
      <c r="Z31" s="164" t="s">
        <v>115</v>
      </c>
      <c r="AA31" s="164">
        <v>0.051</v>
      </c>
      <c r="AB31" s="164" t="s">
        <v>115</v>
      </c>
      <c r="AC31" s="164">
        <v>0.044</v>
      </c>
      <c r="AD31" s="164" t="s">
        <v>115</v>
      </c>
      <c r="AE31" s="164">
        <v>0.024</v>
      </c>
      <c r="AF31" s="164">
        <v>0.022</v>
      </c>
      <c r="AG31" s="164" t="s">
        <v>115</v>
      </c>
      <c r="AH31" s="164">
        <v>0.0</v>
      </c>
      <c r="AI31" s="164">
        <v>0.0</v>
      </c>
      <c r="AJ31" s="164">
        <v>0.021</v>
      </c>
      <c r="AK31" s="164">
        <v>0.0</v>
      </c>
      <c r="AL31" s="164">
        <v>0.021</v>
      </c>
      <c r="AM31" s="164">
        <v>0.013</v>
      </c>
      <c r="AN31" s="164">
        <v>0.027</v>
      </c>
      <c r="AO31" s="164">
        <v>0.026</v>
      </c>
    </row>
    <row r="32">
      <c r="A32" s="166" t="s">
        <v>102</v>
      </c>
      <c r="B32" s="164" t="s">
        <v>115</v>
      </c>
      <c r="C32" s="164">
        <v>0.007</v>
      </c>
      <c r="D32" s="164" t="s">
        <v>115</v>
      </c>
      <c r="E32" s="164">
        <v>0.068</v>
      </c>
      <c r="F32" s="164" t="s">
        <v>115</v>
      </c>
      <c r="G32" s="164">
        <v>0.011</v>
      </c>
      <c r="H32" s="164">
        <v>0.023</v>
      </c>
      <c r="I32" s="164">
        <v>0.02</v>
      </c>
      <c r="J32" s="164">
        <v>0.017</v>
      </c>
      <c r="K32" s="164">
        <v>0.013</v>
      </c>
      <c r="L32" s="164" t="s">
        <v>115</v>
      </c>
      <c r="M32" s="164" t="s">
        <v>115</v>
      </c>
      <c r="N32" s="164" t="s">
        <v>115</v>
      </c>
      <c r="O32" s="164">
        <v>0.0</v>
      </c>
      <c r="P32" s="164" t="s">
        <v>115</v>
      </c>
      <c r="Q32" s="164">
        <v>0.02</v>
      </c>
      <c r="R32" s="164">
        <v>0.015</v>
      </c>
      <c r="S32" s="164">
        <v>0.0</v>
      </c>
      <c r="T32" s="164">
        <v>0.0</v>
      </c>
      <c r="U32" s="164">
        <v>0.071</v>
      </c>
      <c r="V32" s="164" t="s">
        <v>115</v>
      </c>
      <c r="W32" s="164" t="s">
        <v>115</v>
      </c>
      <c r="X32" s="164">
        <v>0.019</v>
      </c>
      <c r="Y32" s="164">
        <v>0.027</v>
      </c>
      <c r="Z32" s="164">
        <v>0.0</v>
      </c>
      <c r="AA32" s="164">
        <v>0.033</v>
      </c>
      <c r="AB32" s="164" t="s">
        <v>115</v>
      </c>
      <c r="AC32" s="164">
        <v>0.047</v>
      </c>
      <c r="AD32" s="164" t="s">
        <v>115</v>
      </c>
      <c r="AE32" s="164" t="s">
        <v>115</v>
      </c>
      <c r="AF32" s="164">
        <v>0.024</v>
      </c>
      <c r="AG32" s="164">
        <v>0.029</v>
      </c>
      <c r="AH32" s="164" t="s">
        <v>115</v>
      </c>
      <c r="AI32" s="164">
        <v>0.0</v>
      </c>
      <c r="AJ32" s="164">
        <v>0.014</v>
      </c>
      <c r="AK32" s="164">
        <v>0.0</v>
      </c>
      <c r="AL32" s="164">
        <v>0.027</v>
      </c>
      <c r="AM32" s="164">
        <v>0.0</v>
      </c>
      <c r="AN32" s="164">
        <v>0.02</v>
      </c>
      <c r="AO32" s="164">
        <v>0.024</v>
      </c>
    </row>
    <row r="33">
      <c r="A33" s="166" t="s">
        <v>103</v>
      </c>
      <c r="B33" s="164">
        <v>0.0</v>
      </c>
      <c r="C33" s="164">
        <v>0.004</v>
      </c>
      <c r="D33" s="164" t="s">
        <v>115</v>
      </c>
      <c r="E33" s="164">
        <v>0.085</v>
      </c>
      <c r="F33" s="164">
        <v>0.0</v>
      </c>
      <c r="G33" s="164">
        <v>0.016</v>
      </c>
      <c r="H33" s="164">
        <v>0.036</v>
      </c>
      <c r="I33" s="164">
        <v>0.025</v>
      </c>
      <c r="J33" s="164">
        <v>0.022</v>
      </c>
      <c r="K33" s="164">
        <v>0.013</v>
      </c>
      <c r="L33" s="164" t="s">
        <v>115</v>
      </c>
      <c r="M33" s="164" t="s">
        <v>115</v>
      </c>
      <c r="N33" s="164" t="s">
        <v>115</v>
      </c>
      <c r="O33" s="164" t="s">
        <v>115</v>
      </c>
      <c r="P33" s="164" t="s">
        <v>115</v>
      </c>
      <c r="Q33" s="164">
        <v>0.048</v>
      </c>
      <c r="R33" s="164">
        <v>0.02</v>
      </c>
      <c r="S33" s="164">
        <v>0.0</v>
      </c>
      <c r="T33" s="164">
        <v>0.013</v>
      </c>
      <c r="U33" s="164">
        <v>0.028</v>
      </c>
      <c r="V33" s="164">
        <v>0.0</v>
      </c>
      <c r="W33" s="164" t="s">
        <v>115</v>
      </c>
      <c r="X33" s="164">
        <v>0.02</v>
      </c>
      <c r="Y33" s="164">
        <v>0.032</v>
      </c>
      <c r="Z33" s="164" t="s">
        <v>115</v>
      </c>
      <c r="AA33" s="164">
        <v>0.034</v>
      </c>
      <c r="AB33" s="164" t="s">
        <v>115</v>
      </c>
      <c r="AC33" s="164">
        <v>0.04</v>
      </c>
      <c r="AD33" s="164">
        <v>0.0</v>
      </c>
      <c r="AE33" s="164" t="s">
        <v>115</v>
      </c>
      <c r="AF33" s="164">
        <v>0.004</v>
      </c>
      <c r="AG33" s="164" t="s">
        <v>115</v>
      </c>
      <c r="AH33" s="164">
        <v>0.027</v>
      </c>
      <c r="AI33" s="164" t="s">
        <v>115</v>
      </c>
      <c r="AJ33" s="164">
        <v>0.024</v>
      </c>
      <c r="AK33" s="164" t="s">
        <v>115</v>
      </c>
      <c r="AL33" s="164" t="s">
        <v>115</v>
      </c>
      <c r="AM33" s="164" t="s">
        <v>115</v>
      </c>
      <c r="AN33" s="164">
        <v>0.02</v>
      </c>
      <c r="AO33" s="164">
        <v>0.021</v>
      </c>
    </row>
    <row r="34">
      <c r="A34" s="166" t="s">
        <v>104</v>
      </c>
      <c r="B34" s="164" t="s">
        <v>115</v>
      </c>
      <c r="C34" s="164">
        <v>0.001</v>
      </c>
      <c r="D34" s="164" t="s">
        <v>115</v>
      </c>
      <c r="E34" s="164">
        <v>0.049</v>
      </c>
      <c r="F34" s="164" t="s">
        <v>115</v>
      </c>
      <c r="G34" s="164">
        <v>0.013</v>
      </c>
      <c r="H34" s="164">
        <v>0.027</v>
      </c>
      <c r="I34" s="164">
        <v>0.014</v>
      </c>
      <c r="J34" s="164">
        <v>0.017</v>
      </c>
      <c r="K34" s="164">
        <v>0.005</v>
      </c>
      <c r="L34" s="164">
        <v>0.0</v>
      </c>
      <c r="M34" s="164" t="s">
        <v>115</v>
      </c>
      <c r="N34" s="164" t="s">
        <v>115</v>
      </c>
      <c r="O34" s="164" t="s">
        <v>115</v>
      </c>
      <c r="P34" s="164">
        <v>0.0</v>
      </c>
      <c r="Q34" s="164">
        <v>0.027</v>
      </c>
      <c r="R34" s="164">
        <v>0.017</v>
      </c>
      <c r="S34" s="164">
        <v>0.0</v>
      </c>
      <c r="T34" s="164" t="s">
        <v>115</v>
      </c>
      <c r="U34" s="164">
        <v>0.021</v>
      </c>
      <c r="V34" s="164">
        <v>0.0</v>
      </c>
      <c r="W34" s="164">
        <v>0.006</v>
      </c>
      <c r="X34" s="164">
        <v>0.012</v>
      </c>
      <c r="Y34" s="164">
        <v>0.025</v>
      </c>
      <c r="Z34" s="164" t="s">
        <v>115</v>
      </c>
      <c r="AA34" s="164">
        <v>0.025</v>
      </c>
      <c r="AB34" s="164">
        <v>0.02</v>
      </c>
      <c r="AC34" s="164">
        <v>0.027</v>
      </c>
      <c r="AD34" s="164" t="s">
        <v>115</v>
      </c>
      <c r="AE34" s="164" t="s">
        <v>115</v>
      </c>
      <c r="AF34" s="164">
        <v>0.002</v>
      </c>
      <c r="AG34" s="164" t="s">
        <v>115</v>
      </c>
      <c r="AH34" s="164">
        <v>0.022</v>
      </c>
      <c r="AI34" s="164" t="s">
        <v>115</v>
      </c>
      <c r="AJ34" s="164">
        <v>0.009</v>
      </c>
      <c r="AK34" s="164" t="s">
        <v>115</v>
      </c>
      <c r="AL34" s="164">
        <v>0.012</v>
      </c>
      <c r="AM34" s="164" t="s">
        <v>115</v>
      </c>
      <c r="AN34" s="164">
        <v>0.021</v>
      </c>
      <c r="AO34" s="164">
        <v>0.013</v>
      </c>
    </row>
    <row r="35">
      <c r="A35" s="166" t="s">
        <v>105</v>
      </c>
      <c r="B35" s="164" t="s">
        <v>115</v>
      </c>
      <c r="C35" s="164" t="s">
        <v>115</v>
      </c>
      <c r="D35" s="164" t="s">
        <v>115</v>
      </c>
      <c r="E35" s="164">
        <v>0.015</v>
      </c>
      <c r="F35" s="164">
        <v>0.0</v>
      </c>
      <c r="G35" s="164" t="s">
        <v>115</v>
      </c>
      <c r="H35" s="164">
        <v>0.021</v>
      </c>
      <c r="I35" s="164">
        <v>0.016</v>
      </c>
      <c r="J35" s="164">
        <v>0.0</v>
      </c>
      <c r="K35" s="164">
        <v>0.009</v>
      </c>
      <c r="L35" s="164">
        <v>0.0</v>
      </c>
      <c r="M35" s="164" t="s">
        <v>115</v>
      </c>
      <c r="N35" s="164" t="s">
        <v>115</v>
      </c>
      <c r="O35" s="164">
        <v>0.0</v>
      </c>
      <c r="P35" s="164" t="s">
        <v>115</v>
      </c>
      <c r="Q35" s="164">
        <v>0.023</v>
      </c>
      <c r="R35" s="164">
        <v>0.011</v>
      </c>
      <c r="S35" s="164">
        <v>0.0</v>
      </c>
      <c r="T35" s="164" t="s">
        <v>115</v>
      </c>
      <c r="U35" s="164" t="s">
        <v>115</v>
      </c>
      <c r="V35" s="164">
        <v>0.0</v>
      </c>
      <c r="W35" s="164">
        <v>0.005</v>
      </c>
      <c r="X35" s="164">
        <v>0.009</v>
      </c>
      <c r="Y35" s="164">
        <v>0.038</v>
      </c>
      <c r="Z35" s="164" t="s">
        <v>115</v>
      </c>
      <c r="AA35" s="164">
        <v>0.021</v>
      </c>
      <c r="AB35" s="164" t="s">
        <v>115</v>
      </c>
      <c r="AC35" s="164">
        <v>0.015</v>
      </c>
      <c r="AD35" s="164">
        <v>0.0</v>
      </c>
      <c r="AE35" s="164" t="s">
        <v>115</v>
      </c>
      <c r="AF35" s="164">
        <v>0.002</v>
      </c>
      <c r="AG35" s="164">
        <v>0.0</v>
      </c>
      <c r="AH35" s="164">
        <v>0.022</v>
      </c>
      <c r="AI35" s="164" t="s">
        <v>115</v>
      </c>
      <c r="AJ35" s="164">
        <v>0.017</v>
      </c>
      <c r="AK35" s="164">
        <v>0.0</v>
      </c>
      <c r="AL35" s="164" t="s">
        <v>115</v>
      </c>
      <c r="AM35" s="164" t="s">
        <v>115</v>
      </c>
      <c r="AN35" s="164">
        <v>0.011</v>
      </c>
      <c r="AO35" s="164">
        <v>0.01</v>
      </c>
    </row>
    <row r="36">
      <c r="A36" s="166" t="s">
        <v>106</v>
      </c>
      <c r="B36" s="164">
        <v>0.01</v>
      </c>
      <c r="C36" s="164">
        <v>0.001</v>
      </c>
      <c r="D36" s="164">
        <v>0.027</v>
      </c>
      <c r="E36" s="164">
        <v>0.054</v>
      </c>
      <c r="F36" s="164" t="s">
        <v>115</v>
      </c>
      <c r="G36" s="164" t="s">
        <v>115</v>
      </c>
      <c r="H36" s="164">
        <v>0.021</v>
      </c>
      <c r="I36" s="164">
        <v>0.04</v>
      </c>
      <c r="J36" s="164" t="s">
        <v>115</v>
      </c>
      <c r="K36" s="164">
        <v>0.015</v>
      </c>
      <c r="L36" s="164">
        <v>0.0</v>
      </c>
      <c r="M36" s="164" t="s">
        <v>115</v>
      </c>
      <c r="N36" s="164">
        <v>0.0</v>
      </c>
      <c r="O36" s="164">
        <v>0.0</v>
      </c>
      <c r="P36" s="164">
        <v>0.0</v>
      </c>
      <c r="Q36" s="164">
        <v>0.019</v>
      </c>
      <c r="R36" s="164" t="s">
        <v>115</v>
      </c>
      <c r="S36" s="164">
        <v>0.0</v>
      </c>
      <c r="T36" s="164" t="s">
        <v>115</v>
      </c>
      <c r="U36" s="164">
        <v>0.019</v>
      </c>
      <c r="V36" s="164">
        <v>0.0</v>
      </c>
      <c r="W36" s="164">
        <v>0.008</v>
      </c>
      <c r="X36" s="164">
        <v>0.013</v>
      </c>
      <c r="Y36" s="164">
        <v>0.018</v>
      </c>
      <c r="Z36" s="164" t="s">
        <v>115</v>
      </c>
      <c r="AA36" s="164">
        <v>0.033</v>
      </c>
      <c r="AB36" s="164" t="s">
        <v>115</v>
      </c>
      <c r="AC36" s="164">
        <v>0.014</v>
      </c>
      <c r="AD36" s="164">
        <v>0.0</v>
      </c>
      <c r="AE36" s="164" t="s">
        <v>115</v>
      </c>
      <c r="AF36" s="164">
        <v>0.002</v>
      </c>
      <c r="AG36" s="164" t="s">
        <v>115</v>
      </c>
      <c r="AH36" s="164" t="s">
        <v>115</v>
      </c>
      <c r="AI36" s="164">
        <v>0.0</v>
      </c>
      <c r="AJ36" s="164">
        <v>0.016</v>
      </c>
      <c r="AK36" s="164" t="s">
        <v>115</v>
      </c>
      <c r="AL36" s="164">
        <v>0.026</v>
      </c>
      <c r="AM36" s="164">
        <v>0.015</v>
      </c>
      <c r="AN36" s="164">
        <v>0.023</v>
      </c>
      <c r="AO36" s="164">
        <v>0.012</v>
      </c>
    </row>
    <row r="37">
      <c r="A37" s="166" t="s">
        <v>107</v>
      </c>
      <c r="B37" s="164">
        <v>0.009</v>
      </c>
      <c r="C37" s="164">
        <v>0.001</v>
      </c>
      <c r="D37" s="164">
        <v>0.032</v>
      </c>
      <c r="E37" s="164">
        <v>0.056</v>
      </c>
      <c r="F37" s="164" t="s">
        <v>115</v>
      </c>
      <c r="G37" s="164">
        <v>0.028</v>
      </c>
      <c r="H37" s="164">
        <v>0.022</v>
      </c>
      <c r="I37" s="164">
        <v>0.019</v>
      </c>
      <c r="J37" s="164" t="s">
        <v>115</v>
      </c>
      <c r="K37" s="164">
        <v>0.008</v>
      </c>
      <c r="L37" s="164" t="s">
        <v>115</v>
      </c>
      <c r="M37" s="164">
        <v>0.0</v>
      </c>
      <c r="N37" s="164">
        <v>0.0</v>
      </c>
      <c r="O37" s="164">
        <v>0.0</v>
      </c>
      <c r="P37" s="164" t="s">
        <v>115</v>
      </c>
      <c r="Q37" s="164">
        <v>0.031</v>
      </c>
      <c r="R37" s="164">
        <v>0.008</v>
      </c>
      <c r="S37" s="164">
        <v>0.0</v>
      </c>
      <c r="T37" s="164">
        <v>0.0</v>
      </c>
      <c r="U37" s="164">
        <v>0.095</v>
      </c>
      <c r="V37" s="164">
        <v>0.0</v>
      </c>
      <c r="W37" s="164">
        <v>0.009</v>
      </c>
      <c r="X37" s="164">
        <v>0.007</v>
      </c>
      <c r="Y37" s="164">
        <v>0.028</v>
      </c>
      <c r="Z37" s="164">
        <v>0.019</v>
      </c>
      <c r="AA37" s="164">
        <v>0.022</v>
      </c>
      <c r="AB37" s="164" t="s">
        <v>115</v>
      </c>
      <c r="AC37" s="164">
        <v>0.023</v>
      </c>
      <c r="AD37" s="164">
        <v>0.0</v>
      </c>
      <c r="AE37" s="164" t="s">
        <v>115</v>
      </c>
      <c r="AF37" s="164">
        <v>0.003</v>
      </c>
      <c r="AG37" s="164">
        <v>0.01</v>
      </c>
      <c r="AH37" s="164">
        <v>0.018</v>
      </c>
      <c r="AI37" s="164" t="s">
        <v>115</v>
      </c>
      <c r="AJ37" s="164">
        <v>0.02</v>
      </c>
      <c r="AK37" s="164" t="s">
        <v>115</v>
      </c>
      <c r="AL37" s="164">
        <v>0.017</v>
      </c>
      <c r="AM37" s="164">
        <v>0.019</v>
      </c>
      <c r="AN37" s="164">
        <v>0.017</v>
      </c>
      <c r="AO37" s="164">
        <v>0.015</v>
      </c>
    </row>
    <row r="38">
      <c r="A38" s="166" t="s">
        <v>108</v>
      </c>
      <c r="B38" s="164" t="s">
        <v>115</v>
      </c>
      <c r="C38" s="164" t="s">
        <v>115</v>
      </c>
      <c r="D38" s="164">
        <v>0.018</v>
      </c>
      <c r="E38" s="164">
        <v>0.071</v>
      </c>
      <c r="F38" s="164" t="s">
        <v>115</v>
      </c>
      <c r="G38" s="164">
        <v>0.007</v>
      </c>
      <c r="H38" s="164">
        <v>0.022</v>
      </c>
      <c r="I38" s="164">
        <v>0.014</v>
      </c>
      <c r="J38" s="164" t="s">
        <v>115</v>
      </c>
      <c r="K38" s="164">
        <v>0.006</v>
      </c>
      <c r="L38" s="164" t="s">
        <v>115</v>
      </c>
      <c r="M38" s="164">
        <v>0.0</v>
      </c>
      <c r="N38" s="164" t="s">
        <v>115</v>
      </c>
      <c r="O38" s="164" t="s">
        <v>115</v>
      </c>
      <c r="P38" s="164" t="s">
        <v>115</v>
      </c>
      <c r="Q38" s="164">
        <v>0.038</v>
      </c>
      <c r="R38" s="164">
        <v>0.021</v>
      </c>
      <c r="S38" s="164">
        <v>0.0</v>
      </c>
      <c r="T38" s="164" t="s">
        <v>115</v>
      </c>
      <c r="U38" s="164">
        <v>0.079</v>
      </c>
      <c r="V38" s="164">
        <v>0.0</v>
      </c>
      <c r="W38" s="164" t="s">
        <v>115</v>
      </c>
      <c r="X38" s="164">
        <v>0.006</v>
      </c>
      <c r="Y38" s="164">
        <v>0.023</v>
      </c>
      <c r="Z38" s="164">
        <v>0.02</v>
      </c>
      <c r="AA38" s="164">
        <v>0.04</v>
      </c>
      <c r="AB38" s="164">
        <v>0.0</v>
      </c>
      <c r="AC38" s="164">
        <v>0.017</v>
      </c>
      <c r="AD38" s="164" t="s">
        <v>115</v>
      </c>
      <c r="AE38" s="164" t="s">
        <v>115</v>
      </c>
      <c r="AF38" s="164">
        <v>0.003</v>
      </c>
      <c r="AG38" s="164" t="s">
        <v>115</v>
      </c>
      <c r="AH38" s="164" t="s">
        <v>115</v>
      </c>
      <c r="AI38" s="164">
        <v>0.025</v>
      </c>
      <c r="AJ38" s="164">
        <v>0.013</v>
      </c>
      <c r="AK38" s="164" t="s">
        <v>115</v>
      </c>
      <c r="AL38" s="164">
        <v>0.016</v>
      </c>
      <c r="AM38" s="164">
        <v>0.021</v>
      </c>
      <c r="AN38" s="164">
        <v>0.012</v>
      </c>
      <c r="AO38" s="164">
        <v>0.013</v>
      </c>
    </row>
    <row r="39">
      <c r="A39" s="166" t="s">
        <v>109</v>
      </c>
      <c r="B39" s="164" t="s">
        <v>115</v>
      </c>
      <c r="C39" s="164">
        <v>0.001</v>
      </c>
      <c r="D39" s="164" t="s">
        <v>115</v>
      </c>
      <c r="E39" s="164">
        <v>0.065</v>
      </c>
      <c r="F39" s="164" t="s">
        <v>115</v>
      </c>
      <c r="G39" s="164">
        <v>0.015</v>
      </c>
      <c r="H39" s="164">
        <v>0.031</v>
      </c>
      <c r="I39" s="164">
        <v>0.022</v>
      </c>
      <c r="J39" s="164">
        <v>0.017</v>
      </c>
      <c r="K39" s="164">
        <v>0.022</v>
      </c>
      <c r="L39" s="164" t="s">
        <v>115</v>
      </c>
      <c r="M39" s="164" t="s">
        <v>115</v>
      </c>
      <c r="N39" s="164" t="s">
        <v>115</v>
      </c>
      <c r="O39" s="164">
        <v>0.0</v>
      </c>
      <c r="P39" s="164" t="s">
        <v>115</v>
      </c>
      <c r="Q39" s="164">
        <v>0.03</v>
      </c>
      <c r="R39" s="164">
        <v>0.024</v>
      </c>
      <c r="S39" s="164" t="s">
        <v>115</v>
      </c>
      <c r="T39" s="164" t="s">
        <v>115</v>
      </c>
      <c r="U39" s="164">
        <v>0.091</v>
      </c>
      <c r="V39" s="164">
        <v>0.0</v>
      </c>
      <c r="W39" s="164" t="s">
        <v>115</v>
      </c>
      <c r="X39" s="164">
        <v>0.016</v>
      </c>
      <c r="Y39" s="164">
        <v>0.035</v>
      </c>
      <c r="Z39" s="164">
        <v>0.015</v>
      </c>
      <c r="AA39" s="164">
        <v>0.049</v>
      </c>
      <c r="AB39" s="164">
        <v>0.015</v>
      </c>
      <c r="AC39" s="164">
        <v>0.019</v>
      </c>
      <c r="AD39" s="164">
        <v>0.0</v>
      </c>
      <c r="AE39" s="164" t="s">
        <v>115</v>
      </c>
      <c r="AF39" s="164">
        <v>0.004</v>
      </c>
      <c r="AG39" s="164">
        <v>0.012</v>
      </c>
      <c r="AH39" s="164" t="s">
        <v>115</v>
      </c>
      <c r="AI39" s="164">
        <v>0.0</v>
      </c>
      <c r="AJ39" s="164">
        <v>0.021</v>
      </c>
      <c r="AK39" s="164" t="s">
        <v>115</v>
      </c>
      <c r="AL39" s="164">
        <v>0.02</v>
      </c>
      <c r="AM39" s="164">
        <v>0.021</v>
      </c>
      <c r="AN39" s="164">
        <v>0.027</v>
      </c>
      <c r="AO39" s="164">
        <v>0.018</v>
      </c>
    </row>
    <row r="40">
      <c r="A40" s="166" t="s">
        <v>110</v>
      </c>
      <c r="B40" s="164">
        <v>0.008</v>
      </c>
      <c r="C40" s="164">
        <v>0.002</v>
      </c>
      <c r="D40" s="164">
        <v>0.017</v>
      </c>
      <c r="E40" s="164">
        <v>0.076</v>
      </c>
      <c r="F40" s="164" t="s">
        <v>115</v>
      </c>
      <c r="G40" s="164">
        <v>0.018</v>
      </c>
      <c r="H40" s="164">
        <v>0.04</v>
      </c>
      <c r="I40" s="164">
        <v>0.024</v>
      </c>
      <c r="J40" s="164">
        <v>0.007</v>
      </c>
      <c r="K40" s="164">
        <v>0.022</v>
      </c>
      <c r="L40" s="164">
        <v>0.023</v>
      </c>
      <c r="M40" s="164">
        <v>0.032</v>
      </c>
      <c r="N40" s="164" t="s">
        <v>115</v>
      </c>
      <c r="O40" s="164">
        <v>0.0</v>
      </c>
      <c r="P40" s="164" t="s">
        <v>115</v>
      </c>
      <c r="Q40" s="164">
        <v>0.026</v>
      </c>
      <c r="R40" s="164">
        <v>0.018</v>
      </c>
      <c r="S40" s="164" t="s">
        <v>115</v>
      </c>
      <c r="T40" s="164" t="s">
        <v>115</v>
      </c>
      <c r="U40" s="164">
        <v>0.152</v>
      </c>
      <c r="V40" s="164" t="s">
        <v>115</v>
      </c>
      <c r="W40" s="164">
        <v>0.008</v>
      </c>
      <c r="X40" s="164">
        <v>0.013</v>
      </c>
      <c r="Y40" s="164">
        <v>0.042</v>
      </c>
      <c r="Z40" s="164">
        <v>0.022</v>
      </c>
      <c r="AA40" s="164">
        <v>0.047</v>
      </c>
      <c r="AB40" s="164">
        <v>0.01</v>
      </c>
      <c r="AC40" s="164">
        <v>0.017</v>
      </c>
      <c r="AD40" s="164" t="s">
        <v>115</v>
      </c>
      <c r="AE40" s="164" t="s">
        <v>115</v>
      </c>
      <c r="AF40" s="164">
        <v>0.003</v>
      </c>
      <c r="AG40" s="164">
        <v>0.016</v>
      </c>
      <c r="AH40" s="164">
        <v>0.036</v>
      </c>
      <c r="AI40" s="164">
        <v>0.019</v>
      </c>
      <c r="AJ40" s="164">
        <v>0.028</v>
      </c>
      <c r="AK40" s="164" t="s">
        <v>115</v>
      </c>
      <c r="AL40" s="164">
        <v>0.038</v>
      </c>
      <c r="AM40" s="164">
        <v>0.029</v>
      </c>
      <c r="AN40" s="164">
        <v>0.037</v>
      </c>
      <c r="AO40" s="164">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7" t="s">
        <v>224</v>
      </c>
      <c r="B1" s="168" t="s">
        <v>225</v>
      </c>
      <c r="C1" s="169" t="s">
        <v>123</v>
      </c>
      <c r="D1" s="169" t="s">
        <v>124</v>
      </c>
      <c r="E1" s="169" t="s">
        <v>125</v>
      </c>
      <c r="F1" s="169" t="s">
        <v>126</v>
      </c>
      <c r="G1" s="169" t="s">
        <v>25</v>
      </c>
      <c r="H1" s="169" t="s">
        <v>127</v>
      </c>
    </row>
    <row r="2" ht="14.25" customHeight="1">
      <c r="A2" s="170" t="s">
        <v>128</v>
      </c>
      <c r="B2" s="168" t="s">
        <v>173</v>
      </c>
      <c r="C2" s="171">
        <f>Municipality!B2</f>
        <v>100</v>
      </c>
      <c r="D2" s="171">
        <f>Municipality!C2</f>
        <v>618</v>
      </c>
      <c r="E2" s="171">
        <f>Municipality!D2</f>
        <v>8</v>
      </c>
      <c r="F2" s="171">
        <f>Municipality!E2</f>
        <v>49</v>
      </c>
      <c r="G2" s="171">
        <f>Municipality!F2</f>
        <v>0</v>
      </c>
      <c r="H2" s="171">
        <f>Municipality!G2</f>
        <v>0</v>
      </c>
    </row>
    <row r="3" ht="14.25" customHeight="1">
      <c r="A3" s="170" t="s">
        <v>129</v>
      </c>
      <c r="B3" s="168" t="s">
        <v>174</v>
      </c>
      <c r="C3" s="171">
        <f>Municipality!B3</f>
        <v>267</v>
      </c>
      <c r="D3" s="171">
        <f>Municipality!C3</f>
        <v>1201</v>
      </c>
      <c r="E3" s="171">
        <f>Municipality!D3</f>
        <v>17</v>
      </c>
      <c r="F3" s="171">
        <f>Municipality!E3</f>
        <v>76</v>
      </c>
      <c r="G3" s="171">
        <f>Municipality!F3</f>
        <v>9</v>
      </c>
      <c r="H3" s="171">
        <f>Municipality!G3</f>
        <v>40</v>
      </c>
    </row>
    <row r="4" ht="14.25" customHeight="1">
      <c r="A4" s="170" t="s">
        <v>130</v>
      </c>
      <c r="B4" s="168" t="s">
        <v>175</v>
      </c>
      <c r="C4" s="171">
        <f>Municipality!B4</f>
        <v>194</v>
      </c>
      <c r="D4" s="171">
        <f>Municipality!C4</f>
        <v>1179</v>
      </c>
      <c r="E4" s="171">
        <f>Municipality!D4</f>
        <v>20</v>
      </c>
      <c r="F4" s="171">
        <f>Municipality!E4</f>
        <v>122</v>
      </c>
      <c r="G4" s="171">
        <f>Municipality!F4</f>
        <v>22</v>
      </c>
      <c r="H4" s="171">
        <f>Municipality!G4</f>
        <v>134</v>
      </c>
    </row>
    <row r="5" ht="14.25" customHeight="1">
      <c r="A5" s="170" t="s">
        <v>131</v>
      </c>
      <c r="B5" s="168" t="s">
        <v>176</v>
      </c>
      <c r="C5" s="171">
        <f>Municipality!B5</f>
        <v>1463</v>
      </c>
      <c r="D5" s="171">
        <f>Municipality!C5</f>
        <v>7548</v>
      </c>
      <c r="E5" s="171">
        <f>Municipality!D5</f>
        <v>107</v>
      </c>
      <c r="F5" s="171">
        <f>Municipality!E5</f>
        <v>552</v>
      </c>
      <c r="G5" s="171">
        <f>Municipality!F5</f>
        <v>12</v>
      </c>
      <c r="H5" s="171">
        <f>Municipality!G5</f>
        <v>62</v>
      </c>
    </row>
    <row r="6" ht="14.25" customHeight="1">
      <c r="A6" s="170" t="s">
        <v>132</v>
      </c>
      <c r="B6" s="168" t="s">
        <v>177</v>
      </c>
      <c r="C6" s="171">
        <f>Municipality!B6</f>
        <v>47</v>
      </c>
      <c r="D6" s="171">
        <f>Municipality!C6</f>
        <v>604</v>
      </c>
      <c r="E6" s="171">
        <f>Municipality!D6</f>
        <v>5</v>
      </c>
      <c r="F6" s="171">
        <f>Municipality!E6</f>
        <v>64</v>
      </c>
      <c r="G6" s="171" t="str">
        <f>Municipality!F6</f>
        <v>&lt;5</v>
      </c>
      <c r="H6" s="171" t="str">
        <f>Municipality!G6</f>
        <v>--</v>
      </c>
    </row>
    <row r="7" ht="14.25" customHeight="1">
      <c r="A7" s="170" t="s">
        <v>133</v>
      </c>
      <c r="B7" s="168" t="s">
        <v>178</v>
      </c>
      <c r="C7" s="171">
        <f>Municipality!B7</f>
        <v>432</v>
      </c>
      <c r="D7" s="171">
        <f>Municipality!C7</f>
        <v>1249</v>
      </c>
      <c r="E7" s="171">
        <f>Municipality!D7</f>
        <v>42</v>
      </c>
      <c r="F7" s="171">
        <f>Municipality!E7</f>
        <v>121</v>
      </c>
      <c r="G7" s="171">
        <f>Municipality!F7</f>
        <v>18</v>
      </c>
      <c r="H7" s="171">
        <f>Municipality!G7</f>
        <v>52</v>
      </c>
    </row>
    <row r="8" ht="14.25" customHeight="1">
      <c r="A8" s="170" t="s">
        <v>134</v>
      </c>
      <c r="B8" s="168" t="s">
        <v>179</v>
      </c>
      <c r="C8" s="171">
        <f>Municipality!B8</f>
        <v>1911</v>
      </c>
      <c r="D8" s="171">
        <f>Municipality!C8</f>
        <v>2354</v>
      </c>
      <c r="E8" s="171">
        <f>Municipality!D8</f>
        <v>188</v>
      </c>
      <c r="F8" s="171">
        <f>Municipality!E8</f>
        <v>232</v>
      </c>
      <c r="G8" s="171">
        <f>Municipality!F8</f>
        <v>30</v>
      </c>
      <c r="H8" s="171">
        <f>Municipality!G8</f>
        <v>37</v>
      </c>
    </row>
    <row r="9" ht="14.25" customHeight="1">
      <c r="A9" s="170" t="s">
        <v>135</v>
      </c>
      <c r="B9" s="168" t="s">
        <v>180</v>
      </c>
      <c r="C9" s="171">
        <f>Municipality!B9</f>
        <v>616</v>
      </c>
      <c r="D9" s="171">
        <f>Municipality!C9</f>
        <v>1778</v>
      </c>
      <c r="E9" s="171">
        <f>Municipality!D9</f>
        <v>66</v>
      </c>
      <c r="F9" s="171">
        <f>Municipality!E9</f>
        <v>190</v>
      </c>
      <c r="G9" s="171">
        <f>Municipality!F9</f>
        <v>35</v>
      </c>
      <c r="H9" s="171">
        <f>Municipality!G9</f>
        <v>101</v>
      </c>
    </row>
    <row r="10" ht="14.25" customHeight="1">
      <c r="A10" s="170" t="s">
        <v>136</v>
      </c>
      <c r="B10" s="168" t="s">
        <v>181</v>
      </c>
      <c r="C10" s="171">
        <f>Municipality!B10</f>
        <v>174</v>
      </c>
      <c r="D10" s="171">
        <f>Municipality!C10</f>
        <v>1331</v>
      </c>
      <c r="E10" s="171">
        <f>Municipality!D10</f>
        <v>11</v>
      </c>
      <c r="F10" s="171">
        <f>Municipality!E10</f>
        <v>84</v>
      </c>
      <c r="G10" s="171" t="str">
        <f>Municipality!F10</f>
        <v>&lt;5</v>
      </c>
      <c r="H10" s="171" t="str">
        <f>Municipality!G10</f>
        <v>--</v>
      </c>
    </row>
    <row r="11" ht="14.25" customHeight="1">
      <c r="A11" s="170" t="s">
        <v>137</v>
      </c>
      <c r="B11" s="168" t="s">
        <v>182</v>
      </c>
      <c r="C11" s="171">
        <f>Municipality!B11</f>
        <v>1016</v>
      </c>
      <c r="D11" s="171">
        <f>Municipality!C11</f>
        <v>2141</v>
      </c>
      <c r="E11" s="171">
        <f>Municipality!D11</f>
        <v>103</v>
      </c>
      <c r="F11" s="171">
        <f>Municipality!E11</f>
        <v>217</v>
      </c>
      <c r="G11" s="171">
        <f>Municipality!F11</f>
        <v>112</v>
      </c>
      <c r="H11" s="171">
        <f>Municipality!G11</f>
        <v>236</v>
      </c>
    </row>
    <row r="12" ht="14.25" customHeight="1">
      <c r="A12" s="170" t="s">
        <v>138</v>
      </c>
      <c r="B12" s="168" t="s">
        <v>183</v>
      </c>
      <c r="C12" s="171">
        <f>Municipality!B12</f>
        <v>61</v>
      </c>
      <c r="D12" s="171">
        <f>Municipality!C12</f>
        <v>899</v>
      </c>
      <c r="E12" s="171">
        <f>Municipality!D12</f>
        <v>8</v>
      </c>
      <c r="F12" s="171">
        <f>Municipality!E12</f>
        <v>118</v>
      </c>
      <c r="G12" s="171" t="str">
        <f>Municipality!F12</f>
        <v>&lt;5</v>
      </c>
      <c r="H12" s="171" t="str">
        <f>Municipality!G12</f>
        <v>--</v>
      </c>
    </row>
    <row r="13" ht="14.25" customHeight="1">
      <c r="A13" s="170" t="s">
        <v>139</v>
      </c>
      <c r="B13" s="168" t="s">
        <v>184</v>
      </c>
      <c r="C13" s="171">
        <f>Municipality!B13</f>
        <v>44</v>
      </c>
      <c r="D13" s="171">
        <f>Municipality!C13</f>
        <v>938</v>
      </c>
      <c r="E13" s="171" t="str">
        <f>Municipality!D13</f>
        <v>&lt;5</v>
      </c>
      <c r="F13" s="171" t="str">
        <f>Municipality!E13</f>
        <v>--</v>
      </c>
      <c r="G13" s="171">
        <f>Municipality!F13</f>
        <v>0</v>
      </c>
      <c r="H13" s="171">
        <f>Municipality!G13</f>
        <v>0</v>
      </c>
    </row>
    <row r="14" ht="14.25" customHeight="1">
      <c r="A14" s="170" t="s">
        <v>140</v>
      </c>
      <c r="B14" s="168" t="s">
        <v>185</v>
      </c>
      <c r="C14" s="171">
        <f>Municipality!B14</f>
        <v>73</v>
      </c>
      <c r="D14" s="171">
        <f>Municipality!C14</f>
        <v>726</v>
      </c>
      <c r="E14" s="171">
        <f>Municipality!D14</f>
        <v>5</v>
      </c>
      <c r="F14" s="171">
        <f>Municipality!E14</f>
        <v>50</v>
      </c>
      <c r="G14" s="171">
        <f>Municipality!F14</f>
        <v>0</v>
      </c>
      <c r="H14" s="171">
        <f>Municipality!G14</f>
        <v>0</v>
      </c>
    </row>
    <row r="15" ht="14.25" customHeight="1">
      <c r="A15" s="170" t="s">
        <v>141</v>
      </c>
      <c r="B15" s="168" t="s">
        <v>186</v>
      </c>
      <c r="C15" s="171">
        <f>Municipality!B15</f>
        <v>21</v>
      </c>
      <c r="D15" s="171">
        <f>Municipality!C15</f>
        <v>259</v>
      </c>
      <c r="E15" s="171" t="str">
        <f>Municipality!D15</f>
        <v>&lt;5</v>
      </c>
      <c r="F15" s="171" t="str">
        <f>Municipality!E15</f>
        <v>--</v>
      </c>
      <c r="G15" s="171" t="str">
        <f>Municipality!F15</f>
        <v>&lt;5</v>
      </c>
      <c r="H15" s="171" t="str">
        <f>Municipality!G15</f>
        <v>--</v>
      </c>
    </row>
    <row r="16" ht="14.25" customHeight="1">
      <c r="A16" s="170" t="s">
        <v>142</v>
      </c>
      <c r="B16" s="168" t="s">
        <v>187</v>
      </c>
      <c r="C16" s="171">
        <f>Municipality!B16</f>
        <v>42</v>
      </c>
      <c r="D16" s="171">
        <f>Municipality!C16</f>
        <v>764</v>
      </c>
      <c r="E16" s="171" t="str">
        <f>Municipality!D16</f>
        <v>&lt;5</v>
      </c>
      <c r="F16" s="171" t="str">
        <f>Municipality!E16</f>
        <v>--</v>
      </c>
      <c r="G16" s="171">
        <f>Municipality!F16</f>
        <v>0</v>
      </c>
      <c r="H16" s="171">
        <f>Municipality!G16</f>
        <v>0</v>
      </c>
    </row>
    <row r="17" ht="14.25" customHeight="1">
      <c r="A17" s="170" t="s">
        <v>143</v>
      </c>
      <c r="B17" s="168" t="s">
        <v>188</v>
      </c>
      <c r="C17" s="171">
        <f>Municipality!B17</f>
        <v>813</v>
      </c>
      <c r="D17" s="171">
        <f>Municipality!C17</f>
        <v>2781</v>
      </c>
      <c r="E17" s="171">
        <f>Municipality!D17</f>
        <v>84</v>
      </c>
      <c r="F17" s="171">
        <f>Municipality!E17</f>
        <v>287</v>
      </c>
      <c r="G17" s="171">
        <f>Municipality!F17</f>
        <v>82</v>
      </c>
      <c r="H17" s="171">
        <f>Municipality!G17</f>
        <v>280</v>
      </c>
    </row>
    <row r="18" ht="14.25" customHeight="1">
      <c r="A18" s="170" t="s">
        <v>144</v>
      </c>
      <c r="B18" s="168" t="s">
        <v>189</v>
      </c>
      <c r="C18" s="171">
        <f>Municipality!B18</f>
        <v>434</v>
      </c>
      <c r="D18" s="171">
        <f>Municipality!C18</f>
        <v>2005</v>
      </c>
      <c r="E18" s="171">
        <f>Municipality!D18</f>
        <v>41</v>
      </c>
      <c r="F18" s="171">
        <f>Municipality!E18</f>
        <v>189</v>
      </c>
      <c r="G18" s="171">
        <f>Municipality!F18</f>
        <v>37</v>
      </c>
      <c r="H18" s="171">
        <f>Municipality!G18</f>
        <v>171</v>
      </c>
    </row>
    <row r="19" ht="14.25" customHeight="1">
      <c r="A19" s="170" t="s">
        <v>145</v>
      </c>
      <c r="B19" s="168" t="s">
        <v>190</v>
      </c>
      <c r="C19" s="171">
        <f>Municipality!B19</f>
        <v>19</v>
      </c>
      <c r="D19" s="171">
        <f>Municipality!C19</f>
        <v>542</v>
      </c>
      <c r="E19" s="171">
        <f>Municipality!D19</f>
        <v>0</v>
      </c>
      <c r="F19" s="171">
        <f>Municipality!E19</f>
        <v>0</v>
      </c>
      <c r="G19" s="171" t="str">
        <f>Municipality!F19</f>
        <v>&lt;5</v>
      </c>
      <c r="H19" s="171" t="str">
        <f>Municipality!G19</f>
        <v>--</v>
      </c>
    </row>
    <row r="20" ht="14.25" customHeight="1">
      <c r="A20" s="170" t="s">
        <v>146</v>
      </c>
      <c r="B20" s="168" t="s">
        <v>191</v>
      </c>
      <c r="C20" s="171">
        <f>Municipality!B20</f>
        <v>94</v>
      </c>
      <c r="D20" s="171">
        <f>Municipality!C20</f>
        <v>585</v>
      </c>
      <c r="E20" s="171">
        <f>Municipality!D20</f>
        <v>8</v>
      </c>
      <c r="F20" s="171">
        <f>Municipality!E20</f>
        <v>50</v>
      </c>
      <c r="G20" s="171" t="str">
        <f>Municipality!F20</f>
        <v>&lt;5</v>
      </c>
      <c r="H20" s="171" t="str">
        <f>Municipality!G20</f>
        <v>--</v>
      </c>
    </row>
    <row r="21" ht="14.25" customHeight="1">
      <c r="A21" s="170" t="s">
        <v>147</v>
      </c>
      <c r="B21" s="168" t="s">
        <v>192</v>
      </c>
      <c r="C21" s="171">
        <f>Municipality!B21</f>
        <v>326</v>
      </c>
      <c r="D21" s="171">
        <f>Municipality!C21</f>
        <v>2096</v>
      </c>
      <c r="E21" s="171">
        <f>Municipality!D21</f>
        <v>8</v>
      </c>
      <c r="F21" s="171">
        <f>Municipality!E21</f>
        <v>51</v>
      </c>
      <c r="G21" s="171">
        <f>Municipality!F21</f>
        <v>0</v>
      </c>
      <c r="H21" s="171">
        <f>Municipality!G21</f>
        <v>0</v>
      </c>
    </row>
    <row r="22" ht="14.25" customHeight="1">
      <c r="A22" s="170" t="s">
        <v>148</v>
      </c>
      <c r="B22" s="168" t="s">
        <v>193</v>
      </c>
      <c r="C22" s="171">
        <f>Municipality!B22</f>
        <v>7</v>
      </c>
      <c r="D22" s="171">
        <f>Municipality!C22</f>
        <v>846</v>
      </c>
      <c r="E22" s="171">
        <f>Municipality!D22</f>
        <v>0</v>
      </c>
      <c r="F22" s="171">
        <f>Municipality!E22</f>
        <v>0</v>
      </c>
      <c r="G22" s="171">
        <f>Municipality!F22</f>
        <v>0</v>
      </c>
      <c r="H22" s="171">
        <f>Municipality!G22</f>
        <v>0</v>
      </c>
    </row>
    <row r="23" ht="14.25" customHeight="1">
      <c r="A23" s="170" t="s">
        <v>149</v>
      </c>
      <c r="B23" s="168" t="s">
        <v>194</v>
      </c>
      <c r="C23" s="171">
        <f>Municipality!B23</f>
        <v>205</v>
      </c>
      <c r="D23" s="171">
        <f>Municipality!C23</f>
        <v>828</v>
      </c>
      <c r="E23" s="171">
        <f>Municipality!D23</f>
        <v>17</v>
      </c>
      <c r="F23" s="171">
        <f>Municipality!E23</f>
        <v>69</v>
      </c>
      <c r="G23" s="171" t="str">
        <f>Municipality!F23</f>
        <v>&lt;5</v>
      </c>
      <c r="H23" s="171" t="str">
        <f>Municipality!G23</f>
        <v>--</v>
      </c>
    </row>
    <row r="24" ht="14.25" customHeight="1">
      <c r="A24" s="170" t="s">
        <v>150</v>
      </c>
      <c r="B24" s="168" t="s">
        <v>195</v>
      </c>
      <c r="C24" s="171">
        <f>Municipality!B24</f>
        <v>372</v>
      </c>
      <c r="D24" s="171">
        <f>Municipality!C24</f>
        <v>1419</v>
      </c>
      <c r="E24" s="171">
        <f>Municipality!D24</f>
        <v>36</v>
      </c>
      <c r="F24" s="171">
        <f>Municipality!E24</f>
        <v>137</v>
      </c>
      <c r="G24" s="171">
        <f>Municipality!F24</f>
        <v>53</v>
      </c>
      <c r="H24" s="171">
        <f>Municipality!G24</f>
        <v>202</v>
      </c>
    </row>
    <row r="25" ht="15.75" customHeight="1">
      <c r="A25" s="170" t="s">
        <v>151</v>
      </c>
      <c r="B25" s="168" t="s">
        <v>196</v>
      </c>
      <c r="C25" s="171">
        <f>Municipality!B25</f>
        <v>1163</v>
      </c>
      <c r="D25" s="171">
        <f>Municipality!C25</f>
        <v>3583</v>
      </c>
      <c r="E25" s="171">
        <f>Municipality!D25</f>
        <v>129</v>
      </c>
      <c r="F25" s="171">
        <f>Municipality!E25</f>
        <v>397</v>
      </c>
      <c r="G25" s="171">
        <f>Municipality!F25</f>
        <v>81</v>
      </c>
      <c r="H25" s="171">
        <f>Municipality!G25</f>
        <v>250</v>
      </c>
    </row>
    <row r="26" ht="14.25" customHeight="1">
      <c r="A26" s="170" t="s">
        <v>152</v>
      </c>
      <c r="B26" s="168" t="s">
        <v>197</v>
      </c>
      <c r="C26" s="171">
        <f>Municipality!B26</f>
        <v>204</v>
      </c>
      <c r="D26" s="171">
        <f>Municipality!C26</f>
        <v>1652</v>
      </c>
      <c r="E26" s="171">
        <f>Municipality!D26</f>
        <v>22</v>
      </c>
      <c r="F26" s="171">
        <f>Municipality!E26</f>
        <v>178</v>
      </c>
      <c r="G26" s="171">
        <f>Municipality!F26</f>
        <v>28</v>
      </c>
      <c r="H26" s="171">
        <f>Municipality!G26</f>
        <v>227</v>
      </c>
    </row>
    <row r="27" ht="14.25" customHeight="1">
      <c r="A27" s="170" t="s">
        <v>153</v>
      </c>
      <c r="B27" s="168" t="s">
        <v>198</v>
      </c>
      <c r="C27" s="171">
        <f>Municipality!B27</f>
        <v>2812</v>
      </c>
      <c r="D27" s="171">
        <f>Municipality!C27</f>
        <v>3919</v>
      </c>
      <c r="E27" s="171">
        <f>Municipality!D27</f>
        <v>233</v>
      </c>
      <c r="F27" s="171">
        <f>Municipality!E27</f>
        <v>325</v>
      </c>
      <c r="G27" s="171">
        <f>Municipality!F27</f>
        <v>54</v>
      </c>
      <c r="H27" s="171">
        <f>Municipality!G27</f>
        <v>75</v>
      </c>
    </row>
    <row r="28" ht="14.25" customHeight="1">
      <c r="A28" s="170" t="s">
        <v>154</v>
      </c>
      <c r="B28" s="168" t="s">
        <v>199</v>
      </c>
      <c r="C28" s="171">
        <f>Municipality!B28</f>
        <v>103</v>
      </c>
      <c r="D28" s="171">
        <f>Municipality!C28</f>
        <v>591</v>
      </c>
      <c r="E28" s="171" t="str">
        <f>Municipality!D28</f>
        <v>&lt;5</v>
      </c>
      <c r="F28" s="171" t="str">
        <f>Municipality!E28</f>
        <v>--</v>
      </c>
      <c r="G28" s="171">
        <f>Municipality!F28</f>
        <v>0</v>
      </c>
      <c r="H28" s="171">
        <f>Municipality!G28</f>
        <v>0</v>
      </c>
    </row>
    <row r="29" ht="14.25" customHeight="1">
      <c r="A29" s="170" t="s">
        <v>155</v>
      </c>
      <c r="B29" s="168" t="s">
        <v>200</v>
      </c>
      <c r="C29" s="171">
        <f>Municipality!B29</f>
        <v>9288</v>
      </c>
      <c r="D29" s="171">
        <f>Municipality!C29</f>
        <v>5176</v>
      </c>
      <c r="E29" s="171">
        <f>Municipality!D29</f>
        <v>941</v>
      </c>
      <c r="F29" s="171">
        <f>Municipality!E29</f>
        <v>524</v>
      </c>
      <c r="G29" s="171">
        <f>Municipality!F29</f>
        <v>296</v>
      </c>
      <c r="H29" s="171">
        <f>Municipality!G29</f>
        <v>165</v>
      </c>
    </row>
    <row r="30" ht="14.25" customHeight="1">
      <c r="A30" s="170" t="s">
        <v>156</v>
      </c>
      <c r="B30" s="168" t="s">
        <v>201</v>
      </c>
      <c r="C30" s="171">
        <f>Municipality!B30</f>
        <v>38</v>
      </c>
      <c r="D30" s="171">
        <f>Municipality!C30</f>
        <v>498</v>
      </c>
      <c r="E30" s="171">
        <f>Municipality!D30</f>
        <v>5</v>
      </c>
      <c r="F30" s="171">
        <f>Municipality!E30</f>
        <v>66</v>
      </c>
      <c r="G30" s="171">
        <f>Municipality!F30</f>
        <v>0</v>
      </c>
      <c r="H30" s="171">
        <f>Municipality!G30</f>
        <v>0</v>
      </c>
    </row>
    <row r="31" ht="14.25" customHeight="1">
      <c r="A31" s="170" t="s">
        <v>157</v>
      </c>
      <c r="B31" s="168" t="s">
        <v>202</v>
      </c>
      <c r="C31" s="171">
        <f>Municipality!B31</f>
        <v>84</v>
      </c>
      <c r="D31" s="171">
        <f>Municipality!C31</f>
        <v>792</v>
      </c>
      <c r="E31" s="171" t="str">
        <f>Municipality!D31</f>
        <v>&lt;5</v>
      </c>
      <c r="F31" s="171" t="str">
        <f>Municipality!E31</f>
        <v>--</v>
      </c>
      <c r="G31" s="171" t="str">
        <f>Municipality!F31</f>
        <v>&lt;5</v>
      </c>
      <c r="H31" s="171" t="str">
        <f>Municipality!G31</f>
        <v>--</v>
      </c>
    </row>
    <row r="32" ht="14.25" customHeight="1">
      <c r="A32" s="170" t="s">
        <v>158</v>
      </c>
      <c r="B32" s="168" t="s">
        <v>203</v>
      </c>
      <c r="C32" s="171">
        <f>Municipality!B32</f>
        <v>443</v>
      </c>
      <c r="D32" s="171">
        <f>Municipality!C32</f>
        <v>2048</v>
      </c>
      <c r="E32" s="171">
        <f>Municipality!D32</f>
        <v>77</v>
      </c>
      <c r="F32" s="171">
        <f>Municipality!E32</f>
        <v>356</v>
      </c>
      <c r="G32" s="171">
        <f>Municipality!F32</f>
        <v>56</v>
      </c>
      <c r="H32" s="171">
        <f>Municipality!G32</f>
        <v>259</v>
      </c>
    </row>
    <row r="33" ht="14.25" customHeight="1">
      <c r="A33" s="170" t="s">
        <v>159</v>
      </c>
      <c r="B33" s="168" t="s">
        <v>204</v>
      </c>
      <c r="C33" s="171">
        <f>Municipality!B33</f>
        <v>194</v>
      </c>
      <c r="D33" s="171">
        <f>Municipality!C33</f>
        <v>631</v>
      </c>
      <c r="E33" s="171">
        <f>Municipality!D33</f>
        <v>16</v>
      </c>
      <c r="F33" s="171">
        <f>Municipality!E33</f>
        <v>52</v>
      </c>
      <c r="G33" s="171">
        <f>Municipality!F33</f>
        <v>18</v>
      </c>
      <c r="H33" s="171">
        <f>Municipality!G33</f>
        <v>59</v>
      </c>
    </row>
    <row r="34" ht="14.25" customHeight="1">
      <c r="A34" s="170" t="s">
        <v>160</v>
      </c>
      <c r="B34" s="168" t="s">
        <v>205</v>
      </c>
      <c r="C34" s="171">
        <f>Municipality!B34</f>
        <v>168</v>
      </c>
      <c r="D34" s="171">
        <f>Municipality!C34</f>
        <v>1062</v>
      </c>
      <c r="E34" s="171" t="str">
        <f>Municipality!D34</f>
        <v>&lt;5</v>
      </c>
      <c r="F34" s="171" t="str">
        <f>Municipality!E34</f>
        <v>--</v>
      </c>
      <c r="G34" s="171">
        <f>Municipality!F34</f>
        <v>5</v>
      </c>
      <c r="H34" s="171">
        <f>Municipality!G34</f>
        <v>32</v>
      </c>
    </row>
    <row r="35" ht="14.25" customHeight="1">
      <c r="A35" s="170" t="s">
        <v>161</v>
      </c>
      <c r="B35" s="168" t="s">
        <v>206</v>
      </c>
      <c r="C35" s="171">
        <f>Municipality!B35</f>
        <v>131</v>
      </c>
      <c r="D35" s="171">
        <f>Municipality!C35</f>
        <v>1249</v>
      </c>
      <c r="E35" s="171">
        <f>Municipality!D35</f>
        <v>11</v>
      </c>
      <c r="F35" s="171">
        <f>Municipality!E35</f>
        <v>105</v>
      </c>
      <c r="G35" s="171">
        <f>Municipality!F35</f>
        <v>9</v>
      </c>
      <c r="H35" s="171">
        <f>Municipality!G35</f>
        <v>86</v>
      </c>
    </row>
    <row r="36" ht="14.25" customHeight="1">
      <c r="A36" s="170" t="s">
        <v>162</v>
      </c>
      <c r="B36" s="168" t="s">
        <v>207</v>
      </c>
      <c r="C36" s="171">
        <f>Municipality!B36</f>
        <v>1135</v>
      </c>
      <c r="D36" s="171">
        <f>Municipality!C36</f>
        <v>1400</v>
      </c>
      <c r="E36" s="171">
        <f>Municipality!D36</f>
        <v>94</v>
      </c>
      <c r="F36" s="171">
        <f>Municipality!E36</f>
        <v>116</v>
      </c>
      <c r="G36" s="171">
        <f>Municipality!F36</f>
        <v>76</v>
      </c>
      <c r="H36" s="171">
        <f>Municipality!G36</f>
        <v>94</v>
      </c>
    </row>
    <row r="37" ht="14.25" customHeight="1">
      <c r="A37" s="170" t="s">
        <v>163</v>
      </c>
      <c r="B37" s="168" t="s">
        <v>208</v>
      </c>
      <c r="C37" s="171">
        <f>Municipality!B37</f>
        <v>52</v>
      </c>
      <c r="D37" s="171">
        <f>Municipality!C37</f>
        <v>842</v>
      </c>
      <c r="E37" s="171" t="str">
        <f>Municipality!D37</f>
        <v>&lt;5</v>
      </c>
      <c r="F37" s="171" t="str">
        <f>Municipality!E37</f>
        <v>--</v>
      </c>
      <c r="G37" s="171">
        <f>Municipality!F37</f>
        <v>0</v>
      </c>
      <c r="H37" s="171">
        <f>Municipality!G37</f>
        <v>0</v>
      </c>
    </row>
    <row r="38" ht="14.25" customHeight="1">
      <c r="A38" s="170" t="s">
        <v>164</v>
      </c>
      <c r="B38" s="168" t="s">
        <v>209</v>
      </c>
      <c r="C38" s="171">
        <f>Municipality!B38</f>
        <v>494</v>
      </c>
      <c r="D38" s="171">
        <f>Municipality!C38</f>
        <v>1706</v>
      </c>
      <c r="E38" s="171">
        <f>Municipality!D38</f>
        <v>48</v>
      </c>
      <c r="F38" s="171">
        <f>Municipality!E38</f>
        <v>166</v>
      </c>
      <c r="G38" s="171">
        <f>Municipality!F38</f>
        <v>22</v>
      </c>
      <c r="H38" s="171">
        <f>Municipality!G38</f>
        <v>76</v>
      </c>
    </row>
    <row r="39" ht="14.25" customHeight="1">
      <c r="A39" s="170" t="s">
        <v>165</v>
      </c>
      <c r="B39" s="168" t="s">
        <v>210</v>
      </c>
      <c r="C39" s="171">
        <f>Municipality!B39</f>
        <v>169</v>
      </c>
      <c r="D39" s="171">
        <f>Municipality!C39</f>
        <v>747</v>
      </c>
      <c r="E39" s="171">
        <f>Municipality!D39</f>
        <v>11</v>
      </c>
      <c r="F39" s="171">
        <f>Municipality!E39</f>
        <v>49</v>
      </c>
      <c r="G39" s="171" t="str">
        <f>Municipality!F39</f>
        <v>&lt;5</v>
      </c>
      <c r="H39" s="171" t="str">
        <f>Municipality!G39</f>
        <v>--</v>
      </c>
    </row>
    <row r="40" ht="14.25" customHeight="1">
      <c r="A40" s="170" t="s">
        <v>166</v>
      </c>
      <c r="B40" s="168" t="s">
        <v>211</v>
      </c>
      <c r="C40" s="171">
        <f>Municipality!B40</f>
        <v>985</v>
      </c>
      <c r="D40" s="171">
        <f>Municipality!C40</f>
        <v>2371</v>
      </c>
      <c r="E40" s="171">
        <f>Municipality!D40</f>
        <v>122</v>
      </c>
      <c r="F40" s="171">
        <f>Municipality!E40</f>
        <v>294</v>
      </c>
      <c r="G40" s="171">
        <f>Municipality!F40</f>
        <v>84</v>
      </c>
      <c r="H40" s="171">
        <f>Municipality!G40</f>
        <v>202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2" t="s">
        <v>226</v>
      </c>
      <c r="B1" s="173" t="s">
        <v>227</v>
      </c>
      <c r="C1" s="115" t="s">
        <v>124</v>
      </c>
    </row>
    <row r="2" ht="14.25" customHeight="1">
      <c r="A2" s="174" t="s">
        <v>228</v>
      </c>
      <c r="B2" s="175">
        <v>12.0</v>
      </c>
      <c r="C2" s="176">
        <v>1788.0</v>
      </c>
    </row>
    <row r="3" ht="14.25" customHeight="1">
      <c r="A3" s="177" t="s">
        <v>229</v>
      </c>
      <c r="B3" s="178">
        <v>6.0</v>
      </c>
      <c r="C3" s="179">
        <v>299.0</v>
      </c>
    </row>
    <row r="4" ht="14.25" customHeight="1">
      <c r="A4" s="177" t="s">
        <v>230</v>
      </c>
      <c r="B4" s="178">
        <v>103.0</v>
      </c>
      <c r="C4" s="179">
        <v>636.0</v>
      </c>
    </row>
    <row r="5" ht="14.25" customHeight="1">
      <c r="A5" s="177" t="s">
        <v>231</v>
      </c>
      <c r="B5" s="178">
        <v>8.0</v>
      </c>
      <c r="C5" s="179">
        <v>967.0</v>
      </c>
    </row>
    <row r="6" ht="14.25" customHeight="1">
      <c r="A6" s="177" t="s">
        <v>232</v>
      </c>
      <c r="B6" s="178">
        <v>19.0</v>
      </c>
      <c r="C6" s="179">
        <v>741.0</v>
      </c>
    </row>
    <row r="7" ht="14.25" customHeight="1">
      <c r="A7" s="177" t="s">
        <v>233</v>
      </c>
      <c r="B7" s="178">
        <v>263.0</v>
      </c>
      <c r="C7" s="179">
        <v>1182.0</v>
      </c>
    </row>
    <row r="8" ht="14.25" customHeight="1">
      <c r="A8" s="177" t="s">
        <v>234</v>
      </c>
      <c r="B8" s="178">
        <v>11.0</v>
      </c>
      <c r="C8" s="179">
        <v>911.0</v>
      </c>
    </row>
    <row r="9" ht="14.25" customHeight="1">
      <c r="A9" s="177" t="s">
        <v>235</v>
      </c>
      <c r="B9" s="178">
        <v>47.0</v>
      </c>
      <c r="C9" s="179">
        <v>604.0</v>
      </c>
    </row>
    <row r="10" ht="14.25" customHeight="1">
      <c r="A10" s="177" t="s">
        <v>236</v>
      </c>
      <c r="B10" s="178">
        <v>59.0</v>
      </c>
      <c r="C10" s="179">
        <v>769.0</v>
      </c>
    </row>
    <row r="11" ht="14.25" customHeight="1">
      <c r="A11" s="177" t="s">
        <v>237</v>
      </c>
      <c r="B11" s="178">
        <v>0.0</v>
      </c>
      <c r="C11" s="179">
        <v>0.0</v>
      </c>
    </row>
    <row r="12" ht="14.25" customHeight="1">
      <c r="A12" s="177" t="s">
        <v>238</v>
      </c>
      <c r="B12" s="178">
        <v>398.0</v>
      </c>
      <c r="C12" s="179">
        <v>1212.0</v>
      </c>
    </row>
    <row r="13" ht="14.25" customHeight="1">
      <c r="A13" s="177" t="s">
        <v>239</v>
      </c>
      <c r="B13" s="178">
        <v>53.0</v>
      </c>
      <c r="C13" s="179">
        <v>879.0</v>
      </c>
    </row>
    <row r="14" ht="14.25" customHeight="1">
      <c r="A14" s="177" t="s">
        <v>240</v>
      </c>
      <c r="B14" s="178">
        <v>177.0</v>
      </c>
      <c r="C14" s="179">
        <v>973.0</v>
      </c>
    </row>
    <row r="15" ht="14.25" customHeight="1">
      <c r="A15" s="177" t="s">
        <v>241</v>
      </c>
      <c r="B15" s="178">
        <v>60.0</v>
      </c>
      <c r="C15" s="179">
        <v>912.0</v>
      </c>
    </row>
    <row r="16" ht="14.25" customHeight="1">
      <c r="A16" s="177" t="s">
        <v>242</v>
      </c>
      <c r="B16" s="178">
        <v>48.0</v>
      </c>
      <c r="C16" s="179">
        <v>873.0</v>
      </c>
    </row>
    <row r="17" ht="14.25" customHeight="1">
      <c r="A17" s="177" t="s">
        <v>243</v>
      </c>
      <c r="B17" s="178">
        <v>5.0</v>
      </c>
      <c r="C17" s="179">
        <v>998.0</v>
      </c>
    </row>
    <row r="18" ht="14.25" customHeight="1">
      <c r="A18" s="177" t="s">
        <v>244</v>
      </c>
      <c r="B18" s="178">
        <v>23.0</v>
      </c>
      <c r="C18" s="179">
        <v>1117.0</v>
      </c>
    </row>
    <row r="19" ht="14.25" customHeight="1">
      <c r="A19" s="177" t="s">
        <v>245</v>
      </c>
      <c r="B19" s="178">
        <v>260.0</v>
      </c>
      <c r="C19" s="179">
        <v>3307.0</v>
      </c>
    </row>
    <row r="20" ht="14.25" customHeight="1">
      <c r="A20" s="177" t="s">
        <v>246</v>
      </c>
      <c r="B20" s="178">
        <v>49.0</v>
      </c>
      <c r="C20" s="179">
        <v>826.0</v>
      </c>
    </row>
    <row r="21" ht="14.25" customHeight="1">
      <c r="A21" s="177" t="s">
        <v>247</v>
      </c>
      <c r="B21" s="178">
        <v>44.0</v>
      </c>
      <c r="C21" s="179">
        <v>1257.0</v>
      </c>
    </row>
    <row r="22" ht="14.25" customHeight="1">
      <c r="A22" s="177" t="s">
        <v>248</v>
      </c>
      <c r="B22" s="178">
        <v>23.0</v>
      </c>
      <c r="C22" s="179">
        <v>532.0</v>
      </c>
    </row>
    <row r="23" ht="14.25" customHeight="1">
      <c r="A23" s="177" t="s">
        <v>249</v>
      </c>
      <c r="B23" s="178">
        <v>0.0</v>
      </c>
      <c r="C23" s="179">
        <v>0.0</v>
      </c>
    </row>
    <row r="24" ht="14.25" customHeight="1">
      <c r="A24" s="177" t="s">
        <v>250</v>
      </c>
      <c r="B24" s="178">
        <v>41.0</v>
      </c>
      <c r="C24" s="179">
        <v>746.0</v>
      </c>
    </row>
    <row r="25" ht="14.25" customHeight="1">
      <c r="A25" s="177" t="s">
        <v>251</v>
      </c>
      <c r="B25" s="180">
        <v>0.0</v>
      </c>
      <c r="C25" s="179">
        <v>0.0</v>
      </c>
    </row>
    <row r="26" ht="14.25" customHeight="1">
      <c r="A26" s="177" t="s">
        <v>252</v>
      </c>
      <c r="B26" s="178">
        <v>17.0</v>
      </c>
      <c r="C26" s="179">
        <v>485.0</v>
      </c>
    </row>
    <row r="27" ht="14.25" customHeight="1">
      <c r="A27" s="177" t="s">
        <v>253</v>
      </c>
      <c r="B27" s="178">
        <v>143.0</v>
      </c>
      <c r="C27" s="179">
        <v>4064.0</v>
      </c>
    </row>
    <row r="28" ht="14.25" customHeight="1">
      <c r="A28" s="177" t="s">
        <v>254</v>
      </c>
      <c r="B28" s="178">
        <v>22.0</v>
      </c>
      <c r="C28" s="179">
        <v>1067.0</v>
      </c>
    </row>
    <row r="29" ht="14.25" customHeight="1">
      <c r="A29" s="177" t="s">
        <v>255</v>
      </c>
      <c r="B29" s="178">
        <v>186.0</v>
      </c>
      <c r="C29" s="179">
        <v>801.0</v>
      </c>
    </row>
    <row r="30" ht="14.25" customHeight="1">
      <c r="A30" s="177" t="s">
        <v>256</v>
      </c>
      <c r="B30" s="178">
        <v>12.0</v>
      </c>
      <c r="C30" s="179">
        <v>735.0</v>
      </c>
    </row>
    <row r="31" ht="14.25" customHeight="1">
      <c r="A31" s="177" t="s">
        <v>257</v>
      </c>
      <c r="B31" s="178">
        <v>93.0</v>
      </c>
      <c r="C31" s="179">
        <v>581.0</v>
      </c>
    </row>
    <row r="32" ht="14.25" customHeight="1">
      <c r="A32" s="177" t="s">
        <v>258</v>
      </c>
      <c r="B32" s="178">
        <v>347.0</v>
      </c>
      <c r="C32" s="179">
        <v>1575.0</v>
      </c>
    </row>
    <row r="33" ht="14.25" customHeight="1">
      <c r="A33" s="177" t="s">
        <v>259</v>
      </c>
      <c r="B33" s="178">
        <v>69.0</v>
      </c>
      <c r="C33" s="179">
        <v>790.0</v>
      </c>
    </row>
    <row r="34" ht="14.25" customHeight="1">
      <c r="A34" s="177" t="s">
        <v>260</v>
      </c>
      <c r="B34" s="180">
        <v>5.0</v>
      </c>
      <c r="C34" s="179">
        <v>687.0</v>
      </c>
    </row>
    <row r="35" ht="14.25" customHeight="1">
      <c r="A35" s="177" t="s">
        <v>261</v>
      </c>
      <c r="B35" s="178">
        <v>116.0</v>
      </c>
      <c r="C35" s="179">
        <v>1605.0</v>
      </c>
    </row>
    <row r="36" ht="14.25" customHeight="1">
      <c r="A36" s="177" t="s">
        <v>262</v>
      </c>
      <c r="B36" s="178">
        <v>2056.0</v>
      </c>
      <c r="C36" s="179">
        <v>4363.0</v>
      </c>
    </row>
    <row r="37" ht="14.25" customHeight="1">
      <c r="A37" s="177" t="s">
        <v>263</v>
      </c>
      <c r="B37" s="178">
        <v>721.0</v>
      </c>
      <c r="C37" s="179">
        <v>2879.0</v>
      </c>
    </row>
    <row r="38" ht="14.25" customHeight="1">
      <c r="A38" s="177" t="s">
        <v>264</v>
      </c>
      <c r="B38" s="178">
        <v>1460.0</v>
      </c>
      <c r="C38" s="179">
        <v>7547.0</v>
      </c>
    </row>
    <row r="39" ht="14.25" customHeight="1">
      <c r="A39" s="177" t="s">
        <v>265</v>
      </c>
      <c r="B39" s="178">
        <v>602.0</v>
      </c>
      <c r="C39" s="179">
        <v>1739.0</v>
      </c>
    </row>
    <row r="40" ht="14.25" customHeight="1">
      <c r="A40" s="177" t="s">
        <v>266</v>
      </c>
      <c r="B40" s="178">
        <v>278.0</v>
      </c>
      <c r="C40" s="179">
        <v>1593.0</v>
      </c>
    </row>
    <row r="41" ht="14.25" customHeight="1">
      <c r="A41" s="177" t="s">
        <v>267</v>
      </c>
      <c r="B41" s="178">
        <v>103.0</v>
      </c>
      <c r="C41" s="179">
        <v>601.0</v>
      </c>
    </row>
    <row r="42" ht="14.25" customHeight="1">
      <c r="A42" s="177" t="s">
        <v>268</v>
      </c>
      <c r="B42" s="178">
        <v>0.0</v>
      </c>
      <c r="C42" s="179">
        <v>0.0</v>
      </c>
    </row>
    <row r="43" ht="14.25" customHeight="1">
      <c r="A43" s="177" t="s">
        <v>269</v>
      </c>
      <c r="B43" s="178">
        <v>0.0</v>
      </c>
      <c r="C43" s="179">
        <v>0.0</v>
      </c>
    </row>
    <row r="44" ht="14.25" customHeight="1">
      <c r="A44" s="177" t="s">
        <v>270</v>
      </c>
      <c r="B44" s="178">
        <v>63.0</v>
      </c>
      <c r="C44" s="179">
        <v>1057.0</v>
      </c>
    </row>
    <row r="45" ht="14.25" customHeight="1">
      <c r="A45" s="177" t="s">
        <v>271</v>
      </c>
      <c r="B45" s="178">
        <v>0.0</v>
      </c>
      <c r="C45" s="179">
        <v>0.0</v>
      </c>
    </row>
    <row r="46" ht="14.25" customHeight="1">
      <c r="A46" s="177" t="s">
        <v>272</v>
      </c>
      <c r="B46" s="178">
        <v>7.0</v>
      </c>
      <c r="C46" s="179">
        <v>2405.0</v>
      </c>
    </row>
    <row r="47" ht="14.25" customHeight="1">
      <c r="A47" s="177" t="s">
        <v>273</v>
      </c>
      <c r="B47" s="178">
        <v>167.0</v>
      </c>
      <c r="C47" s="179">
        <v>1056.0</v>
      </c>
    </row>
    <row r="48" ht="14.25" customHeight="1">
      <c r="A48" s="177" t="s">
        <v>274</v>
      </c>
      <c r="B48" s="178">
        <v>192.0</v>
      </c>
      <c r="C48" s="179">
        <v>935.0</v>
      </c>
    </row>
    <row r="49" ht="14.25" customHeight="1">
      <c r="A49" s="177" t="s">
        <v>275</v>
      </c>
      <c r="B49" s="178">
        <v>83.0</v>
      </c>
      <c r="C49" s="179">
        <v>1059.0</v>
      </c>
    </row>
    <row r="50" ht="14.25" customHeight="1">
      <c r="A50" s="177" t="s">
        <v>276</v>
      </c>
      <c r="B50" s="178">
        <v>310.0</v>
      </c>
      <c r="C50" s="179">
        <v>2222.0</v>
      </c>
    </row>
    <row r="51" ht="14.25" customHeight="1">
      <c r="A51" s="177" t="s">
        <v>277</v>
      </c>
      <c r="B51" s="178">
        <v>130.0</v>
      </c>
      <c r="C51" s="179">
        <v>1242.0</v>
      </c>
    </row>
    <row r="52" ht="14.25" customHeight="1">
      <c r="A52" s="177" t="s">
        <v>278</v>
      </c>
      <c r="B52" s="178">
        <v>362.0</v>
      </c>
      <c r="C52" s="179">
        <v>1248.0</v>
      </c>
    </row>
    <row r="53" ht="14.25" customHeight="1">
      <c r="A53" s="177" t="s">
        <v>279</v>
      </c>
      <c r="B53" s="178">
        <v>253.0</v>
      </c>
      <c r="C53" s="179">
        <v>1320.0</v>
      </c>
    </row>
    <row r="54" ht="14.25" customHeight="1">
      <c r="A54" s="177" t="s">
        <v>280</v>
      </c>
      <c r="B54" s="178">
        <v>484.0</v>
      </c>
      <c r="C54" s="179">
        <v>1771.0</v>
      </c>
    </row>
    <row r="55" ht="14.25" customHeight="1">
      <c r="A55" s="177" t="s">
        <v>281</v>
      </c>
      <c r="B55" s="178">
        <v>155.0</v>
      </c>
      <c r="C55" s="179">
        <v>735.0</v>
      </c>
    </row>
    <row r="56" ht="14.25" customHeight="1">
      <c r="A56" s="177" t="s">
        <v>282</v>
      </c>
      <c r="B56" s="178">
        <v>42.0</v>
      </c>
      <c r="C56" s="179">
        <v>810.0</v>
      </c>
    </row>
    <row r="57" ht="14.25" customHeight="1">
      <c r="A57" s="177" t="s">
        <v>283</v>
      </c>
      <c r="B57" s="178">
        <v>498.0</v>
      </c>
      <c r="C57" s="179">
        <v>1708.0</v>
      </c>
    </row>
    <row r="58" ht="14.25" customHeight="1">
      <c r="A58" s="177" t="s">
        <v>284</v>
      </c>
      <c r="B58" s="178">
        <v>6.0</v>
      </c>
      <c r="C58" s="179">
        <v>890.0</v>
      </c>
    </row>
    <row r="59" ht="14.25" customHeight="1">
      <c r="A59" s="177" t="s">
        <v>285</v>
      </c>
      <c r="B59" s="178">
        <v>972.0</v>
      </c>
      <c r="C59" s="179">
        <v>2340.0</v>
      </c>
    </row>
    <row r="60" ht="14.25" customHeight="1">
      <c r="A60" s="177" t="s">
        <v>286</v>
      </c>
      <c r="B60" s="178">
        <v>201.0</v>
      </c>
      <c r="C60" s="179">
        <v>1667.0</v>
      </c>
    </row>
    <row r="61" ht="14.25" customHeight="1">
      <c r="A61" s="177" t="s">
        <v>287</v>
      </c>
      <c r="B61" s="178">
        <v>21.0</v>
      </c>
      <c r="C61" s="179">
        <v>1278.0</v>
      </c>
    </row>
    <row r="62" ht="14.25" customHeight="1">
      <c r="A62" s="177" t="s">
        <v>288</v>
      </c>
      <c r="B62" s="178">
        <v>293.0</v>
      </c>
      <c r="C62" s="179">
        <v>2779.0</v>
      </c>
    </row>
    <row r="63" ht="14.25" customHeight="1">
      <c r="A63" s="177" t="s">
        <v>289</v>
      </c>
      <c r="B63" s="178">
        <v>1329.0</v>
      </c>
      <c r="C63" s="179">
        <v>4354.0</v>
      </c>
    </row>
    <row r="64" ht="14.25" customHeight="1">
      <c r="A64" s="177" t="s">
        <v>290</v>
      </c>
      <c r="B64" s="178">
        <v>999.0</v>
      </c>
      <c r="C64" s="179">
        <v>3919.0</v>
      </c>
    </row>
    <row r="65" ht="14.25" customHeight="1">
      <c r="A65" s="177" t="s">
        <v>291</v>
      </c>
      <c r="B65" s="178">
        <v>478.0</v>
      </c>
      <c r="C65" s="179">
        <v>1695.0</v>
      </c>
    </row>
    <row r="66" ht="14.25" customHeight="1">
      <c r="A66" s="177" t="s">
        <v>292</v>
      </c>
      <c r="B66" s="178">
        <v>2041.0</v>
      </c>
      <c r="C66" s="179">
        <v>6631.0</v>
      </c>
    </row>
    <row r="67" ht="14.25" customHeight="1">
      <c r="A67" s="177" t="s">
        <v>293</v>
      </c>
      <c r="B67" s="178">
        <v>2251.0</v>
      </c>
      <c r="C67" s="179">
        <v>5995.0</v>
      </c>
    </row>
    <row r="68" ht="14.25" customHeight="1">
      <c r="A68" s="177" t="s">
        <v>294</v>
      </c>
      <c r="B68" s="178">
        <v>2809.0</v>
      </c>
      <c r="C68" s="179">
        <v>6923.0</v>
      </c>
    </row>
    <row r="69" ht="14.25" customHeight="1">
      <c r="A69" s="177" t="s">
        <v>295</v>
      </c>
      <c r="B69" s="178">
        <v>491.0</v>
      </c>
      <c r="C69" s="179">
        <v>2217.0</v>
      </c>
    </row>
    <row r="70" ht="14.25" customHeight="1">
      <c r="A70" s="177" t="s">
        <v>296</v>
      </c>
      <c r="B70" s="178">
        <v>365.0</v>
      </c>
      <c r="C70" s="179">
        <v>2301.0</v>
      </c>
    </row>
    <row r="71" ht="14.25" customHeight="1">
      <c r="A71" s="177" t="s">
        <v>297</v>
      </c>
      <c r="B71" s="178">
        <v>0.0</v>
      </c>
      <c r="C71" s="179">
        <v>0.0</v>
      </c>
    </row>
    <row r="72" ht="14.25" customHeight="1">
      <c r="A72" s="177" t="s">
        <v>298</v>
      </c>
      <c r="B72" s="178">
        <v>587.0</v>
      </c>
      <c r="C72" s="179">
        <v>2717.0</v>
      </c>
    </row>
    <row r="73" ht="14.25" customHeight="1">
      <c r="A73" s="177" t="s">
        <v>299</v>
      </c>
      <c r="B73" s="178">
        <v>294.0</v>
      </c>
      <c r="C73" s="179">
        <v>1766.0</v>
      </c>
    </row>
    <row r="74" ht="14.25" customHeight="1">
      <c r="A74" s="177" t="s">
        <v>300</v>
      </c>
      <c r="B74" s="178">
        <v>123.0</v>
      </c>
      <c r="C74" s="179">
        <v>1355.0</v>
      </c>
    </row>
    <row r="75" ht="14.25" customHeight="1">
      <c r="A75" s="177" t="s">
        <v>301</v>
      </c>
      <c r="B75" s="178">
        <v>178.0</v>
      </c>
      <c r="C75" s="179">
        <v>1290.0</v>
      </c>
    </row>
    <row r="76" ht="14.25" customHeight="1">
      <c r="A76" s="177" t="s">
        <v>302</v>
      </c>
      <c r="B76" s="178">
        <v>815.0</v>
      </c>
      <c r="C76" s="179">
        <v>2786.0</v>
      </c>
    </row>
    <row r="77" ht="14.25" customHeight="1">
      <c r="A77" s="177" t="s">
        <v>303</v>
      </c>
      <c r="B77" s="178">
        <v>975.0</v>
      </c>
      <c r="C77" s="179">
        <v>2621.0</v>
      </c>
    </row>
    <row r="78" ht="14.25" customHeight="1">
      <c r="A78" s="177" t="s">
        <v>304</v>
      </c>
      <c r="B78" s="178">
        <v>190.0</v>
      </c>
      <c r="C78" s="179">
        <v>1530.0</v>
      </c>
    </row>
    <row r="79" ht="14.25" customHeight="1">
      <c r="A79" s="181" t="s">
        <v>305</v>
      </c>
      <c r="B79" s="178">
        <v>1161.0</v>
      </c>
      <c r="C79" s="179" t="s">
        <v>30</v>
      </c>
    </row>
    <row r="80" ht="14.25" customHeight="1">
      <c r="A80" s="181" t="s">
        <v>167</v>
      </c>
      <c r="B80" s="178">
        <v>27274.0</v>
      </c>
      <c r="C80" s="179">
        <v>2581.0</v>
      </c>
    </row>
    <row r="81" ht="14.25" customHeight="1">
      <c r="A81" s="182" t="s">
        <v>306</v>
      </c>
    </row>
    <row r="82" ht="14.25" customHeight="1">
      <c r="A82" s="123" t="s">
        <v>307</v>
      </c>
    </row>
    <row r="83" ht="14.25" customHeight="1"/>
    <row r="84" ht="14.25" customHeight="1"/>
    <row r="85" ht="14.25" customHeight="1"/>
    <row r="86" ht="14.25" customHeight="1">
      <c r="A86" s="71" t="s">
        <v>0</v>
      </c>
      <c r="B86" s="72">
        <v>44125.0</v>
      </c>
      <c r="C86" s="18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4" t="s">
        <v>308</v>
      </c>
    </row>
    <row r="2">
      <c r="A2" s="185" t="s">
        <v>309</v>
      </c>
      <c r="B2" s="186"/>
      <c r="C2" s="186"/>
      <c r="D2" s="186"/>
    </row>
    <row r="3">
      <c r="A3" s="187" t="s">
        <v>310</v>
      </c>
      <c r="B3" s="188" t="s">
        <v>311</v>
      </c>
      <c r="C3" s="188" t="s">
        <v>312</v>
      </c>
      <c r="D3" s="189" t="s">
        <v>313</v>
      </c>
    </row>
    <row r="4">
      <c r="A4" s="190" t="s">
        <v>314</v>
      </c>
      <c r="B4" s="86"/>
      <c r="C4" s="86"/>
      <c r="D4" s="35"/>
    </row>
    <row r="5">
      <c r="A5" s="191" t="s">
        <v>315</v>
      </c>
      <c r="B5" s="192" t="s">
        <v>316</v>
      </c>
      <c r="C5" s="193">
        <v>0.0</v>
      </c>
      <c r="D5" s="194">
        <v>0.0</v>
      </c>
    </row>
    <row r="6">
      <c r="A6" s="191" t="s">
        <v>317</v>
      </c>
      <c r="B6" s="192" t="s">
        <v>318</v>
      </c>
      <c r="C6" s="193">
        <v>0.0</v>
      </c>
      <c r="D6" s="194" t="s">
        <v>319</v>
      </c>
    </row>
    <row r="7">
      <c r="A7" s="191" t="s">
        <v>320</v>
      </c>
      <c r="B7" s="192" t="s">
        <v>321</v>
      </c>
      <c r="C7" s="193">
        <v>0.0</v>
      </c>
      <c r="D7" s="194" t="s">
        <v>322</v>
      </c>
    </row>
    <row r="8">
      <c r="A8" s="191" t="s">
        <v>323</v>
      </c>
      <c r="B8" s="192" t="s">
        <v>319</v>
      </c>
      <c r="C8" s="193">
        <v>0.0</v>
      </c>
      <c r="D8" s="194" t="s">
        <v>316</v>
      </c>
    </row>
    <row r="9">
      <c r="A9" s="191" t="s">
        <v>324</v>
      </c>
      <c r="B9" s="192" t="s">
        <v>322</v>
      </c>
      <c r="C9" s="193">
        <v>0.0</v>
      </c>
      <c r="D9" s="194" t="s">
        <v>325</v>
      </c>
    </row>
    <row r="10">
      <c r="A10" s="191" t="s">
        <v>326</v>
      </c>
      <c r="B10" s="192" t="s">
        <v>327</v>
      </c>
      <c r="C10" s="193">
        <v>0.0</v>
      </c>
      <c r="D10" s="194" t="s">
        <v>328</v>
      </c>
    </row>
    <row r="11">
      <c r="A11" s="191" t="s">
        <v>329</v>
      </c>
      <c r="B11" s="192" t="s">
        <v>325</v>
      </c>
      <c r="C11" s="193">
        <v>0.0</v>
      </c>
      <c r="D11" s="194" t="s">
        <v>330</v>
      </c>
    </row>
    <row r="12">
      <c r="A12" s="191" t="s">
        <v>331</v>
      </c>
      <c r="B12" s="192" t="s">
        <v>319</v>
      </c>
      <c r="C12" s="193">
        <v>0.0</v>
      </c>
      <c r="D12" s="194" t="s">
        <v>316</v>
      </c>
    </row>
    <row r="13">
      <c r="A13" s="191" t="s">
        <v>332</v>
      </c>
      <c r="B13" s="192" t="s">
        <v>319</v>
      </c>
      <c r="C13" s="193" t="s">
        <v>330</v>
      </c>
      <c r="D13" s="194" t="s">
        <v>330</v>
      </c>
    </row>
    <row r="14">
      <c r="A14" s="191" t="s">
        <v>333</v>
      </c>
      <c r="B14" s="192" t="s">
        <v>334</v>
      </c>
      <c r="C14" s="193">
        <v>0.0</v>
      </c>
      <c r="D14" s="194" t="s">
        <v>325</v>
      </c>
    </row>
    <row r="15">
      <c r="A15" s="191" t="s">
        <v>335</v>
      </c>
      <c r="B15" s="192" t="s">
        <v>336</v>
      </c>
      <c r="C15" s="193" t="s">
        <v>319</v>
      </c>
      <c r="D15" s="194" t="s">
        <v>337</v>
      </c>
    </row>
    <row r="16">
      <c r="A16" s="191" t="s">
        <v>338</v>
      </c>
      <c r="B16" s="192" t="s">
        <v>322</v>
      </c>
      <c r="C16" s="193" t="s">
        <v>316</v>
      </c>
      <c r="D16" s="194" t="s">
        <v>316</v>
      </c>
    </row>
    <row r="17">
      <c r="A17" s="191" t="s">
        <v>339</v>
      </c>
      <c r="B17" s="192" t="s">
        <v>340</v>
      </c>
      <c r="C17" s="193">
        <v>0.0</v>
      </c>
      <c r="D17" s="194" t="s">
        <v>319</v>
      </c>
    </row>
    <row r="18">
      <c r="A18" s="191" t="s">
        <v>341</v>
      </c>
      <c r="B18" s="192" t="s">
        <v>340</v>
      </c>
      <c r="C18" s="193">
        <v>0.0</v>
      </c>
      <c r="D18" s="194" t="s">
        <v>325</v>
      </c>
    </row>
    <row r="19">
      <c r="A19" s="191" t="s">
        <v>342</v>
      </c>
      <c r="B19" s="192" t="s">
        <v>343</v>
      </c>
      <c r="C19" s="193" t="s">
        <v>330</v>
      </c>
      <c r="D19" s="194" t="s">
        <v>328</v>
      </c>
    </row>
    <row r="20">
      <c r="A20" s="191" t="s">
        <v>344</v>
      </c>
      <c r="B20" s="192" t="s">
        <v>345</v>
      </c>
      <c r="C20" s="193">
        <v>0.0</v>
      </c>
      <c r="D20" s="194" t="s">
        <v>316</v>
      </c>
    </row>
    <row r="21">
      <c r="A21" s="191" t="s">
        <v>346</v>
      </c>
      <c r="B21" s="192" t="s">
        <v>347</v>
      </c>
      <c r="C21" s="193">
        <v>0.0</v>
      </c>
      <c r="D21" s="194" t="s">
        <v>348</v>
      </c>
    </row>
    <row r="22">
      <c r="A22" s="191" t="s">
        <v>349</v>
      </c>
      <c r="B22" s="192" t="s">
        <v>350</v>
      </c>
      <c r="C22" s="193">
        <v>0.0</v>
      </c>
      <c r="D22" s="194" t="s">
        <v>319</v>
      </c>
    </row>
    <row r="23">
      <c r="A23" s="191" t="s">
        <v>351</v>
      </c>
      <c r="B23" s="192" t="s">
        <v>352</v>
      </c>
      <c r="C23" s="193" t="s">
        <v>330</v>
      </c>
      <c r="D23" s="194" t="s">
        <v>322</v>
      </c>
    </row>
    <row r="24">
      <c r="A24" s="191" t="s">
        <v>353</v>
      </c>
      <c r="B24" s="192" t="s">
        <v>354</v>
      </c>
      <c r="C24" s="193">
        <v>0.0</v>
      </c>
      <c r="D24" s="194">
        <v>0.0</v>
      </c>
    </row>
    <row r="25">
      <c r="A25" s="191" t="s">
        <v>355</v>
      </c>
      <c r="B25" s="192" t="s">
        <v>354</v>
      </c>
      <c r="C25" s="193">
        <v>0.0</v>
      </c>
      <c r="D25" s="194" t="s">
        <v>330</v>
      </c>
    </row>
    <row r="26">
      <c r="A26" s="191" t="s">
        <v>356</v>
      </c>
      <c r="B26" s="192" t="s">
        <v>357</v>
      </c>
      <c r="C26" s="193">
        <v>0.0</v>
      </c>
      <c r="D26" s="195" t="s">
        <v>316</v>
      </c>
    </row>
    <row r="27">
      <c r="A27" s="191" t="s">
        <v>358</v>
      </c>
      <c r="B27" s="192" t="s">
        <v>334</v>
      </c>
      <c r="C27" s="193">
        <v>0.0</v>
      </c>
      <c r="D27" s="194" t="s">
        <v>348</v>
      </c>
    </row>
    <row r="28">
      <c r="A28" s="191" t="s">
        <v>359</v>
      </c>
      <c r="B28" s="192" t="s">
        <v>316</v>
      </c>
      <c r="C28" s="193">
        <v>0.0</v>
      </c>
      <c r="D28" s="194">
        <v>0.0</v>
      </c>
    </row>
    <row r="29">
      <c r="A29" s="191" t="s">
        <v>360</v>
      </c>
      <c r="B29" s="192" t="s">
        <v>328</v>
      </c>
      <c r="C29" s="193">
        <v>0.0</v>
      </c>
      <c r="D29" s="194" t="s">
        <v>325</v>
      </c>
    </row>
    <row r="30">
      <c r="A30" s="191" t="s">
        <v>361</v>
      </c>
      <c r="B30" s="192" t="s">
        <v>348</v>
      </c>
      <c r="C30" s="193">
        <v>0.0</v>
      </c>
      <c r="D30" s="194" t="s">
        <v>330</v>
      </c>
    </row>
    <row r="31">
      <c r="A31" s="191" t="s">
        <v>362</v>
      </c>
      <c r="B31" s="192" t="s">
        <v>354</v>
      </c>
      <c r="C31" s="193" t="s">
        <v>330</v>
      </c>
      <c r="D31" s="194">
        <v>0.0</v>
      </c>
    </row>
    <row r="32">
      <c r="A32" s="191" t="s">
        <v>363</v>
      </c>
      <c r="B32" s="192" t="s">
        <v>354</v>
      </c>
      <c r="C32" s="193">
        <v>0.0</v>
      </c>
      <c r="D32" s="194">
        <v>0.0</v>
      </c>
    </row>
    <row r="33">
      <c r="A33" s="191" t="s">
        <v>364</v>
      </c>
      <c r="B33" s="192" t="s">
        <v>316</v>
      </c>
      <c r="C33" s="193">
        <v>0.0</v>
      </c>
      <c r="D33" s="194">
        <v>0.0</v>
      </c>
    </row>
    <row r="34">
      <c r="A34" s="191" t="s">
        <v>365</v>
      </c>
      <c r="B34" s="192" t="s">
        <v>318</v>
      </c>
      <c r="C34" s="193">
        <v>0.0</v>
      </c>
      <c r="D34" s="194" t="s">
        <v>328</v>
      </c>
    </row>
    <row r="35">
      <c r="A35" s="191" t="s">
        <v>366</v>
      </c>
      <c r="B35" s="192" t="s">
        <v>352</v>
      </c>
      <c r="C35" s="193">
        <v>0.0</v>
      </c>
      <c r="D35" s="194" t="s">
        <v>348</v>
      </c>
    </row>
    <row r="36">
      <c r="A36" s="191" t="s">
        <v>367</v>
      </c>
      <c r="B36" s="192" t="s">
        <v>328</v>
      </c>
      <c r="C36" s="193">
        <v>0.0</v>
      </c>
      <c r="D36" s="194" t="s">
        <v>330</v>
      </c>
    </row>
    <row r="37">
      <c r="A37" s="191" t="s">
        <v>368</v>
      </c>
      <c r="B37" s="192" t="s">
        <v>322</v>
      </c>
      <c r="C37" s="193">
        <v>0.0</v>
      </c>
      <c r="D37" s="194" t="s">
        <v>319</v>
      </c>
    </row>
    <row r="38">
      <c r="A38" s="191" t="s">
        <v>369</v>
      </c>
      <c r="B38" s="192" t="s">
        <v>328</v>
      </c>
      <c r="C38" s="193">
        <v>0.0</v>
      </c>
      <c r="D38" s="194" t="s">
        <v>316</v>
      </c>
    </row>
    <row r="39">
      <c r="A39" s="191" t="s">
        <v>370</v>
      </c>
      <c r="B39" s="192" t="s">
        <v>334</v>
      </c>
      <c r="C39" s="193">
        <v>0.0</v>
      </c>
      <c r="D39" s="194" t="s">
        <v>348</v>
      </c>
    </row>
    <row r="40">
      <c r="A40" s="191" t="s">
        <v>371</v>
      </c>
      <c r="B40" s="192" t="s">
        <v>372</v>
      </c>
      <c r="C40" s="193">
        <v>0.0</v>
      </c>
      <c r="D40" s="194" t="s">
        <v>328</v>
      </c>
    </row>
    <row r="41">
      <c r="A41" s="191" t="s">
        <v>373</v>
      </c>
      <c r="B41" s="192" t="s">
        <v>334</v>
      </c>
      <c r="C41" s="193">
        <v>0.0</v>
      </c>
      <c r="D41" s="194" t="s">
        <v>348</v>
      </c>
    </row>
    <row r="42">
      <c r="A42" s="191" t="s">
        <v>374</v>
      </c>
      <c r="B42" s="192" t="s">
        <v>375</v>
      </c>
      <c r="C42" s="193">
        <v>0.0</v>
      </c>
      <c r="D42" s="194" t="s">
        <v>345</v>
      </c>
    </row>
    <row r="43">
      <c r="A43" s="191" t="s">
        <v>376</v>
      </c>
      <c r="B43" s="192" t="s">
        <v>345</v>
      </c>
      <c r="C43" s="193">
        <v>0.0</v>
      </c>
      <c r="D43" s="194" t="s">
        <v>316</v>
      </c>
    </row>
    <row r="44">
      <c r="A44" s="191" t="s">
        <v>377</v>
      </c>
      <c r="B44" s="192" t="s">
        <v>348</v>
      </c>
      <c r="C44" s="193">
        <v>0.0</v>
      </c>
      <c r="D44" s="194" t="s">
        <v>316</v>
      </c>
    </row>
    <row r="45">
      <c r="A45" s="191" t="s">
        <v>378</v>
      </c>
      <c r="B45" s="192" t="s">
        <v>336</v>
      </c>
      <c r="C45" s="193" t="s">
        <v>330</v>
      </c>
      <c r="D45" s="194" t="s">
        <v>319</v>
      </c>
    </row>
    <row r="46">
      <c r="A46" s="191" t="s">
        <v>379</v>
      </c>
      <c r="B46" s="192" t="s">
        <v>354</v>
      </c>
      <c r="C46" s="193">
        <v>0.0</v>
      </c>
      <c r="D46" s="194">
        <v>0.0</v>
      </c>
    </row>
    <row r="47">
      <c r="A47" s="191" t="s">
        <v>380</v>
      </c>
      <c r="B47" s="192" t="s">
        <v>381</v>
      </c>
      <c r="C47" s="193">
        <v>0.0</v>
      </c>
      <c r="D47" s="194" t="s">
        <v>348</v>
      </c>
    </row>
    <row r="48">
      <c r="A48" s="191" t="s">
        <v>382</v>
      </c>
      <c r="B48" s="192" t="s">
        <v>354</v>
      </c>
      <c r="C48" s="193">
        <v>0.0</v>
      </c>
      <c r="D48" s="194">
        <v>0.0</v>
      </c>
    </row>
    <row r="49">
      <c r="A49" s="191" t="s">
        <v>383</v>
      </c>
      <c r="B49" s="192" t="s">
        <v>325</v>
      </c>
      <c r="C49" s="193">
        <v>0.0</v>
      </c>
      <c r="D49" s="194" t="s">
        <v>330</v>
      </c>
    </row>
    <row r="50">
      <c r="A50" s="191" t="s">
        <v>384</v>
      </c>
      <c r="B50" s="192" t="s">
        <v>327</v>
      </c>
      <c r="C50" s="193">
        <v>0.0</v>
      </c>
      <c r="D50" s="194" t="s">
        <v>348</v>
      </c>
    </row>
    <row r="51">
      <c r="A51" s="196" t="s">
        <v>385</v>
      </c>
      <c r="B51" s="197" t="s">
        <v>348</v>
      </c>
      <c r="C51" s="197">
        <v>0.0</v>
      </c>
      <c r="D51" s="197" t="s">
        <v>330</v>
      </c>
    </row>
    <row r="52">
      <c r="A52" s="191" t="s">
        <v>386</v>
      </c>
      <c r="B52" s="192" t="s">
        <v>354</v>
      </c>
      <c r="C52" s="193">
        <v>0.0</v>
      </c>
      <c r="D52" s="194">
        <v>0.0</v>
      </c>
    </row>
    <row r="53">
      <c r="A53" s="191" t="s">
        <v>387</v>
      </c>
      <c r="B53" s="192" t="s">
        <v>372</v>
      </c>
      <c r="C53" s="193">
        <v>0.0</v>
      </c>
      <c r="D53" s="194" t="s">
        <v>328</v>
      </c>
    </row>
    <row r="54">
      <c r="A54" s="191" t="s">
        <v>388</v>
      </c>
      <c r="B54" s="192" t="s">
        <v>348</v>
      </c>
      <c r="C54" s="193">
        <v>0.0</v>
      </c>
      <c r="D54" s="194" t="s">
        <v>316</v>
      </c>
    </row>
    <row r="55">
      <c r="A55" s="191" t="s">
        <v>389</v>
      </c>
      <c r="B55" s="192" t="s">
        <v>334</v>
      </c>
      <c r="C55" s="193">
        <v>0.0</v>
      </c>
      <c r="D55" s="194" t="s">
        <v>328</v>
      </c>
    </row>
    <row r="56">
      <c r="A56" s="191" t="s">
        <v>390</v>
      </c>
      <c r="B56" s="192" t="s">
        <v>350</v>
      </c>
      <c r="C56" s="193">
        <v>0.0</v>
      </c>
      <c r="D56" s="194" t="s">
        <v>348</v>
      </c>
    </row>
    <row r="57">
      <c r="A57" s="191" t="s">
        <v>391</v>
      </c>
      <c r="B57" s="192" t="s">
        <v>352</v>
      </c>
      <c r="C57" s="193">
        <v>0.0</v>
      </c>
      <c r="D57" s="194" t="s">
        <v>337</v>
      </c>
    </row>
    <row r="58">
      <c r="A58" s="191" t="s">
        <v>392</v>
      </c>
      <c r="B58" s="192" t="s">
        <v>348</v>
      </c>
      <c r="C58" s="193">
        <v>0.0</v>
      </c>
      <c r="D58" s="194" t="s">
        <v>330</v>
      </c>
    </row>
    <row r="59">
      <c r="A59" s="191" t="s">
        <v>393</v>
      </c>
      <c r="B59" s="192" t="s">
        <v>354</v>
      </c>
      <c r="C59" s="193">
        <v>0.0</v>
      </c>
      <c r="D59" s="194">
        <v>0.0</v>
      </c>
    </row>
    <row r="60">
      <c r="A60" s="191" t="s">
        <v>394</v>
      </c>
      <c r="B60" s="192" t="s">
        <v>345</v>
      </c>
      <c r="C60" s="193">
        <v>0.0</v>
      </c>
      <c r="D60" s="194" t="s">
        <v>325</v>
      </c>
    </row>
    <row r="61">
      <c r="A61" s="191" t="s">
        <v>395</v>
      </c>
      <c r="B61" s="192" t="s">
        <v>347</v>
      </c>
      <c r="C61" s="193">
        <v>0.0</v>
      </c>
      <c r="D61" s="194" t="s">
        <v>345</v>
      </c>
    </row>
    <row r="62">
      <c r="A62" s="191" t="s">
        <v>396</v>
      </c>
      <c r="B62" s="192" t="s">
        <v>381</v>
      </c>
      <c r="C62" s="193">
        <v>0.0</v>
      </c>
      <c r="D62" s="194" t="s">
        <v>319</v>
      </c>
    </row>
    <row r="63">
      <c r="A63" s="191" t="s">
        <v>397</v>
      </c>
      <c r="B63" s="192" t="s">
        <v>343</v>
      </c>
      <c r="C63" s="193">
        <v>0.0</v>
      </c>
      <c r="D63" s="194" t="s">
        <v>348</v>
      </c>
    </row>
    <row r="64">
      <c r="A64" s="198" t="s">
        <v>78</v>
      </c>
      <c r="B64" s="199" t="s">
        <v>398</v>
      </c>
      <c r="C64" s="200" t="s">
        <v>337</v>
      </c>
      <c r="D64" s="201" t="s">
        <v>399</v>
      </c>
    </row>
    <row r="65">
      <c r="A65" s="190" t="s">
        <v>400</v>
      </c>
      <c r="B65" s="86"/>
      <c r="C65" s="86"/>
      <c r="D65" s="35"/>
    </row>
    <row r="66">
      <c r="A66" s="202" t="s">
        <v>401</v>
      </c>
      <c r="B66" s="203" t="s">
        <v>316</v>
      </c>
      <c r="C66" s="204">
        <v>0.0</v>
      </c>
      <c r="D66" s="205" t="s">
        <v>330</v>
      </c>
    </row>
    <row r="67">
      <c r="A67" s="202" t="s">
        <v>402</v>
      </c>
      <c r="B67" s="203" t="s">
        <v>354</v>
      </c>
      <c r="C67" s="204" t="s">
        <v>330</v>
      </c>
      <c r="D67" s="205">
        <v>0.0</v>
      </c>
    </row>
    <row r="68">
      <c r="A68" s="191" t="s">
        <v>403</v>
      </c>
      <c r="B68" s="192" t="s">
        <v>354</v>
      </c>
      <c r="C68" s="193">
        <v>0.0</v>
      </c>
      <c r="D68" s="194">
        <v>0.0</v>
      </c>
    </row>
    <row r="69">
      <c r="A69" s="191" t="s">
        <v>404</v>
      </c>
      <c r="B69" s="192" t="s">
        <v>348</v>
      </c>
      <c r="C69" s="193" t="s">
        <v>330</v>
      </c>
      <c r="D69" s="194" t="s">
        <v>316</v>
      </c>
    </row>
    <row r="70">
      <c r="A70" s="191" t="s">
        <v>405</v>
      </c>
      <c r="B70" s="192" t="s">
        <v>316</v>
      </c>
      <c r="C70" s="193" t="s">
        <v>316</v>
      </c>
      <c r="D70" s="194">
        <v>0.0</v>
      </c>
    </row>
    <row r="71">
      <c r="A71" s="191" t="s">
        <v>406</v>
      </c>
      <c r="B71" s="192" t="s">
        <v>354</v>
      </c>
      <c r="C71" s="193">
        <v>0.0</v>
      </c>
      <c r="D71" s="194" t="s">
        <v>330</v>
      </c>
    </row>
    <row r="72">
      <c r="A72" s="191" t="s">
        <v>407</v>
      </c>
      <c r="B72" s="192" t="s">
        <v>348</v>
      </c>
      <c r="C72" s="193" t="s">
        <v>330</v>
      </c>
      <c r="D72" s="206" t="s">
        <v>316</v>
      </c>
    </row>
    <row r="73">
      <c r="A73" s="207" t="s">
        <v>408</v>
      </c>
      <c r="B73" s="192" t="s">
        <v>357</v>
      </c>
      <c r="C73" s="193">
        <v>0.0</v>
      </c>
      <c r="D73" s="194" t="s">
        <v>325</v>
      </c>
    </row>
    <row r="74">
      <c r="A74" s="191" t="s">
        <v>409</v>
      </c>
      <c r="B74" s="192" t="s">
        <v>322</v>
      </c>
      <c r="C74" s="193">
        <v>0.0</v>
      </c>
      <c r="D74" s="194" t="s">
        <v>316</v>
      </c>
    </row>
    <row r="75">
      <c r="A75" s="191" t="s">
        <v>410</v>
      </c>
      <c r="B75" s="192" t="s">
        <v>319</v>
      </c>
      <c r="C75" s="193">
        <v>0.0</v>
      </c>
      <c r="D75" s="194" t="s">
        <v>330</v>
      </c>
    </row>
    <row r="76">
      <c r="A76" s="191" t="s">
        <v>411</v>
      </c>
      <c r="B76" s="192" t="s">
        <v>325</v>
      </c>
      <c r="C76" s="193">
        <v>0.0</v>
      </c>
      <c r="D76" s="194" t="s">
        <v>330</v>
      </c>
    </row>
    <row r="77">
      <c r="A77" s="191" t="s">
        <v>412</v>
      </c>
      <c r="B77" s="192" t="s">
        <v>319</v>
      </c>
      <c r="C77" s="193">
        <v>0.0</v>
      </c>
      <c r="D77" s="194" t="s">
        <v>330</v>
      </c>
    </row>
    <row r="78">
      <c r="A78" s="191" t="s">
        <v>413</v>
      </c>
      <c r="B78" s="192" t="s">
        <v>316</v>
      </c>
      <c r="C78" s="193">
        <v>0.0</v>
      </c>
      <c r="D78" s="194" t="s">
        <v>330</v>
      </c>
    </row>
    <row r="79">
      <c r="A79" s="191" t="s">
        <v>414</v>
      </c>
      <c r="B79" s="192" t="s">
        <v>354</v>
      </c>
      <c r="C79" s="193">
        <v>0.0</v>
      </c>
      <c r="D79" s="194">
        <v>0.0</v>
      </c>
    </row>
    <row r="80">
      <c r="A80" s="191" t="s">
        <v>415</v>
      </c>
      <c r="B80" s="192" t="s">
        <v>345</v>
      </c>
      <c r="C80" s="193" t="s">
        <v>330</v>
      </c>
      <c r="D80" s="194" t="s">
        <v>316</v>
      </c>
    </row>
    <row r="81">
      <c r="A81" s="207" t="s">
        <v>416</v>
      </c>
      <c r="B81" s="192" t="s">
        <v>348</v>
      </c>
      <c r="C81" s="193">
        <v>0.0</v>
      </c>
      <c r="D81" s="194" t="s">
        <v>325</v>
      </c>
    </row>
    <row r="82">
      <c r="A82" s="207" t="s">
        <v>417</v>
      </c>
      <c r="B82" s="192" t="s">
        <v>319</v>
      </c>
      <c r="C82" s="193">
        <v>0.0</v>
      </c>
      <c r="D82" s="194" t="s">
        <v>330</v>
      </c>
    </row>
    <row r="83">
      <c r="A83" s="198" t="s">
        <v>78</v>
      </c>
      <c r="B83" s="199" t="s">
        <v>418</v>
      </c>
      <c r="C83" s="200" t="s">
        <v>325</v>
      </c>
      <c r="D83" s="201" t="s">
        <v>327</v>
      </c>
    </row>
    <row r="84">
      <c r="A84" s="208" t="s">
        <v>419</v>
      </c>
      <c r="B84" s="209"/>
      <c r="C84" s="209"/>
      <c r="D84" s="209"/>
    </row>
  </sheetData>
  <mergeCells count="4">
    <mergeCell ref="A1:D1"/>
    <mergeCell ref="A4:D4"/>
    <mergeCell ref="A65:D65"/>
    <mergeCell ref="A84:D8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420</v>
      </c>
      <c r="B1" s="86"/>
      <c r="C1" s="86"/>
      <c r="D1" s="35"/>
      <c r="E1" s="78"/>
    </row>
    <row r="2">
      <c r="A2" s="211" t="s">
        <v>421</v>
      </c>
      <c r="B2" s="86"/>
      <c r="C2" s="86"/>
      <c r="D2" s="35"/>
      <c r="E2" s="78"/>
    </row>
    <row r="3" ht="29.25" customHeight="1">
      <c r="A3" s="212" t="s">
        <v>422</v>
      </c>
      <c r="B3" s="213" t="s">
        <v>423</v>
      </c>
      <c r="C3" s="214" t="s">
        <v>424</v>
      </c>
      <c r="D3" s="215" t="s">
        <v>425</v>
      </c>
      <c r="E3" s="93"/>
    </row>
    <row r="4">
      <c r="A4" s="216" t="s">
        <v>426</v>
      </c>
      <c r="B4" s="217"/>
      <c r="C4" s="217"/>
      <c r="D4" s="218"/>
      <c r="E4" s="93"/>
    </row>
    <row r="5">
      <c r="A5" s="219" t="s">
        <v>427</v>
      </c>
      <c r="B5" s="220" t="s">
        <v>428</v>
      </c>
      <c r="C5" s="221">
        <v>0.0</v>
      </c>
      <c r="D5" s="221" t="s">
        <v>330</v>
      </c>
    </row>
    <row r="6">
      <c r="A6" s="222" t="s">
        <v>429</v>
      </c>
      <c r="B6" s="223" t="s">
        <v>428</v>
      </c>
      <c r="C6" s="224">
        <v>0.0</v>
      </c>
      <c r="D6" s="224" t="s">
        <v>330</v>
      </c>
    </row>
    <row r="7">
      <c r="A7" s="222" t="s">
        <v>430</v>
      </c>
      <c r="B7" s="223" t="s">
        <v>128</v>
      </c>
      <c r="C7" s="224">
        <v>0.0</v>
      </c>
      <c r="D7" s="224" t="s">
        <v>330</v>
      </c>
    </row>
    <row r="8">
      <c r="A8" s="222" t="s">
        <v>431</v>
      </c>
      <c r="B8" s="223" t="s">
        <v>128</v>
      </c>
      <c r="C8" s="224" t="s">
        <v>330</v>
      </c>
      <c r="D8" s="224" t="s">
        <v>330</v>
      </c>
    </row>
    <row r="9">
      <c r="A9" s="222" t="s">
        <v>432</v>
      </c>
      <c r="B9" s="223" t="s">
        <v>128</v>
      </c>
      <c r="C9" s="224">
        <v>0.0</v>
      </c>
      <c r="D9" s="224" t="s">
        <v>330</v>
      </c>
    </row>
    <row r="10">
      <c r="A10" s="222" t="s">
        <v>433</v>
      </c>
      <c r="B10" s="223" t="s">
        <v>434</v>
      </c>
      <c r="C10" s="224">
        <v>0.0</v>
      </c>
      <c r="D10" s="224" t="s">
        <v>330</v>
      </c>
    </row>
    <row r="11">
      <c r="A11" s="222" t="s">
        <v>435</v>
      </c>
      <c r="B11" s="223" t="s">
        <v>436</v>
      </c>
      <c r="C11" s="224" t="s">
        <v>330</v>
      </c>
      <c r="D11" s="224" t="s">
        <v>330</v>
      </c>
    </row>
    <row r="12">
      <c r="A12" s="222" t="s">
        <v>437</v>
      </c>
      <c r="B12" s="223" t="s">
        <v>438</v>
      </c>
      <c r="C12" s="224" t="s">
        <v>330</v>
      </c>
      <c r="D12" s="224" t="s">
        <v>330</v>
      </c>
    </row>
    <row r="13">
      <c r="A13" s="222" t="s">
        <v>439</v>
      </c>
      <c r="B13" s="223" t="s">
        <v>438</v>
      </c>
      <c r="C13" s="224" t="s">
        <v>330</v>
      </c>
      <c r="D13" s="224" t="s">
        <v>330</v>
      </c>
    </row>
    <row r="14">
      <c r="A14" s="222" t="s">
        <v>440</v>
      </c>
      <c r="B14" s="223" t="s">
        <v>438</v>
      </c>
      <c r="C14" s="224">
        <v>0.0</v>
      </c>
      <c r="D14" s="224" t="s">
        <v>330</v>
      </c>
    </row>
    <row r="15">
      <c r="A15" s="222" t="s">
        <v>441</v>
      </c>
      <c r="B15" s="223" t="s">
        <v>442</v>
      </c>
      <c r="C15" s="224" t="s">
        <v>330</v>
      </c>
      <c r="D15" s="224" t="s">
        <v>330</v>
      </c>
    </row>
    <row r="16">
      <c r="A16" s="222" t="s">
        <v>443</v>
      </c>
      <c r="B16" s="223" t="s">
        <v>442</v>
      </c>
      <c r="C16" s="224">
        <v>0.0</v>
      </c>
      <c r="D16" s="224" t="s">
        <v>330</v>
      </c>
    </row>
    <row r="17">
      <c r="A17" s="222" t="s">
        <v>444</v>
      </c>
      <c r="B17" s="223" t="s">
        <v>130</v>
      </c>
      <c r="C17" s="224" t="s">
        <v>330</v>
      </c>
      <c r="D17" s="224" t="s">
        <v>330</v>
      </c>
    </row>
    <row r="18">
      <c r="A18" s="222" t="s">
        <v>445</v>
      </c>
      <c r="B18" s="223" t="s">
        <v>446</v>
      </c>
      <c r="C18" s="224" t="s">
        <v>330</v>
      </c>
      <c r="D18" s="224" t="s">
        <v>316</v>
      </c>
    </row>
    <row r="19">
      <c r="A19" s="222" t="s">
        <v>447</v>
      </c>
      <c r="B19" s="223" t="s">
        <v>446</v>
      </c>
      <c r="C19" s="224">
        <v>0.0</v>
      </c>
      <c r="D19" s="224" t="s">
        <v>330</v>
      </c>
    </row>
    <row r="20">
      <c r="A20" s="222" t="s">
        <v>448</v>
      </c>
      <c r="B20" s="223" t="s">
        <v>446</v>
      </c>
      <c r="C20" s="224">
        <v>0.0</v>
      </c>
      <c r="D20" s="224" t="s">
        <v>330</v>
      </c>
    </row>
    <row r="21">
      <c r="A21" s="222" t="s">
        <v>449</v>
      </c>
      <c r="B21" s="223" t="s">
        <v>446</v>
      </c>
      <c r="C21" s="224">
        <v>0.0</v>
      </c>
      <c r="D21" s="224" t="s">
        <v>330</v>
      </c>
    </row>
    <row r="22">
      <c r="A22" s="222" t="s">
        <v>450</v>
      </c>
      <c r="B22" s="223" t="s">
        <v>446</v>
      </c>
      <c r="C22" s="224" t="s">
        <v>330</v>
      </c>
      <c r="D22" s="224" t="s">
        <v>330</v>
      </c>
    </row>
    <row r="23">
      <c r="A23" s="222" t="s">
        <v>451</v>
      </c>
      <c r="B23" s="223" t="s">
        <v>446</v>
      </c>
      <c r="C23" s="224">
        <v>0.0</v>
      </c>
      <c r="D23" s="224" t="s">
        <v>330</v>
      </c>
    </row>
    <row r="24">
      <c r="A24" s="222" t="s">
        <v>452</v>
      </c>
      <c r="B24" s="223" t="s">
        <v>446</v>
      </c>
      <c r="C24" s="224">
        <v>0.0</v>
      </c>
      <c r="D24" s="224" t="s">
        <v>325</v>
      </c>
    </row>
    <row r="25">
      <c r="A25" s="222" t="s">
        <v>453</v>
      </c>
      <c r="B25" s="223" t="s">
        <v>446</v>
      </c>
      <c r="C25" s="224" t="s">
        <v>330</v>
      </c>
      <c r="D25" s="224" t="s">
        <v>330</v>
      </c>
    </row>
    <row r="26">
      <c r="A26" s="222" t="s">
        <v>454</v>
      </c>
      <c r="B26" s="223" t="s">
        <v>446</v>
      </c>
      <c r="C26" s="224">
        <v>0.0</v>
      </c>
      <c r="D26" s="224" t="s">
        <v>330</v>
      </c>
    </row>
    <row r="27">
      <c r="A27" s="222" t="s">
        <v>455</v>
      </c>
      <c r="B27" s="223" t="s">
        <v>446</v>
      </c>
      <c r="C27" s="224">
        <v>0.0</v>
      </c>
      <c r="D27" s="224" t="s">
        <v>330</v>
      </c>
    </row>
    <row r="28">
      <c r="A28" s="222" t="s">
        <v>456</v>
      </c>
      <c r="B28" s="223" t="s">
        <v>446</v>
      </c>
      <c r="C28" s="224" t="s">
        <v>330</v>
      </c>
      <c r="D28" s="224" t="s">
        <v>330</v>
      </c>
    </row>
    <row r="29">
      <c r="A29" s="222" t="s">
        <v>457</v>
      </c>
      <c r="B29" s="223" t="s">
        <v>446</v>
      </c>
      <c r="C29" s="224" t="s">
        <v>330</v>
      </c>
      <c r="D29" s="224" t="s">
        <v>330</v>
      </c>
    </row>
    <row r="30">
      <c r="A30" s="222" t="s">
        <v>458</v>
      </c>
      <c r="B30" s="223" t="s">
        <v>131</v>
      </c>
      <c r="C30" s="224" t="s">
        <v>330</v>
      </c>
      <c r="D30" s="224" t="s">
        <v>330</v>
      </c>
    </row>
    <row r="31">
      <c r="A31" s="222" t="s">
        <v>459</v>
      </c>
      <c r="B31" s="223" t="s">
        <v>131</v>
      </c>
      <c r="C31" s="224" t="s">
        <v>330</v>
      </c>
      <c r="D31" s="224" t="s">
        <v>330</v>
      </c>
    </row>
    <row r="32">
      <c r="A32" s="222" t="s">
        <v>460</v>
      </c>
      <c r="B32" s="223" t="s">
        <v>131</v>
      </c>
      <c r="C32" s="224">
        <v>0.0</v>
      </c>
      <c r="D32" s="224" t="s">
        <v>330</v>
      </c>
    </row>
    <row r="33">
      <c r="A33" s="222" t="s">
        <v>461</v>
      </c>
      <c r="B33" s="223" t="s">
        <v>131</v>
      </c>
      <c r="C33" s="224">
        <v>0.0</v>
      </c>
      <c r="D33" s="224" t="s">
        <v>330</v>
      </c>
    </row>
    <row r="34">
      <c r="A34" s="222" t="s">
        <v>462</v>
      </c>
      <c r="B34" s="223" t="s">
        <v>463</v>
      </c>
      <c r="C34" s="224" t="s">
        <v>330</v>
      </c>
      <c r="D34" s="224" t="s">
        <v>330</v>
      </c>
    </row>
    <row r="35">
      <c r="A35" s="222" t="s">
        <v>464</v>
      </c>
      <c r="B35" s="223" t="s">
        <v>465</v>
      </c>
      <c r="C35" s="224" t="s">
        <v>330</v>
      </c>
      <c r="D35" s="224" t="s">
        <v>330</v>
      </c>
    </row>
    <row r="36">
      <c r="A36" s="222" t="s">
        <v>466</v>
      </c>
      <c r="B36" s="223" t="s">
        <v>133</v>
      </c>
      <c r="C36" s="224" t="s">
        <v>330</v>
      </c>
      <c r="D36" s="224" t="s">
        <v>316</v>
      </c>
    </row>
    <row r="37">
      <c r="A37" s="222" t="s">
        <v>467</v>
      </c>
      <c r="B37" s="223" t="s">
        <v>133</v>
      </c>
      <c r="C37" s="224">
        <v>0.0</v>
      </c>
      <c r="D37" s="224" t="s">
        <v>330</v>
      </c>
    </row>
    <row r="38">
      <c r="A38" s="222" t="s">
        <v>468</v>
      </c>
      <c r="B38" s="223" t="s">
        <v>133</v>
      </c>
      <c r="C38" s="224">
        <v>0.0</v>
      </c>
      <c r="D38" s="224" t="s">
        <v>330</v>
      </c>
    </row>
    <row r="39">
      <c r="A39" s="222" t="s">
        <v>469</v>
      </c>
      <c r="B39" s="223" t="s">
        <v>133</v>
      </c>
      <c r="C39" s="224">
        <v>0.0</v>
      </c>
      <c r="D39" s="224" t="s">
        <v>330</v>
      </c>
    </row>
    <row r="40">
      <c r="A40" s="222" t="s">
        <v>470</v>
      </c>
      <c r="B40" s="223" t="s">
        <v>133</v>
      </c>
      <c r="C40" s="224">
        <v>0.0</v>
      </c>
      <c r="D40" s="224" t="s">
        <v>330</v>
      </c>
    </row>
    <row r="41">
      <c r="A41" s="222" t="s">
        <v>471</v>
      </c>
      <c r="B41" s="223" t="s">
        <v>133</v>
      </c>
      <c r="C41" s="224">
        <v>0.0</v>
      </c>
      <c r="D41" s="224" t="s">
        <v>330</v>
      </c>
    </row>
    <row r="42">
      <c r="A42" s="222" t="s">
        <v>472</v>
      </c>
      <c r="B42" s="223" t="s">
        <v>133</v>
      </c>
      <c r="C42" s="224" t="s">
        <v>330</v>
      </c>
      <c r="D42" s="224" t="s">
        <v>330</v>
      </c>
    </row>
    <row r="43">
      <c r="A43" s="222" t="s">
        <v>473</v>
      </c>
      <c r="B43" s="223" t="s">
        <v>134</v>
      </c>
      <c r="C43" s="224" t="s">
        <v>330</v>
      </c>
      <c r="D43" s="224" t="s">
        <v>330</v>
      </c>
    </row>
    <row r="44">
      <c r="A44" s="222" t="s">
        <v>474</v>
      </c>
      <c r="B44" s="223" t="s">
        <v>134</v>
      </c>
      <c r="C44" s="224">
        <v>0.0</v>
      </c>
      <c r="D44" s="224" t="s">
        <v>330</v>
      </c>
    </row>
    <row r="45">
      <c r="A45" s="222" t="s">
        <v>475</v>
      </c>
      <c r="B45" s="223" t="s">
        <v>134</v>
      </c>
      <c r="C45" s="224" t="s">
        <v>330</v>
      </c>
      <c r="D45" s="224" t="s">
        <v>330</v>
      </c>
    </row>
    <row r="46">
      <c r="A46" s="222" t="s">
        <v>476</v>
      </c>
      <c r="B46" s="223" t="s">
        <v>134</v>
      </c>
      <c r="C46" s="224" t="s">
        <v>330</v>
      </c>
      <c r="D46" s="224" t="s">
        <v>330</v>
      </c>
    </row>
    <row r="47">
      <c r="A47" s="222" t="s">
        <v>477</v>
      </c>
      <c r="B47" s="223" t="s">
        <v>134</v>
      </c>
      <c r="C47" s="224">
        <v>0.0</v>
      </c>
      <c r="D47" s="224" t="s">
        <v>330</v>
      </c>
    </row>
    <row r="48">
      <c r="A48" s="222" t="s">
        <v>478</v>
      </c>
      <c r="B48" s="223" t="s">
        <v>134</v>
      </c>
      <c r="C48" s="224">
        <v>0.0</v>
      </c>
      <c r="D48" s="224" t="s">
        <v>330</v>
      </c>
    </row>
    <row r="49">
      <c r="A49" s="222" t="s">
        <v>479</v>
      </c>
      <c r="B49" s="223" t="s">
        <v>134</v>
      </c>
      <c r="C49" s="224" t="s">
        <v>330</v>
      </c>
      <c r="D49" s="224" t="s">
        <v>330</v>
      </c>
    </row>
    <row r="50">
      <c r="A50" s="222" t="s">
        <v>480</v>
      </c>
      <c r="B50" s="223" t="s">
        <v>134</v>
      </c>
      <c r="C50" s="224">
        <v>0.0</v>
      </c>
      <c r="D50" s="224" t="s">
        <v>330</v>
      </c>
    </row>
    <row r="51">
      <c r="A51" s="222" t="s">
        <v>481</v>
      </c>
      <c r="B51" s="223" t="s">
        <v>134</v>
      </c>
      <c r="C51" s="224">
        <v>0.0</v>
      </c>
      <c r="D51" s="224" t="s">
        <v>330</v>
      </c>
    </row>
    <row r="52">
      <c r="A52" s="222" t="s">
        <v>482</v>
      </c>
      <c r="B52" s="223" t="s">
        <v>135</v>
      </c>
      <c r="C52" s="224" t="s">
        <v>330</v>
      </c>
      <c r="D52" s="224" t="s">
        <v>330</v>
      </c>
    </row>
    <row r="53">
      <c r="A53" s="222" t="s">
        <v>483</v>
      </c>
      <c r="B53" s="223" t="s">
        <v>135</v>
      </c>
      <c r="C53" s="224" t="s">
        <v>330</v>
      </c>
      <c r="D53" s="224" t="s">
        <v>330</v>
      </c>
    </row>
    <row r="54">
      <c r="A54" s="222" t="s">
        <v>484</v>
      </c>
      <c r="B54" s="223" t="s">
        <v>485</v>
      </c>
      <c r="C54" s="224" t="s">
        <v>330</v>
      </c>
      <c r="D54" s="224" t="s">
        <v>316</v>
      </c>
    </row>
    <row r="55">
      <c r="A55" s="222" t="s">
        <v>486</v>
      </c>
      <c r="B55" s="223" t="s">
        <v>136</v>
      </c>
      <c r="C55" s="224">
        <v>0.0</v>
      </c>
      <c r="D55" s="224" t="s">
        <v>330</v>
      </c>
    </row>
    <row r="56">
      <c r="A56" s="222" t="s">
        <v>487</v>
      </c>
      <c r="B56" s="223" t="s">
        <v>136</v>
      </c>
      <c r="C56" s="224">
        <v>0.0</v>
      </c>
      <c r="D56" s="224" t="s">
        <v>330</v>
      </c>
    </row>
    <row r="57">
      <c r="A57" s="222" t="s">
        <v>488</v>
      </c>
      <c r="B57" s="223" t="s">
        <v>136</v>
      </c>
      <c r="C57" s="224" t="s">
        <v>330</v>
      </c>
      <c r="D57" s="224" t="s">
        <v>330</v>
      </c>
    </row>
    <row r="58">
      <c r="A58" s="222" t="s">
        <v>489</v>
      </c>
      <c r="B58" s="223" t="s">
        <v>137</v>
      </c>
      <c r="C58" s="224">
        <v>0.0</v>
      </c>
      <c r="D58" s="224" t="s">
        <v>330</v>
      </c>
    </row>
    <row r="59">
      <c r="A59" s="222" t="s">
        <v>490</v>
      </c>
      <c r="B59" s="223" t="s">
        <v>137</v>
      </c>
      <c r="C59" s="224">
        <v>0.0</v>
      </c>
      <c r="D59" s="224" t="s">
        <v>330</v>
      </c>
    </row>
    <row r="60">
      <c r="A60" s="222" t="s">
        <v>491</v>
      </c>
      <c r="B60" s="223" t="s">
        <v>137</v>
      </c>
      <c r="C60" s="224">
        <v>0.0</v>
      </c>
      <c r="D60" s="224" t="s">
        <v>330</v>
      </c>
    </row>
    <row r="61">
      <c r="A61" s="222" t="s">
        <v>492</v>
      </c>
      <c r="B61" s="223" t="s">
        <v>137</v>
      </c>
      <c r="C61" s="224">
        <v>0.0</v>
      </c>
      <c r="D61" s="224" t="s">
        <v>330</v>
      </c>
    </row>
    <row r="62">
      <c r="A62" s="222" t="s">
        <v>493</v>
      </c>
      <c r="B62" s="223" t="s">
        <v>137</v>
      </c>
      <c r="C62" s="224">
        <v>0.0</v>
      </c>
      <c r="D62" s="224" t="s">
        <v>330</v>
      </c>
    </row>
    <row r="63">
      <c r="A63" s="222" t="s">
        <v>494</v>
      </c>
      <c r="B63" s="223" t="s">
        <v>137</v>
      </c>
      <c r="C63" s="224" t="s">
        <v>330</v>
      </c>
      <c r="D63" s="224" t="s">
        <v>330</v>
      </c>
    </row>
    <row r="64">
      <c r="A64" s="222" t="s">
        <v>495</v>
      </c>
      <c r="B64" s="223" t="s">
        <v>137</v>
      </c>
      <c r="C64" s="224">
        <v>0.0</v>
      </c>
      <c r="D64" s="224" t="s">
        <v>330</v>
      </c>
    </row>
    <row r="65">
      <c r="A65" s="222" t="s">
        <v>496</v>
      </c>
      <c r="B65" s="223" t="s">
        <v>137</v>
      </c>
      <c r="C65" s="224" t="s">
        <v>330</v>
      </c>
      <c r="D65" s="224" t="s">
        <v>330</v>
      </c>
    </row>
    <row r="66">
      <c r="A66" s="222" t="s">
        <v>497</v>
      </c>
      <c r="B66" s="223" t="s">
        <v>498</v>
      </c>
      <c r="C66" s="224" t="s">
        <v>330</v>
      </c>
      <c r="D66" s="224" t="s">
        <v>330</v>
      </c>
    </row>
    <row r="67">
      <c r="A67" s="222" t="s">
        <v>499</v>
      </c>
      <c r="B67" s="223" t="s">
        <v>498</v>
      </c>
      <c r="C67" s="224">
        <v>0.0</v>
      </c>
      <c r="D67" s="224" t="s">
        <v>330</v>
      </c>
    </row>
    <row r="68">
      <c r="A68" s="222" t="s">
        <v>500</v>
      </c>
      <c r="B68" s="223" t="s">
        <v>501</v>
      </c>
      <c r="C68" s="224">
        <v>0.0</v>
      </c>
      <c r="D68" s="224" t="s">
        <v>330</v>
      </c>
    </row>
    <row r="69">
      <c r="A69" s="222" t="s">
        <v>502</v>
      </c>
      <c r="B69" s="223" t="s">
        <v>501</v>
      </c>
      <c r="C69" s="224">
        <v>0.0</v>
      </c>
      <c r="D69" s="224" t="s">
        <v>330</v>
      </c>
    </row>
    <row r="70">
      <c r="A70" s="222" t="s">
        <v>503</v>
      </c>
      <c r="B70" s="223" t="s">
        <v>504</v>
      </c>
      <c r="C70" s="224" t="s">
        <v>330</v>
      </c>
      <c r="D70" s="224" t="s">
        <v>330</v>
      </c>
    </row>
    <row r="71">
      <c r="A71" s="222" t="s">
        <v>505</v>
      </c>
      <c r="B71" s="223" t="s">
        <v>504</v>
      </c>
      <c r="C71" s="224">
        <v>0.0</v>
      </c>
      <c r="D71" s="224" t="s">
        <v>330</v>
      </c>
    </row>
    <row r="72">
      <c r="A72" s="222" t="s">
        <v>506</v>
      </c>
      <c r="B72" s="223" t="s">
        <v>142</v>
      </c>
      <c r="C72" s="224">
        <v>0.0</v>
      </c>
      <c r="D72" s="224" t="s">
        <v>330</v>
      </c>
    </row>
    <row r="73">
      <c r="A73" s="222" t="s">
        <v>507</v>
      </c>
      <c r="B73" s="223" t="s">
        <v>143</v>
      </c>
      <c r="C73" s="224" t="s">
        <v>330</v>
      </c>
      <c r="D73" s="224" t="s">
        <v>330</v>
      </c>
    </row>
    <row r="74">
      <c r="A74" s="222" t="s">
        <v>508</v>
      </c>
      <c r="B74" s="223" t="s">
        <v>143</v>
      </c>
      <c r="C74" s="224">
        <v>0.0</v>
      </c>
      <c r="D74" s="224" t="s">
        <v>330</v>
      </c>
    </row>
    <row r="75">
      <c r="A75" s="222" t="s">
        <v>509</v>
      </c>
      <c r="B75" s="223" t="s">
        <v>143</v>
      </c>
      <c r="C75" s="224" t="s">
        <v>330</v>
      </c>
      <c r="D75" s="224" t="s">
        <v>330</v>
      </c>
    </row>
    <row r="76">
      <c r="A76" s="222" t="s">
        <v>510</v>
      </c>
      <c r="B76" s="223" t="s">
        <v>143</v>
      </c>
      <c r="C76" s="224" t="s">
        <v>330</v>
      </c>
      <c r="D76" s="224" t="s">
        <v>330</v>
      </c>
    </row>
    <row r="77">
      <c r="A77" s="222" t="s">
        <v>511</v>
      </c>
      <c r="B77" s="223" t="s">
        <v>143</v>
      </c>
      <c r="C77" s="224">
        <v>0.0</v>
      </c>
      <c r="D77" s="224" t="s">
        <v>330</v>
      </c>
    </row>
    <row r="78">
      <c r="A78" s="222" t="s">
        <v>512</v>
      </c>
      <c r="B78" s="223" t="s">
        <v>144</v>
      </c>
      <c r="C78" s="224" t="s">
        <v>330</v>
      </c>
      <c r="D78" s="224" t="s">
        <v>330</v>
      </c>
    </row>
    <row r="79">
      <c r="A79" s="222" t="s">
        <v>513</v>
      </c>
      <c r="B79" s="223" t="s">
        <v>145</v>
      </c>
      <c r="C79" s="224">
        <v>0.0</v>
      </c>
      <c r="D79" s="224" t="s">
        <v>330</v>
      </c>
    </row>
    <row r="80">
      <c r="A80" s="222" t="s">
        <v>514</v>
      </c>
      <c r="B80" s="223" t="s">
        <v>515</v>
      </c>
      <c r="C80" s="224" t="s">
        <v>330</v>
      </c>
      <c r="D80" s="224" t="s">
        <v>330</v>
      </c>
    </row>
    <row r="81">
      <c r="A81" s="222" t="s">
        <v>516</v>
      </c>
      <c r="B81" s="223" t="s">
        <v>146</v>
      </c>
      <c r="C81" s="224">
        <v>0.0</v>
      </c>
      <c r="D81" s="224" t="s">
        <v>330</v>
      </c>
    </row>
    <row r="82">
      <c r="A82" s="222" t="s">
        <v>517</v>
      </c>
      <c r="B82" s="223" t="s">
        <v>147</v>
      </c>
      <c r="C82" s="224">
        <v>0.0</v>
      </c>
      <c r="D82" s="224" t="s">
        <v>330</v>
      </c>
    </row>
    <row r="83">
      <c r="A83" s="222" t="s">
        <v>518</v>
      </c>
      <c r="B83" s="223" t="s">
        <v>147</v>
      </c>
      <c r="C83" s="224">
        <v>0.0</v>
      </c>
      <c r="D83" s="224" t="s">
        <v>330</v>
      </c>
    </row>
    <row r="84">
      <c r="A84" s="222" t="s">
        <v>519</v>
      </c>
      <c r="B84" s="223" t="s">
        <v>150</v>
      </c>
      <c r="C84" s="224">
        <v>0.0</v>
      </c>
      <c r="D84" s="224" t="s">
        <v>330</v>
      </c>
    </row>
    <row r="85">
      <c r="A85" s="222" t="s">
        <v>520</v>
      </c>
      <c r="B85" s="223" t="s">
        <v>150</v>
      </c>
      <c r="C85" s="224">
        <v>0.0</v>
      </c>
      <c r="D85" s="224" t="s">
        <v>330</v>
      </c>
    </row>
    <row r="86">
      <c r="A86" s="222" t="s">
        <v>521</v>
      </c>
      <c r="B86" s="223" t="s">
        <v>150</v>
      </c>
      <c r="C86" s="224">
        <v>0.0</v>
      </c>
      <c r="D86" s="224" t="s">
        <v>330</v>
      </c>
    </row>
    <row r="87">
      <c r="A87" s="222" t="s">
        <v>522</v>
      </c>
      <c r="B87" s="223" t="s">
        <v>151</v>
      </c>
      <c r="C87" s="224" t="s">
        <v>330</v>
      </c>
      <c r="D87" s="224" t="s">
        <v>330</v>
      </c>
    </row>
    <row r="88">
      <c r="A88" s="222" t="s">
        <v>523</v>
      </c>
      <c r="B88" s="223" t="s">
        <v>151</v>
      </c>
      <c r="C88" s="224">
        <v>0.0</v>
      </c>
      <c r="D88" s="224" t="s">
        <v>330</v>
      </c>
    </row>
    <row r="89">
      <c r="A89" s="222" t="s">
        <v>524</v>
      </c>
      <c r="B89" s="223" t="s">
        <v>151</v>
      </c>
      <c r="C89" s="224" t="s">
        <v>330</v>
      </c>
      <c r="D89" s="224" t="s">
        <v>330</v>
      </c>
    </row>
    <row r="90">
      <c r="A90" s="222" t="s">
        <v>525</v>
      </c>
      <c r="B90" s="223" t="s">
        <v>151</v>
      </c>
      <c r="C90" s="224" t="s">
        <v>330</v>
      </c>
      <c r="D90" s="224" t="s">
        <v>316</v>
      </c>
    </row>
    <row r="91">
      <c r="A91" s="222" t="s">
        <v>526</v>
      </c>
      <c r="B91" s="223" t="s">
        <v>151</v>
      </c>
      <c r="C91" s="224">
        <v>0.0</v>
      </c>
      <c r="D91" s="224" t="s">
        <v>330</v>
      </c>
    </row>
    <row r="92">
      <c r="A92" s="222" t="s">
        <v>527</v>
      </c>
      <c r="B92" s="223" t="s">
        <v>152</v>
      </c>
      <c r="C92" s="224">
        <v>0.0</v>
      </c>
      <c r="D92" s="224" t="s">
        <v>330</v>
      </c>
    </row>
    <row r="93">
      <c r="A93" s="222" t="s">
        <v>528</v>
      </c>
      <c r="B93" s="223" t="s">
        <v>152</v>
      </c>
      <c r="C93" s="224" t="s">
        <v>330</v>
      </c>
      <c r="D93" s="224" t="s">
        <v>330</v>
      </c>
    </row>
    <row r="94">
      <c r="A94" s="222" t="s">
        <v>529</v>
      </c>
      <c r="B94" s="223" t="s">
        <v>530</v>
      </c>
      <c r="C94" s="224">
        <v>0.0</v>
      </c>
      <c r="D94" s="224" t="s">
        <v>330</v>
      </c>
    </row>
    <row r="95">
      <c r="A95" s="222" t="s">
        <v>531</v>
      </c>
      <c r="B95" s="223" t="s">
        <v>530</v>
      </c>
      <c r="C95" s="224">
        <v>0.0</v>
      </c>
      <c r="D95" s="224" t="s">
        <v>330</v>
      </c>
    </row>
    <row r="96">
      <c r="A96" s="222" t="s">
        <v>532</v>
      </c>
      <c r="B96" s="223" t="s">
        <v>153</v>
      </c>
      <c r="C96" s="224">
        <v>0.0</v>
      </c>
      <c r="D96" s="224" t="s">
        <v>330</v>
      </c>
    </row>
    <row r="97">
      <c r="A97" s="222" t="s">
        <v>533</v>
      </c>
      <c r="B97" s="223" t="s">
        <v>153</v>
      </c>
      <c r="C97" s="224">
        <v>0.0</v>
      </c>
      <c r="D97" s="224" t="s">
        <v>330</v>
      </c>
    </row>
    <row r="98">
      <c r="A98" s="222" t="s">
        <v>534</v>
      </c>
      <c r="B98" s="223" t="s">
        <v>153</v>
      </c>
      <c r="C98" s="224">
        <v>0.0</v>
      </c>
      <c r="D98" s="224" t="s">
        <v>330</v>
      </c>
    </row>
    <row r="99">
      <c r="A99" s="222" t="s">
        <v>535</v>
      </c>
      <c r="B99" s="223" t="s">
        <v>153</v>
      </c>
      <c r="C99" s="224">
        <v>0.0</v>
      </c>
      <c r="D99" s="224" t="s">
        <v>330</v>
      </c>
    </row>
    <row r="100">
      <c r="A100" s="222" t="s">
        <v>536</v>
      </c>
      <c r="B100" s="223" t="s">
        <v>153</v>
      </c>
      <c r="C100" s="224">
        <v>0.0</v>
      </c>
      <c r="D100" s="224" t="s">
        <v>330</v>
      </c>
    </row>
    <row r="101">
      <c r="A101" s="222" t="s">
        <v>537</v>
      </c>
      <c r="B101" s="223" t="s">
        <v>153</v>
      </c>
      <c r="C101" s="224">
        <v>0.0</v>
      </c>
      <c r="D101" s="224" t="s">
        <v>330</v>
      </c>
    </row>
    <row r="102">
      <c r="A102" s="222" t="s">
        <v>538</v>
      </c>
      <c r="B102" s="223" t="s">
        <v>539</v>
      </c>
      <c r="C102" s="224">
        <v>0.0</v>
      </c>
      <c r="D102" s="224" t="s">
        <v>330</v>
      </c>
    </row>
    <row r="103">
      <c r="A103" s="222" t="s">
        <v>540</v>
      </c>
      <c r="B103" s="223" t="s">
        <v>539</v>
      </c>
      <c r="C103" s="224">
        <v>0.0</v>
      </c>
      <c r="D103" s="224" t="s">
        <v>330</v>
      </c>
    </row>
    <row r="104">
      <c r="A104" s="222" t="s">
        <v>541</v>
      </c>
      <c r="B104" s="223" t="s">
        <v>539</v>
      </c>
      <c r="C104" s="224" t="s">
        <v>330</v>
      </c>
      <c r="D104" s="224" t="s">
        <v>330</v>
      </c>
    </row>
    <row r="105">
      <c r="A105" s="222" t="s">
        <v>542</v>
      </c>
      <c r="B105" s="223" t="s">
        <v>539</v>
      </c>
      <c r="C105" s="224">
        <v>0.0</v>
      </c>
      <c r="D105" s="224" t="s">
        <v>330</v>
      </c>
    </row>
    <row r="106">
      <c r="A106" s="222" t="s">
        <v>543</v>
      </c>
      <c r="B106" s="223" t="s">
        <v>539</v>
      </c>
      <c r="C106" s="224">
        <v>0.0</v>
      </c>
      <c r="D106" s="224" t="s">
        <v>330</v>
      </c>
    </row>
    <row r="107">
      <c r="A107" s="222" t="s">
        <v>544</v>
      </c>
      <c r="B107" s="223" t="s">
        <v>539</v>
      </c>
      <c r="C107" s="224">
        <v>0.0</v>
      </c>
      <c r="D107" s="224" t="s">
        <v>330</v>
      </c>
    </row>
    <row r="108">
      <c r="A108" s="222" t="s">
        <v>545</v>
      </c>
      <c r="B108" s="223" t="s">
        <v>539</v>
      </c>
      <c r="C108" s="224">
        <v>0.0</v>
      </c>
      <c r="D108" s="224" t="s">
        <v>330</v>
      </c>
    </row>
    <row r="109">
      <c r="A109" s="222" t="s">
        <v>546</v>
      </c>
      <c r="B109" s="223" t="s">
        <v>539</v>
      </c>
      <c r="C109" s="224" t="s">
        <v>330</v>
      </c>
      <c r="D109" s="224" t="s">
        <v>330</v>
      </c>
    </row>
    <row r="110">
      <c r="A110" s="222" t="s">
        <v>547</v>
      </c>
      <c r="B110" s="223" t="s">
        <v>539</v>
      </c>
      <c r="C110" s="224">
        <v>0.0</v>
      </c>
      <c r="D110" s="224" t="s">
        <v>330</v>
      </c>
    </row>
    <row r="111">
      <c r="A111" s="222" t="s">
        <v>548</v>
      </c>
      <c r="B111" s="223" t="s">
        <v>539</v>
      </c>
      <c r="C111" s="224">
        <v>0.0</v>
      </c>
      <c r="D111" s="224" t="s">
        <v>330</v>
      </c>
    </row>
    <row r="112">
      <c r="A112" s="222" t="s">
        <v>549</v>
      </c>
      <c r="B112" s="223" t="s">
        <v>539</v>
      </c>
      <c r="C112" s="224" t="s">
        <v>330</v>
      </c>
      <c r="D112" s="224" t="s">
        <v>330</v>
      </c>
    </row>
    <row r="113">
      <c r="A113" s="222" t="s">
        <v>550</v>
      </c>
      <c r="B113" s="223" t="s">
        <v>539</v>
      </c>
      <c r="C113" s="224">
        <v>0.0</v>
      </c>
      <c r="D113" s="224" t="s">
        <v>330</v>
      </c>
    </row>
    <row r="114">
      <c r="A114" s="222" t="s">
        <v>551</v>
      </c>
      <c r="B114" s="223" t="s">
        <v>539</v>
      </c>
      <c r="C114" s="224">
        <v>0.0</v>
      </c>
      <c r="D114" s="224" t="s">
        <v>330</v>
      </c>
    </row>
    <row r="115">
      <c r="A115" s="222" t="s">
        <v>552</v>
      </c>
      <c r="B115" s="223" t="s">
        <v>539</v>
      </c>
      <c r="C115" s="224">
        <v>0.0</v>
      </c>
      <c r="D115" s="224" t="s">
        <v>330</v>
      </c>
    </row>
    <row r="116">
      <c r="A116" s="222" t="s">
        <v>553</v>
      </c>
      <c r="B116" s="223" t="s">
        <v>539</v>
      </c>
      <c r="C116" s="224">
        <v>0.0</v>
      </c>
      <c r="D116" s="224" t="s">
        <v>330</v>
      </c>
    </row>
    <row r="117">
      <c r="A117" s="222" t="s">
        <v>554</v>
      </c>
      <c r="B117" s="223" t="s">
        <v>539</v>
      </c>
      <c r="C117" s="224" t="s">
        <v>330</v>
      </c>
      <c r="D117" s="224" t="s">
        <v>330</v>
      </c>
    </row>
    <row r="118">
      <c r="A118" s="222" t="s">
        <v>555</v>
      </c>
      <c r="B118" s="223" t="s">
        <v>539</v>
      </c>
      <c r="C118" s="224">
        <v>0.0</v>
      </c>
      <c r="D118" s="224" t="s">
        <v>330</v>
      </c>
    </row>
    <row r="119">
      <c r="A119" s="222" t="s">
        <v>556</v>
      </c>
      <c r="B119" s="223" t="s">
        <v>155</v>
      </c>
      <c r="C119" s="224">
        <v>0.0</v>
      </c>
      <c r="D119" s="224" t="s">
        <v>330</v>
      </c>
    </row>
    <row r="120">
      <c r="A120" s="222" t="s">
        <v>557</v>
      </c>
      <c r="B120" s="223" t="s">
        <v>155</v>
      </c>
      <c r="C120" s="224" t="s">
        <v>330</v>
      </c>
      <c r="D120" s="224" t="s">
        <v>330</v>
      </c>
    </row>
    <row r="121">
      <c r="A121" s="222" t="s">
        <v>558</v>
      </c>
      <c r="B121" s="223" t="s">
        <v>155</v>
      </c>
      <c r="C121" s="224">
        <v>0.0</v>
      </c>
      <c r="D121" s="224" t="s">
        <v>330</v>
      </c>
    </row>
    <row r="122">
      <c r="A122" s="222" t="s">
        <v>559</v>
      </c>
      <c r="B122" s="223" t="s">
        <v>155</v>
      </c>
      <c r="C122" s="224">
        <v>0.0</v>
      </c>
      <c r="D122" s="224" t="s">
        <v>330</v>
      </c>
    </row>
    <row r="123">
      <c r="A123" s="222" t="s">
        <v>560</v>
      </c>
      <c r="B123" s="223" t="s">
        <v>155</v>
      </c>
      <c r="C123" s="224">
        <v>0.0</v>
      </c>
      <c r="D123" s="224" t="s">
        <v>330</v>
      </c>
    </row>
    <row r="124">
      <c r="A124" s="222" t="s">
        <v>561</v>
      </c>
      <c r="B124" s="223" t="s">
        <v>155</v>
      </c>
      <c r="C124" s="224" t="s">
        <v>330</v>
      </c>
      <c r="D124" s="224" t="s">
        <v>330</v>
      </c>
    </row>
    <row r="125">
      <c r="A125" s="222" t="s">
        <v>562</v>
      </c>
      <c r="B125" s="223" t="s">
        <v>155</v>
      </c>
      <c r="C125" s="224">
        <v>0.0</v>
      </c>
      <c r="D125" s="224" t="s">
        <v>330</v>
      </c>
    </row>
    <row r="126">
      <c r="A126" s="222" t="s">
        <v>563</v>
      </c>
      <c r="B126" s="223" t="s">
        <v>155</v>
      </c>
      <c r="C126" s="224">
        <v>0.0</v>
      </c>
      <c r="D126" s="224" t="s">
        <v>316</v>
      </c>
    </row>
    <row r="127">
      <c r="A127" s="222" t="s">
        <v>564</v>
      </c>
      <c r="B127" s="223" t="s">
        <v>155</v>
      </c>
      <c r="C127" s="224">
        <v>0.0</v>
      </c>
      <c r="D127" s="224" t="s">
        <v>316</v>
      </c>
    </row>
    <row r="128">
      <c r="A128" s="222" t="s">
        <v>565</v>
      </c>
      <c r="B128" s="223" t="s">
        <v>155</v>
      </c>
      <c r="C128" s="224" t="s">
        <v>330</v>
      </c>
      <c r="D128" s="224" t="s">
        <v>330</v>
      </c>
    </row>
    <row r="129">
      <c r="A129" s="222" t="s">
        <v>566</v>
      </c>
      <c r="B129" s="223" t="s">
        <v>155</v>
      </c>
      <c r="C129" s="224">
        <v>0.0</v>
      </c>
      <c r="D129" s="224" t="s">
        <v>330</v>
      </c>
    </row>
    <row r="130">
      <c r="A130" s="222" t="s">
        <v>567</v>
      </c>
      <c r="B130" s="223" t="s">
        <v>155</v>
      </c>
      <c r="C130" s="224" t="s">
        <v>330</v>
      </c>
      <c r="D130" s="224" t="s">
        <v>330</v>
      </c>
    </row>
    <row r="131">
      <c r="A131" s="222" t="s">
        <v>568</v>
      </c>
      <c r="B131" s="223" t="s">
        <v>155</v>
      </c>
      <c r="C131" s="224">
        <v>0.0</v>
      </c>
      <c r="D131" s="224" t="s">
        <v>330</v>
      </c>
    </row>
    <row r="132">
      <c r="A132" s="222" t="s">
        <v>569</v>
      </c>
      <c r="B132" s="223" t="s">
        <v>155</v>
      </c>
      <c r="C132" s="224">
        <v>0.0</v>
      </c>
      <c r="D132" s="224" t="s">
        <v>330</v>
      </c>
    </row>
    <row r="133">
      <c r="A133" s="222" t="s">
        <v>570</v>
      </c>
      <c r="B133" s="223" t="s">
        <v>155</v>
      </c>
      <c r="C133" s="224">
        <v>0.0</v>
      </c>
      <c r="D133" s="224" t="s">
        <v>330</v>
      </c>
    </row>
    <row r="134">
      <c r="A134" s="222" t="s">
        <v>571</v>
      </c>
      <c r="B134" s="223" t="s">
        <v>155</v>
      </c>
      <c r="C134" s="224" t="s">
        <v>330</v>
      </c>
      <c r="D134" s="224" t="s">
        <v>330</v>
      </c>
    </row>
    <row r="135">
      <c r="A135" s="222" t="s">
        <v>572</v>
      </c>
      <c r="B135" s="223" t="s">
        <v>155</v>
      </c>
      <c r="C135" s="224" t="s">
        <v>330</v>
      </c>
      <c r="D135" s="224" t="s">
        <v>330</v>
      </c>
    </row>
    <row r="136">
      <c r="A136" s="222" t="s">
        <v>573</v>
      </c>
      <c r="B136" s="223" t="s">
        <v>155</v>
      </c>
      <c r="C136" s="224">
        <v>0.0</v>
      </c>
      <c r="D136" s="224" t="s">
        <v>330</v>
      </c>
    </row>
    <row r="137">
      <c r="A137" s="222" t="s">
        <v>574</v>
      </c>
      <c r="B137" s="223" t="s">
        <v>155</v>
      </c>
      <c r="C137" s="224" t="s">
        <v>330</v>
      </c>
      <c r="D137" s="224" t="s">
        <v>330</v>
      </c>
    </row>
    <row r="138">
      <c r="A138" s="222" t="s">
        <v>575</v>
      </c>
      <c r="B138" s="223" t="s">
        <v>155</v>
      </c>
      <c r="C138" s="224" t="s">
        <v>330</v>
      </c>
      <c r="D138" s="224" t="s">
        <v>330</v>
      </c>
    </row>
    <row r="139">
      <c r="A139" s="222" t="s">
        <v>576</v>
      </c>
      <c r="B139" s="223" t="s">
        <v>155</v>
      </c>
      <c r="C139" s="224">
        <v>0.0</v>
      </c>
      <c r="D139" s="224" t="s">
        <v>330</v>
      </c>
    </row>
    <row r="140">
      <c r="A140" s="225" t="s">
        <v>577</v>
      </c>
      <c r="B140" s="223" t="s">
        <v>155</v>
      </c>
      <c r="C140" s="224" t="s">
        <v>330</v>
      </c>
      <c r="D140" s="224" t="s">
        <v>330</v>
      </c>
    </row>
    <row r="141">
      <c r="A141" s="222" t="s">
        <v>578</v>
      </c>
      <c r="B141" s="223" t="s">
        <v>155</v>
      </c>
      <c r="C141" s="224">
        <v>0.0</v>
      </c>
      <c r="D141" s="224" t="s">
        <v>330</v>
      </c>
    </row>
    <row r="142">
      <c r="A142" s="222" t="s">
        <v>579</v>
      </c>
      <c r="B142" s="223" t="s">
        <v>155</v>
      </c>
      <c r="C142" s="224" t="s">
        <v>330</v>
      </c>
      <c r="D142" s="224" t="s">
        <v>330</v>
      </c>
    </row>
    <row r="143">
      <c r="A143" s="222" t="s">
        <v>580</v>
      </c>
      <c r="B143" s="223" t="s">
        <v>155</v>
      </c>
      <c r="C143" s="224">
        <v>0.0</v>
      </c>
      <c r="D143" s="224" t="s">
        <v>330</v>
      </c>
    </row>
    <row r="144">
      <c r="A144" s="222" t="s">
        <v>581</v>
      </c>
      <c r="B144" s="223" t="s">
        <v>155</v>
      </c>
      <c r="C144" s="224">
        <v>0.0</v>
      </c>
      <c r="D144" s="224" t="s">
        <v>330</v>
      </c>
    </row>
    <row r="145">
      <c r="A145" s="222" t="s">
        <v>582</v>
      </c>
      <c r="B145" s="223" t="s">
        <v>155</v>
      </c>
      <c r="C145" s="224" t="s">
        <v>330</v>
      </c>
      <c r="D145" s="224" t="s">
        <v>330</v>
      </c>
    </row>
    <row r="146">
      <c r="A146" s="222" t="s">
        <v>583</v>
      </c>
      <c r="B146" s="223" t="s">
        <v>155</v>
      </c>
      <c r="C146" s="224" t="s">
        <v>330</v>
      </c>
      <c r="D146" s="224" t="s">
        <v>316</v>
      </c>
    </row>
    <row r="147">
      <c r="A147" s="222" t="s">
        <v>584</v>
      </c>
      <c r="B147" s="223" t="s">
        <v>155</v>
      </c>
      <c r="C147" s="224" t="s">
        <v>330</v>
      </c>
      <c r="D147" s="224" t="s">
        <v>330</v>
      </c>
    </row>
    <row r="148">
      <c r="A148" s="222" t="s">
        <v>585</v>
      </c>
      <c r="B148" s="223" t="s">
        <v>155</v>
      </c>
      <c r="C148" s="224">
        <v>0.0</v>
      </c>
      <c r="D148" s="224" t="s">
        <v>330</v>
      </c>
    </row>
    <row r="149">
      <c r="A149" s="222" t="s">
        <v>586</v>
      </c>
      <c r="B149" s="223" t="s">
        <v>155</v>
      </c>
      <c r="C149" s="224">
        <v>0.0</v>
      </c>
      <c r="D149" s="224" t="s">
        <v>330</v>
      </c>
    </row>
    <row r="150">
      <c r="A150" s="222" t="s">
        <v>587</v>
      </c>
      <c r="B150" s="223" t="s">
        <v>155</v>
      </c>
      <c r="C150" s="224">
        <v>0.0</v>
      </c>
      <c r="D150" s="224" t="s">
        <v>330</v>
      </c>
    </row>
    <row r="151">
      <c r="A151" s="225" t="s">
        <v>588</v>
      </c>
      <c r="B151" s="223" t="s">
        <v>155</v>
      </c>
      <c r="C151" s="224" t="s">
        <v>330</v>
      </c>
      <c r="D151" s="224" t="s">
        <v>330</v>
      </c>
    </row>
    <row r="152">
      <c r="A152" s="222" t="s">
        <v>589</v>
      </c>
      <c r="B152" s="223" t="s">
        <v>155</v>
      </c>
      <c r="C152" s="224" t="s">
        <v>330</v>
      </c>
      <c r="D152" s="224" t="s">
        <v>330</v>
      </c>
    </row>
    <row r="153">
      <c r="A153" s="222" t="s">
        <v>590</v>
      </c>
      <c r="B153" s="223" t="s">
        <v>591</v>
      </c>
      <c r="C153" s="224">
        <v>0.0</v>
      </c>
      <c r="D153" s="224" t="s">
        <v>330</v>
      </c>
    </row>
    <row r="154">
      <c r="A154" s="222" t="s">
        <v>592</v>
      </c>
      <c r="B154" s="223" t="s">
        <v>593</v>
      </c>
      <c r="C154" s="224">
        <v>0.0</v>
      </c>
      <c r="D154" s="224" t="s">
        <v>330</v>
      </c>
    </row>
    <row r="155">
      <c r="A155" s="222" t="s">
        <v>594</v>
      </c>
      <c r="B155" s="223" t="s">
        <v>157</v>
      </c>
      <c r="C155" s="224" t="s">
        <v>330</v>
      </c>
      <c r="D155" s="224" t="s">
        <v>330</v>
      </c>
    </row>
    <row r="156">
      <c r="A156" s="222" t="s">
        <v>595</v>
      </c>
      <c r="B156" s="223" t="s">
        <v>157</v>
      </c>
      <c r="C156" s="224">
        <v>0.0</v>
      </c>
      <c r="D156" s="224" t="s">
        <v>330</v>
      </c>
    </row>
    <row r="157">
      <c r="A157" s="222" t="s">
        <v>596</v>
      </c>
      <c r="B157" s="223" t="s">
        <v>597</v>
      </c>
      <c r="C157" s="224" t="s">
        <v>330</v>
      </c>
      <c r="D157" s="224" t="s">
        <v>330</v>
      </c>
    </row>
    <row r="158">
      <c r="A158" s="222" t="s">
        <v>598</v>
      </c>
      <c r="B158" s="223" t="s">
        <v>158</v>
      </c>
      <c r="C158" s="224" t="s">
        <v>330</v>
      </c>
      <c r="D158" s="224" t="s">
        <v>330</v>
      </c>
    </row>
    <row r="159">
      <c r="A159" s="222" t="s">
        <v>599</v>
      </c>
      <c r="B159" s="223" t="s">
        <v>158</v>
      </c>
      <c r="C159" s="224">
        <v>0.0</v>
      </c>
      <c r="D159" s="224" t="s">
        <v>330</v>
      </c>
    </row>
    <row r="160">
      <c r="A160" s="222" t="s">
        <v>600</v>
      </c>
      <c r="B160" s="223" t="s">
        <v>158</v>
      </c>
      <c r="C160" s="224">
        <v>0.0</v>
      </c>
      <c r="D160" s="224" t="s">
        <v>330</v>
      </c>
    </row>
    <row r="161">
      <c r="A161" s="222" t="s">
        <v>601</v>
      </c>
      <c r="B161" s="223" t="s">
        <v>158</v>
      </c>
      <c r="C161" s="224" t="s">
        <v>330</v>
      </c>
      <c r="D161" s="224" t="s">
        <v>316</v>
      </c>
    </row>
    <row r="162">
      <c r="A162" s="222" t="s">
        <v>602</v>
      </c>
      <c r="B162" s="223" t="s">
        <v>158</v>
      </c>
      <c r="C162" s="224" t="s">
        <v>330</v>
      </c>
      <c r="D162" s="224" t="s">
        <v>330</v>
      </c>
    </row>
    <row r="163">
      <c r="A163" s="222" t="s">
        <v>603</v>
      </c>
      <c r="B163" s="223" t="s">
        <v>159</v>
      </c>
      <c r="C163" s="224">
        <v>0.0</v>
      </c>
      <c r="D163" s="224" t="s">
        <v>330</v>
      </c>
    </row>
    <row r="164">
      <c r="A164" s="222" t="s">
        <v>604</v>
      </c>
      <c r="B164" s="223" t="s">
        <v>604</v>
      </c>
      <c r="C164" s="224">
        <v>0.0</v>
      </c>
      <c r="D164" s="224" t="s">
        <v>330</v>
      </c>
    </row>
    <row r="165">
      <c r="A165" s="222" t="s">
        <v>605</v>
      </c>
      <c r="B165" s="223" t="s">
        <v>605</v>
      </c>
      <c r="C165" s="224" t="s">
        <v>330</v>
      </c>
      <c r="D165" s="224" t="s">
        <v>330</v>
      </c>
    </row>
    <row r="166">
      <c r="A166" s="222" t="s">
        <v>606</v>
      </c>
      <c r="B166" s="223" t="s">
        <v>160</v>
      </c>
      <c r="C166" s="224" t="s">
        <v>330</v>
      </c>
      <c r="D166" s="224" t="s">
        <v>330</v>
      </c>
    </row>
    <row r="167">
      <c r="A167" s="222" t="s">
        <v>607</v>
      </c>
      <c r="B167" s="223" t="s">
        <v>160</v>
      </c>
      <c r="C167" s="224" t="s">
        <v>330</v>
      </c>
      <c r="D167" s="224" t="s">
        <v>330</v>
      </c>
    </row>
    <row r="168">
      <c r="A168" s="222" t="s">
        <v>608</v>
      </c>
      <c r="B168" s="223" t="s">
        <v>609</v>
      </c>
      <c r="C168" s="224">
        <v>0.0</v>
      </c>
      <c r="D168" s="224" t="s">
        <v>330</v>
      </c>
    </row>
    <row r="169">
      <c r="A169" s="222" t="s">
        <v>610</v>
      </c>
      <c r="B169" s="223" t="s">
        <v>162</v>
      </c>
      <c r="C169" s="224" t="s">
        <v>330</v>
      </c>
      <c r="D169" s="224" t="s">
        <v>330</v>
      </c>
    </row>
    <row r="170">
      <c r="A170" s="222" t="s">
        <v>611</v>
      </c>
      <c r="B170" s="223" t="s">
        <v>162</v>
      </c>
      <c r="C170" s="224" t="s">
        <v>330</v>
      </c>
      <c r="D170" s="224" t="s">
        <v>316</v>
      </c>
    </row>
    <row r="171">
      <c r="A171" s="222" t="s">
        <v>612</v>
      </c>
      <c r="B171" s="223" t="s">
        <v>612</v>
      </c>
      <c r="C171" s="224" t="s">
        <v>330</v>
      </c>
      <c r="D171" s="224" t="s">
        <v>330</v>
      </c>
    </row>
    <row r="172">
      <c r="A172" s="222" t="s">
        <v>613</v>
      </c>
      <c r="B172" s="223" t="s">
        <v>164</v>
      </c>
      <c r="C172" s="224" t="s">
        <v>330</v>
      </c>
      <c r="D172" s="224" t="s">
        <v>330</v>
      </c>
    </row>
    <row r="173">
      <c r="A173" s="222" t="s">
        <v>614</v>
      </c>
      <c r="B173" s="223" t="s">
        <v>165</v>
      </c>
      <c r="C173" s="224">
        <v>0.0</v>
      </c>
      <c r="D173" s="224" t="s">
        <v>330</v>
      </c>
    </row>
    <row r="174">
      <c r="A174" s="222" t="s">
        <v>615</v>
      </c>
      <c r="B174" s="223" t="s">
        <v>165</v>
      </c>
      <c r="C174" s="224" t="s">
        <v>330</v>
      </c>
      <c r="D174" s="224" t="s">
        <v>330</v>
      </c>
    </row>
    <row r="175">
      <c r="A175" s="222" t="s">
        <v>616</v>
      </c>
      <c r="B175" s="223" t="s">
        <v>165</v>
      </c>
      <c r="C175" s="224" t="s">
        <v>330</v>
      </c>
      <c r="D175" s="224" t="s">
        <v>330</v>
      </c>
    </row>
    <row r="176">
      <c r="A176" s="222" t="s">
        <v>617</v>
      </c>
      <c r="B176" s="223" t="s">
        <v>166</v>
      </c>
      <c r="C176" s="224">
        <v>0.0</v>
      </c>
      <c r="D176" s="224" t="s">
        <v>330</v>
      </c>
    </row>
    <row r="177">
      <c r="A177" s="222" t="s">
        <v>618</v>
      </c>
      <c r="B177" s="223" t="s">
        <v>166</v>
      </c>
      <c r="C177" s="224" t="s">
        <v>330</v>
      </c>
      <c r="D177" s="224" t="s">
        <v>330</v>
      </c>
    </row>
    <row r="178">
      <c r="A178" s="222" t="s">
        <v>619</v>
      </c>
      <c r="B178" s="223" t="s">
        <v>166</v>
      </c>
      <c r="C178" s="224">
        <v>0.0</v>
      </c>
      <c r="D178" s="224" t="s">
        <v>330</v>
      </c>
    </row>
    <row r="179">
      <c r="A179" s="222" t="s">
        <v>620</v>
      </c>
      <c r="B179" s="223" t="s">
        <v>166</v>
      </c>
      <c r="C179" s="224" t="s">
        <v>330</v>
      </c>
      <c r="D179" s="224" t="s">
        <v>330</v>
      </c>
    </row>
    <row r="180">
      <c r="A180" s="222" t="s">
        <v>621</v>
      </c>
      <c r="B180" s="223" t="s">
        <v>166</v>
      </c>
      <c r="C180" s="224">
        <v>0.0</v>
      </c>
      <c r="D180" s="224" t="s">
        <v>330</v>
      </c>
    </row>
    <row r="181">
      <c r="A181" s="222" t="s">
        <v>622</v>
      </c>
      <c r="B181" s="223" t="s">
        <v>623</v>
      </c>
      <c r="C181" s="224" t="s">
        <v>316</v>
      </c>
      <c r="D181" s="224" t="s">
        <v>348</v>
      </c>
    </row>
    <row r="182">
      <c r="A182" s="226"/>
      <c r="B182" s="227" t="s">
        <v>624</v>
      </c>
      <c r="C182" s="228" t="s">
        <v>318</v>
      </c>
      <c r="D182" s="228" t="s">
        <v>625</v>
      </c>
    </row>
    <row r="183">
      <c r="A183" s="229" t="s">
        <v>626</v>
      </c>
      <c r="B183" s="86"/>
      <c r="C183" s="86"/>
      <c r="D183" s="35"/>
    </row>
    <row r="184">
      <c r="A184" s="222" t="s">
        <v>427</v>
      </c>
      <c r="B184" s="223" t="s">
        <v>428</v>
      </c>
      <c r="C184" s="224">
        <v>0.0</v>
      </c>
      <c r="D184" s="224" t="s">
        <v>330</v>
      </c>
    </row>
    <row r="185">
      <c r="A185" s="222" t="s">
        <v>430</v>
      </c>
      <c r="B185" s="223" t="s">
        <v>128</v>
      </c>
      <c r="C185" s="224">
        <v>0.0</v>
      </c>
      <c r="D185" s="224" t="s">
        <v>330</v>
      </c>
    </row>
    <row r="186">
      <c r="A186" s="222" t="s">
        <v>435</v>
      </c>
      <c r="B186" s="223" t="s">
        <v>436</v>
      </c>
      <c r="C186" s="224" t="s">
        <v>330</v>
      </c>
      <c r="D186" s="224" t="s">
        <v>330</v>
      </c>
    </row>
    <row r="187">
      <c r="A187" s="222" t="s">
        <v>439</v>
      </c>
      <c r="B187" s="223" t="s">
        <v>438</v>
      </c>
      <c r="C187" s="224" t="s">
        <v>330</v>
      </c>
      <c r="D187" s="224" t="s">
        <v>330</v>
      </c>
    </row>
    <row r="188">
      <c r="A188" s="222" t="s">
        <v>627</v>
      </c>
      <c r="B188" s="223" t="s">
        <v>438</v>
      </c>
      <c r="C188" s="224">
        <v>0.0</v>
      </c>
      <c r="D188" s="224" t="s">
        <v>330</v>
      </c>
    </row>
    <row r="189">
      <c r="A189" s="222" t="s">
        <v>440</v>
      </c>
      <c r="B189" s="223" t="s">
        <v>438</v>
      </c>
      <c r="C189" s="224">
        <v>0.0</v>
      </c>
      <c r="D189" s="224" t="s">
        <v>330</v>
      </c>
    </row>
    <row r="190">
      <c r="A190" s="222" t="s">
        <v>628</v>
      </c>
      <c r="B190" s="223" t="s">
        <v>438</v>
      </c>
      <c r="C190" s="224">
        <v>0.0</v>
      </c>
      <c r="D190" s="224" t="s">
        <v>330</v>
      </c>
    </row>
    <row r="191">
      <c r="A191" s="222" t="s">
        <v>629</v>
      </c>
      <c r="B191" s="223" t="s">
        <v>130</v>
      </c>
      <c r="C191" s="224" t="s">
        <v>330</v>
      </c>
      <c r="D191" s="224" t="s">
        <v>330</v>
      </c>
    </row>
    <row r="192">
      <c r="A192" s="222" t="s">
        <v>630</v>
      </c>
      <c r="B192" s="223" t="s">
        <v>130</v>
      </c>
      <c r="C192" s="224" t="s">
        <v>330</v>
      </c>
      <c r="D192" s="224" t="s">
        <v>330</v>
      </c>
    </row>
    <row r="193">
      <c r="A193" s="222" t="s">
        <v>452</v>
      </c>
      <c r="B193" s="223" t="s">
        <v>446</v>
      </c>
      <c r="C193" s="224">
        <v>0.0</v>
      </c>
      <c r="D193" s="224" t="s">
        <v>330</v>
      </c>
    </row>
    <row r="194">
      <c r="A194" s="222" t="s">
        <v>631</v>
      </c>
      <c r="B194" s="223" t="s">
        <v>446</v>
      </c>
      <c r="C194" s="224">
        <v>0.0</v>
      </c>
      <c r="D194" s="224" t="s">
        <v>330</v>
      </c>
    </row>
    <row r="195">
      <c r="A195" s="222" t="s">
        <v>458</v>
      </c>
      <c r="B195" s="223" t="s">
        <v>131</v>
      </c>
      <c r="C195" s="224" t="s">
        <v>330</v>
      </c>
      <c r="D195" s="224" t="s">
        <v>316</v>
      </c>
    </row>
    <row r="196">
      <c r="A196" s="222" t="s">
        <v>459</v>
      </c>
      <c r="B196" s="223" t="s">
        <v>131</v>
      </c>
      <c r="C196" s="224">
        <v>0.0</v>
      </c>
      <c r="D196" s="224" t="s">
        <v>330</v>
      </c>
    </row>
    <row r="197">
      <c r="A197" s="222" t="s">
        <v>460</v>
      </c>
      <c r="B197" s="223" t="s">
        <v>131</v>
      </c>
      <c r="C197" s="224">
        <v>0.0</v>
      </c>
      <c r="D197" s="224" t="s">
        <v>330</v>
      </c>
    </row>
    <row r="198">
      <c r="A198" s="222" t="s">
        <v>461</v>
      </c>
      <c r="B198" s="223" t="s">
        <v>131</v>
      </c>
      <c r="C198" s="224" t="s">
        <v>330</v>
      </c>
      <c r="D198" s="224" t="s">
        <v>330</v>
      </c>
    </row>
    <row r="199">
      <c r="A199" s="222" t="s">
        <v>464</v>
      </c>
      <c r="B199" s="223" t="s">
        <v>465</v>
      </c>
      <c r="C199" s="224" t="s">
        <v>330</v>
      </c>
      <c r="D199" s="224" t="s">
        <v>330</v>
      </c>
    </row>
    <row r="200">
      <c r="A200" s="222" t="s">
        <v>466</v>
      </c>
      <c r="B200" s="223" t="s">
        <v>133</v>
      </c>
      <c r="C200" s="224">
        <v>0.0</v>
      </c>
      <c r="D200" s="224" t="s">
        <v>330</v>
      </c>
    </row>
    <row r="201">
      <c r="A201" s="222" t="s">
        <v>471</v>
      </c>
      <c r="B201" s="223" t="s">
        <v>133</v>
      </c>
      <c r="C201" s="224">
        <v>0.0</v>
      </c>
      <c r="D201" s="224" t="s">
        <v>330</v>
      </c>
    </row>
    <row r="202">
      <c r="A202" s="222" t="s">
        <v>632</v>
      </c>
      <c r="B202" s="223" t="s">
        <v>134</v>
      </c>
      <c r="C202" s="224" t="s">
        <v>330</v>
      </c>
      <c r="D202" s="224" t="s">
        <v>316</v>
      </c>
    </row>
    <row r="203">
      <c r="A203" s="222" t="s">
        <v>474</v>
      </c>
      <c r="B203" s="223" t="s">
        <v>134</v>
      </c>
      <c r="C203" s="224" t="s">
        <v>330</v>
      </c>
      <c r="D203" s="224" t="s">
        <v>330</v>
      </c>
    </row>
    <row r="204">
      <c r="A204" s="222" t="s">
        <v>633</v>
      </c>
      <c r="B204" s="223" t="s">
        <v>134</v>
      </c>
      <c r="C204" s="224">
        <v>0.0</v>
      </c>
      <c r="D204" s="224" t="s">
        <v>330</v>
      </c>
    </row>
    <row r="205">
      <c r="A205" s="222" t="s">
        <v>476</v>
      </c>
      <c r="B205" s="223" t="s">
        <v>134</v>
      </c>
      <c r="C205" s="224">
        <v>0.0</v>
      </c>
      <c r="D205" s="224" t="s">
        <v>330</v>
      </c>
    </row>
    <row r="206">
      <c r="A206" s="222" t="s">
        <v>634</v>
      </c>
      <c r="B206" s="223" t="s">
        <v>134</v>
      </c>
      <c r="C206" s="224">
        <v>0.0</v>
      </c>
      <c r="D206" s="224" t="s">
        <v>330</v>
      </c>
    </row>
    <row r="207">
      <c r="A207" s="222" t="s">
        <v>635</v>
      </c>
      <c r="B207" s="223" t="s">
        <v>134</v>
      </c>
      <c r="C207" s="224" t="s">
        <v>330</v>
      </c>
      <c r="D207" s="224" t="s">
        <v>330</v>
      </c>
    </row>
    <row r="208">
      <c r="A208" s="222" t="s">
        <v>636</v>
      </c>
      <c r="B208" s="223" t="s">
        <v>134</v>
      </c>
      <c r="C208" s="224">
        <v>0.0</v>
      </c>
      <c r="D208" s="224" t="s">
        <v>330</v>
      </c>
    </row>
    <row r="209">
      <c r="A209" s="222" t="s">
        <v>637</v>
      </c>
      <c r="B209" s="223" t="s">
        <v>134</v>
      </c>
      <c r="C209" s="224">
        <v>0.0</v>
      </c>
      <c r="D209" s="224" t="s">
        <v>330</v>
      </c>
    </row>
    <row r="210">
      <c r="A210" s="222" t="s">
        <v>638</v>
      </c>
      <c r="B210" s="223" t="s">
        <v>134</v>
      </c>
      <c r="C210" s="224">
        <v>0.0</v>
      </c>
      <c r="D210" s="224" t="s">
        <v>330</v>
      </c>
    </row>
    <row r="211">
      <c r="A211" s="222" t="s">
        <v>481</v>
      </c>
      <c r="B211" s="223" t="s">
        <v>134</v>
      </c>
      <c r="C211" s="224">
        <v>0.0</v>
      </c>
      <c r="D211" s="224" t="s">
        <v>330</v>
      </c>
    </row>
    <row r="212">
      <c r="A212" s="222" t="s">
        <v>639</v>
      </c>
      <c r="B212" s="223" t="s">
        <v>135</v>
      </c>
      <c r="C212" s="224">
        <v>0.0</v>
      </c>
      <c r="D212" s="224" t="s">
        <v>330</v>
      </c>
    </row>
    <row r="213">
      <c r="A213" s="222" t="s">
        <v>483</v>
      </c>
      <c r="B213" s="223" t="s">
        <v>135</v>
      </c>
      <c r="C213" s="224" t="s">
        <v>330</v>
      </c>
      <c r="D213" s="224" t="s">
        <v>330</v>
      </c>
    </row>
    <row r="214">
      <c r="A214" s="222" t="s">
        <v>640</v>
      </c>
      <c r="B214" s="223" t="s">
        <v>135</v>
      </c>
      <c r="C214" s="224" t="s">
        <v>330</v>
      </c>
      <c r="D214" s="224" t="s">
        <v>330</v>
      </c>
    </row>
    <row r="215">
      <c r="A215" s="222" t="s">
        <v>641</v>
      </c>
      <c r="B215" s="223" t="s">
        <v>135</v>
      </c>
      <c r="C215" s="224" t="s">
        <v>330</v>
      </c>
      <c r="D215" s="224" t="s">
        <v>330</v>
      </c>
    </row>
    <row r="216">
      <c r="A216" s="222" t="s">
        <v>492</v>
      </c>
      <c r="B216" s="223" t="s">
        <v>137</v>
      </c>
      <c r="C216" s="224" t="s">
        <v>330</v>
      </c>
      <c r="D216" s="224" t="s">
        <v>330</v>
      </c>
    </row>
    <row r="217">
      <c r="A217" s="222" t="s">
        <v>496</v>
      </c>
      <c r="B217" s="223" t="s">
        <v>137</v>
      </c>
      <c r="C217" s="224" t="s">
        <v>330</v>
      </c>
      <c r="D217" s="224" t="s">
        <v>330</v>
      </c>
    </row>
    <row r="218">
      <c r="A218" s="222" t="s">
        <v>642</v>
      </c>
      <c r="B218" s="223" t="s">
        <v>498</v>
      </c>
      <c r="C218" s="224">
        <v>0.0</v>
      </c>
      <c r="D218" s="224" t="s">
        <v>330</v>
      </c>
    </row>
    <row r="219">
      <c r="A219" s="222" t="s">
        <v>503</v>
      </c>
      <c r="B219" s="223" t="s">
        <v>504</v>
      </c>
      <c r="C219" s="224">
        <v>0.0</v>
      </c>
      <c r="D219" s="224" t="s">
        <v>330</v>
      </c>
    </row>
    <row r="220">
      <c r="A220" s="222" t="s">
        <v>505</v>
      </c>
      <c r="B220" s="223" t="s">
        <v>504</v>
      </c>
      <c r="C220" s="224">
        <v>0.0</v>
      </c>
      <c r="D220" s="224" t="s">
        <v>330</v>
      </c>
    </row>
    <row r="221">
      <c r="A221" s="222" t="s">
        <v>643</v>
      </c>
      <c r="B221" s="223" t="s">
        <v>644</v>
      </c>
      <c r="C221" s="224" t="s">
        <v>330</v>
      </c>
      <c r="D221" s="224" t="s">
        <v>330</v>
      </c>
    </row>
    <row r="222">
      <c r="A222" s="222" t="s">
        <v>507</v>
      </c>
      <c r="B222" s="223" t="s">
        <v>143</v>
      </c>
      <c r="C222" s="224">
        <v>0.0</v>
      </c>
      <c r="D222" s="224" t="s">
        <v>330</v>
      </c>
    </row>
    <row r="223">
      <c r="A223" s="222" t="s">
        <v>508</v>
      </c>
      <c r="B223" s="223" t="s">
        <v>143</v>
      </c>
      <c r="C223" s="224">
        <v>0.0</v>
      </c>
      <c r="D223" s="224" t="s">
        <v>330</v>
      </c>
    </row>
    <row r="224">
      <c r="A224" s="222" t="s">
        <v>509</v>
      </c>
      <c r="B224" s="223" t="s">
        <v>143</v>
      </c>
      <c r="C224" s="224" t="s">
        <v>330</v>
      </c>
      <c r="D224" s="224" t="s">
        <v>330</v>
      </c>
    </row>
    <row r="225">
      <c r="A225" s="222" t="s">
        <v>645</v>
      </c>
      <c r="B225" s="223" t="s">
        <v>646</v>
      </c>
      <c r="C225" s="224">
        <v>0.0</v>
      </c>
      <c r="D225" s="224" t="s">
        <v>330</v>
      </c>
    </row>
    <row r="226">
      <c r="A226" s="222" t="s">
        <v>647</v>
      </c>
      <c r="B226" s="223" t="s">
        <v>144</v>
      </c>
      <c r="C226" s="224">
        <v>0.0</v>
      </c>
      <c r="D226" s="224" t="s">
        <v>330</v>
      </c>
    </row>
    <row r="227">
      <c r="A227" s="222" t="s">
        <v>514</v>
      </c>
      <c r="B227" s="223" t="s">
        <v>515</v>
      </c>
      <c r="C227" s="224">
        <v>0.0</v>
      </c>
      <c r="D227" s="224" t="s">
        <v>330</v>
      </c>
    </row>
    <row r="228">
      <c r="A228" s="222" t="s">
        <v>648</v>
      </c>
      <c r="B228" s="223" t="s">
        <v>150</v>
      </c>
      <c r="C228" s="224" t="s">
        <v>330</v>
      </c>
      <c r="D228" s="224" t="s">
        <v>330</v>
      </c>
    </row>
    <row r="229">
      <c r="A229" s="222" t="s">
        <v>522</v>
      </c>
      <c r="B229" s="223" t="s">
        <v>151</v>
      </c>
      <c r="C229" s="224">
        <v>0.0</v>
      </c>
      <c r="D229" s="224" t="s">
        <v>330</v>
      </c>
    </row>
    <row r="230">
      <c r="A230" s="222" t="s">
        <v>523</v>
      </c>
      <c r="B230" s="223" t="s">
        <v>151</v>
      </c>
      <c r="C230" s="224" t="s">
        <v>330</v>
      </c>
      <c r="D230" s="224" t="s">
        <v>330</v>
      </c>
    </row>
    <row r="231">
      <c r="A231" s="222" t="s">
        <v>649</v>
      </c>
      <c r="B231" s="223" t="s">
        <v>151</v>
      </c>
      <c r="C231" s="224">
        <v>0.0</v>
      </c>
      <c r="D231" s="224" t="s">
        <v>330</v>
      </c>
    </row>
    <row r="232">
      <c r="A232" s="222" t="s">
        <v>524</v>
      </c>
      <c r="B232" s="223" t="s">
        <v>151</v>
      </c>
      <c r="C232" s="224" t="s">
        <v>330</v>
      </c>
      <c r="D232" s="224" t="s">
        <v>330</v>
      </c>
    </row>
    <row r="233">
      <c r="A233" s="222" t="s">
        <v>525</v>
      </c>
      <c r="B233" s="223" t="s">
        <v>151</v>
      </c>
      <c r="C233" s="224" t="s">
        <v>330</v>
      </c>
      <c r="D233" s="224" t="s">
        <v>330</v>
      </c>
    </row>
    <row r="234">
      <c r="A234" s="222" t="s">
        <v>527</v>
      </c>
      <c r="B234" s="223" t="s">
        <v>152</v>
      </c>
      <c r="C234" s="224" t="s">
        <v>330</v>
      </c>
      <c r="D234" s="224" t="s">
        <v>330</v>
      </c>
    </row>
    <row r="235">
      <c r="A235" s="222" t="s">
        <v>650</v>
      </c>
      <c r="B235" s="223" t="s">
        <v>152</v>
      </c>
      <c r="C235" s="224" t="s">
        <v>330</v>
      </c>
      <c r="D235" s="224" t="s">
        <v>330</v>
      </c>
    </row>
    <row r="236">
      <c r="A236" s="222" t="s">
        <v>651</v>
      </c>
      <c r="B236" s="223" t="s">
        <v>530</v>
      </c>
      <c r="C236" s="224">
        <v>0.0</v>
      </c>
      <c r="D236" s="224" t="s">
        <v>330</v>
      </c>
    </row>
    <row r="237">
      <c r="A237" s="222" t="s">
        <v>531</v>
      </c>
      <c r="B237" s="223" t="s">
        <v>530</v>
      </c>
      <c r="C237" s="224">
        <v>0.0</v>
      </c>
      <c r="D237" s="224" t="s">
        <v>330</v>
      </c>
    </row>
    <row r="238">
      <c r="A238" s="222" t="s">
        <v>652</v>
      </c>
      <c r="B238" s="223" t="s">
        <v>153</v>
      </c>
      <c r="C238" s="224" t="s">
        <v>330</v>
      </c>
      <c r="D238" s="224" t="s">
        <v>325</v>
      </c>
    </row>
    <row r="239">
      <c r="A239" s="222" t="s">
        <v>653</v>
      </c>
      <c r="B239" s="223" t="s">
        <v>153</v>
      </c>
      <c r="C239" s="224" t="s">
        <v>330</v>
      </c>
      <c r="D239" s="224" t="s">
        <v>330</v>
      </c>
    </row>
    <row r="240">
      <c r="A240" s="222" t="s">
        <v>532</v>
      </c>
      <c r="B240" s="223" t="s">
        <v>153</v>
      </c>
      <c r="C240" s="224" t="s">
        <v>330</v>
      </c>
      <c r="D240" s="224" t="s">
        <v>330</v>
      </c>
    </row>
    <row r="241">
      <c r="A241" s="222" t="s">
        <v>533</v>
      </c>
      <c r="B241" s="223" t="s">
        <v>153</v>
      </c>
      <c r="C241" s="224" t="s">
        <v>330</v>
      </c>
      <c r="D241" s="224" t="s">
        <v>330</v>
      </c>
    </row>
    <row r="242">
      <c r="A242" s="222" t="s">
        <v>654</v>
      </c>
      <c r="B242" s="223" t="s">
        <v>153</v>
      </c>
      <c r="C242" s="224">
        <v>0.0</v>
      </c>
      <c r="D242" s="224" t="s">
        <v>330</v>
      </c>
    </row>
    <row r="243">
      <c r="A243" s="222" t="s">
        <v>655</v>
      </c>
      <c r="B243" s="223" t="s">
        <v>153</v>
      </c>
      <c r="C243" s="224">
        <v>0.0</v>
      </c>
      <c r="D243" s="224" t="s">
        <v>330</v>
      </c>
    </row>
    <row r="244">
      <c r="A244" s="222" t="s">
        <v>656</v>
      </c>
      <c r="B244" s="223" t="s">
        <v>153</v>
      </c>
      <c r="C244" s="224" t="s">
        <v>330</v>
      </c>
      <c r="D244" s="224" t="s">
        <v>330</v>
      </c>
    </row>
    <row r="245">
      <c r="A245" s="222" t="s">
        <v>535</v>
      </c>
      <c r="B245" s="223" t="s">
        <v>153</v>
      </c>
      <c r="C245" s="224" t="s">
        <v>330</v>
      </c>
      <c r="D245" s="224" t="s">
        <v>330</v>
      </c>
    </row>
    <row r="246">
      <c r="A246" s="222" t="s">
        <v>657</v>
      </c>
      <c r="B246" s="223" t="s">
        <v>153</v>
      </c>
      <c r="C246" s="224">
        <v>0.0</v>
      </c>
      <c r="D246" s="224" t="s">
        <v>330</v>
      </c>
    </row>
    <row r="247">
      <c r="A247" s="222" t="s">
        <v>536</v>
      </c>
      <c r="B247" s="223" t="s">
        <v>153</v>
      </c>
      <c r="C247" s="224" t="s">
        <v>330</v>
      </c>
      <c r="D247" s="224" t="s">
        <v>316</v>
      </c>
    </row>
    <row r="248">
      <c r="A248" s="222" t="s">
        <v>537</v>
      </c>
      <c r="B248" s="223" t="s">
        <v>153</v>
      </c>
      <c r="C248" s="224" t="s">
        <v>330</v>
      </c>
      <c r="D248" s="224" t="s">
        <v>330</v>
      </c>
    </row>
    <row r="249">
      <c r="A249" s="222" t="s">
        <v>658</v>
      </c>
      <c r="B249" s="223" t="s">
        <v>153</v>
      </c>
      <c r="C249" s="224">
        <v>0.0</v>
      </c>
      <c r="D249" s="224" t="s">
        <v>330</v>
      </c>
    </row>
    <row r="250">
      <c r="A250" s="222" t="s">
        <v>659</v>
      </c>
      <c r="B250" s="223" t="s">
        <v>153</v>
      </c>
      <c r="C250" s="224">
        <v>0.0</v>
      </c>
      <c r="D250" s="224" t="s">
        <v>316</v>
      </c>
    </row>
    <row r="251">
      <c r="A251" s="222" t="s">
        <v>660</v>
      </c>
      <c r="B251" s="223" t="s">
        <v>154</v>
      </c>
      <c r="C251" s="224" t="s">
        <v>330</v>
      </c>
      <c r="D251" s="224" t="s">
        <v>330</v>
      </c>
    </row>
    <row r="252">
      <c r="A252" s="222" t="s">
        <v>661</v>
      </c>
      <c r="B252" s="223" t="s">
        <v>154</v>
      </c>
      <c r="C252" s="224" t="s">
        <v>330</v>
      </c>
      <c r="D252" s="224" t="s">
        <v>330</v>
      </c>
    </row>
    <row r="253">
      <c r="A253" s="222" t="s">
        <v>662</v>
      </c>
      <c r="B253" s="223" t="s">
        <v>539</v>
      </c>
      <c r="C253" s="224" t="s">
        <v>330</v>
      </c>
      <c r="D253" s="224" t="s">
        <v>330</v>
      </c>
    </row>
    <row r="254">
      <c r="A254" s="222" t="s">
        <v>663</v>
      </c>
      <c r="B254" s="223" t="s">
        <v>539</v>
      </c>
      <c r="C254" s="224">
        <v>0.0</v>
      </c>
      <c r="D254" s="224" t="s">
        <v>330</v>
      </c>
    </row>
    <row r="255">
      <c r="A255" s="222" t="s">
        <v>664</v>
      </c>
      <c r="B255" s="223" t="s">
        <v>539</v>
      </c>
      <c r="C255" s="224">
        <v>0.0</v>
      </c>
      <c r="D255" s="224" t="s">
        <v>330</v>
      </c>
    </row>
    <row r="256">
      <c r="A256" s="222" t="s">
        <v>665</v>
      </c>
      <c r="B256" s="223" t="s">
        <v>539</v>
      </c>
      <c r="C256" s="224">
        <v>0.0</v>
      </c>
      <c r="D256" s="224" t="s">
        <v>330</v>
      </c>
    </row>
    <row r="257">
      <c r="A257" s="222" t="s">
        <v>551</v>
      </c>
      <c r="B257" s="223" t="s">
        <v>539</v>
      </c>
      <c r="C257" s="224" t="s">
        <v>330</v>
      </c>
      <c r="D257" s="224" t="s">
        <v>330</v>
      </c>
    </row>
    <row r="258">
      <c r="A258" s="222" t="s">
        <v>552</v>
      </c>
      <c r="B258" s="223" t="s">
        <v>539</v>
      </c>
      <c r="C258" s="224">
        <v>0.0</v>
      </c>
      <c r="D258" s="224" t="s">
        <v>330</v>
      </c>
    </row>
    <row r="259">
      <c r="A259" s="222" t="s">
        <v>666</v>
      </c>
      <c r="B259" s="223" t="s">
        <v>539</v>
      </c>
      <c r="C259" s="224">
        <v>0.0</v>
      </c>
      <c r="D259" s="224" t="s">
        <v>330</v>
      </c>
    </row>
    <row r="260">
      <c r="A260" s="222" t="s">
        <v>667</v>
      </c>
      <c r="B260" s="223" t="s">
        <v>155</v>
      </c>
      <c r="C260" s="224">
        <v>0.0</v>
      </c>
      <c r="D260" s="224" t="s">
        <v>330</v>
      </c>
    </row>
    <row r="261">
      <c r="A261" s="222" t="s">
        <v>668</v>
      </c>
      <c r="B261" s="223" t="s">
        <v>155</v>
      </c>
      <c r="C261" s="224" t="s">
        <v>330</v>
      </c>
      <c r="D261" s="224" t="s">
        <v>330</v>
      </c>
    </row>
    <row r="262">
      <c r="A262" s="222" t="s">
        <v>557</v>
      </c>
      <c r="B262" s="223" t="s">
        <v>155</v>
      </c>
      <c r="C262" s="224">
        <v>0.0</v>
      </c>
      <c r="D262" s="224" t="s">
        <v>330</v>
      </c>
    </row>
    <row r="263">
      <c r="A263" s="222" t="s">
        <v>558</v>
      </c>
      <c r="B263" s="223" t="s">
        <v>155</v>
      </c>
      <c r="C263" s="224">
        <v>0.0</v>
      </c>
      <c r="D263" s="224" t="s">
        <v>330</v>
      </c>
    </row>
    <row r="264">
      <c r="A264" s="222" t="s">
        <v>559</v>
      </c>
      <c r="B264" s="223" t="s">
        <v>155</v>
      </c>
      <c r="C264" s="224">
        <v>0.0</v>
      </c>
      <c r="D264" s="224" t="s">
        <v>330</v>
      </c>
    </row>
    <row r="265">
      <c r="A265" s="222" t="s">
        <v>561</v>
      </c>
      <c r="B265" s="223" t="s">
        <v>155</v>
      </c>
      <c r="C265" s="224" t="s">
        <v>330</v>
      </c>
      <c r="D265" s="224" t="s">
        <v>330</v>
      </c>
    </row>
    <row r="266">
      <c r="A266" s="222" t="s">
        <v>562</v>
      </c>
      <c r="B266" s="223" t="s">
        <v>155</v>
      </c>
      <c r="C266" s="224">
        <v>0.0</v>
      </c>
      <c r="D266" s="224" t="s">
        <v>330</v>
      </c>
    </row>
    <row r="267">
      <c r="A267" s="222" t="s">
        <v>564</v>
      </c>
      <c r="B267" s="223" t="s">
        <v>155</v>
      </c>
      <c r="C267" s="224">
        <v>0.0</v>
      </c>
      <c r="D267" s="224" t="s">
        <v>330</v>
      </c>
    </row>
    <row r="268">
      <c r="A268" s="222" t="s">
        <v>565</v>
      </c>
      <c r="B268" s="223" t="s">
        <v>155</v>
      </c>
      <c r="C268" s="224">
        <v>0.0</v>
      </c>
      <c r="D268" s="224" t="s">
        <v>330</v>
      </c>
    </row>
    <row r="269">
      <c r="A269" s="222" t="s">
        <v>669</v>
      </c>
      <c r="B269" s="223" t="s">
        <v>155</v>
      </c>
      <c r="C269" s="224" t="s">
        <v>330</v>
      </c>
      <c r="D269" s="224" t="s">
        <v>330</v>
      </c>
    </row>
    <row r="270">
      <c r="A270" s="222" t="s">
        <v>670</v>
      </c>
      <c r="B270" s="223" t="s">
        <v>155</v>
      </c>
      <c r="C270" s="224">
        <v>0.0</v>
      </c>
      <c r="D270" s="224" t="s">
        <v>330</v>
      </c>
    </row>
    <row r="271">
      <c r="A271" s="222" t="s">
        <v>569</v>
      </c>
      <c r="B271" s="223" t="s">
        <v>155</v>
      </c>
      <c r="C271" s="224">
        <v>0.0</v>
      </c>
      <c r="D271" s="224" t="s">
        <v>330</v>
      </c>
    </row>
    <row r="272">
      <c r="A272" s="222" t="s">
        <v>570</v>
      </c>
      <c r="B272" s="223" t="s">
        <v>155</v>
      </c>
      <c r="C272" s="224" t="s">
        <v>330</v>
      </c>
      <c r="D272" s="224" t="s">
        <v>316</v>
      </c>
    </row>
    <row r="273">
      <c r="A273" s="222" t="s">
        <v>571</v>
      </c>
      <c r="B273" s="223" t="s">
        <v>155</v>
      </c>
      <c r="C273" s="224">
        <v>0.0</v>
      </c>
      <c r="D273" s="224" t="s">
        <v>330</v>
      </c>
    </row>
    <row r="274">
      <c r="A274" s="222" t="s">
        <v>671</v>
      </c>
      <c r="B274" s="223" t="s">
        <v>155</v>
      </c>
      <c r="C274" s="224" t="s">
        <v>330</v>
      </c>
      <c r="D274" s="224" t="s">
        <v>330</v>
      </c>
    </row>
    <row r="275">
      <c r="A275" s="222" t="s">
        <v>572</v>
      </c>
      <c r="B275" s="223" t="s">
        <v>155</v>
      </c>
      <c r="C275" s="224" t="s">
        <v>330</v>
      </c>
      <c r="D275" s="224" t="s">
        <v>316</v>
      </c>
    </row>
    <row r="276">
      <c r="A276" s="222" t="s">
        <v>573</v>
      </c>
      <c r="B276" s="223" t="s">
        <v>155</v>
      </c>
      <c r="C276" s="224">
        <v>0.0</v>
      </c>
      <c r="D276" s="224" t="s">
        <v>330</v>
      </c>
    </row>
    <row r="277">
      <c r="A277" s="222" t="s">
        <v>574</v>
      </c>
      <c r="B277" s="223" t="s">
        <v>155</v>
      </c>
      <c r="C277" s="224">
        <v>0.0</v>
      </c>
      <c r="D277" s="224" t="s">
        <v>330</v>
      </c>
    </row>
    <row r="278">
      <c r="A278" s="222" t="s">
        <v>575</v>
      </c>
      <c r="B278" s="223" t="s">
        <v>155</v>
      </c>
      <c r="C278" s="224" t="s">
        <v>330</v>
      </c>
      <c r="D278" s="224" t="s">
        <v>330</v>
      </c>
    </row>
    <row r="279">
      <c r="A279" s="222" t="s">
        <v>576</v>
      </c>
      <c r="B279" s="223" t="s">
        <v>155</v>
      </c>
      <c r="C279" s="224" t="s">
        <v>330</v>
      </c>
      <c r="D279" s="224" t="s">
        <v>316</v>
      </c>
    </row>
    <row r="280">
      <c r="A280" s="222" t="s">
        <v>672</v>
      </c>
      <c r="B280" s="223" t="s">
        <v>155</v>
      </c>
      <c r="C280" s="224">
        <v>0.0</v>
      </c>
      <c r="D280" s="224" t="s">
        <v>330</v>
      </c>
    </row>
    <row r="281">
      <c r="A281" s="222" t="s">
        <v>579</v>
      </c>
      <c r="B281" s="223" t="s">
        <v>155</v>
      </c>
      <c r="C281" s="224" t="s">
        <v>330</v>
      </c>
      <c r="D281" s="224" t="s">
        <v>330</v>
      </c>
    </row>
    <row r="282">
      <c r="A282" s="222" t="s">
        <v>581</v>
      </c>
      <c r="B282" s="223" t="s">
        <v>155</v>
      </c>
      <c r="C282" s="224" t="s">
        <v>330</v>
      </c>
      <c r="D282" s="224" t="s">
        <v>330</v>
      </c>
    </row>
    <row r="283">
      <c r="A283" s="225" t="s">
        <v>673</v>
      </c>
      <c r="B283" s="223" t="s">
        <v>155</v>
      </c>
      <c r="C283" s="224" t="s">
        <v>330</v>
      </c>
      <c r="D283" s="224" t="s">
        <v>330</v>
      </c>
    </row>
    <row r="284">
      <c r="A284" s="222" t="s">
        <v>584</v>
      </c>
      <c r="B284" s="223" t="s">
        <v>155</v>
      </c>
      <c r="C284" s="224">
        <v>0.0</v>
      </c>
      <c r="D284" s="224" t="s">
        <v>330</v>
      </c>
    </row>
    <row r="285">
      <c r="A285" s="222" t="s">
        <v>585</v>
      </c>
      <c r="B285" s="223" t="s">
        <v>155</v>
      </c>
      <c r="C285" s="224">
        <v>0.0</v>
      </c>
      <c r="D285" s="224" t="s">
        <v>330</v>
      </c>
    </row>
    <row r="286">
      <c r="A286" s="222" t="s">
        <v>674</v>
      </c>
      <c r="B286" s="223" t="s">
        <v>675</v>
      </c>
      <c r="C286" s="224">
        <v>0.0</v>
      </c>
      <c r="D286" s="224" t="s">
        <v>330</v>
      </c>
    </row>
    <row r="287">
      <c r="A287" s="222" t="s">
        <v>676</v>
      </c>
      <c r="B287" s="223" t="s">
        <v>157</v>
      </c>
      <c r="C287" s="224">
        <v>0.0</v>
      </c>
      <c r="D287" s="224" t="s">
        <v>330</v>
      </c>
    </row>
    <row r="288">
      <c r="A288" s="222" t="s">
        <v>677</v>
      </c>
      <c r="B288" s="223" t="s">
        <v>677</v>
      </c>
      <c r="C288" s="224" t="s">
        <v>330</v>
      </c>
      <c r="D288" s="224" t="s">
        <v>330</v>
      </c>
    </row>
    <row r="289">
      <c r="A289" s="222" t="s">
        <v>601</v>
      </c>
      <c r="B289" s="223" t="s">
        <v>158</v>
      </c>
      <c r="C289" s="224">
        <v>0.0</v>
      </c>
      <c r="D289" s="224" t="s">
        <v>330</v>
      </c>
    </row>
    <row r="290">
      <c r="A290" s="222" t="s">
        <v>602</v>
      </c>
      <c r="B290" s="223" t="s">
        <v>158</v>
      </c>
      <c r="C290" s="224">
        <v>0.0</v>
      </c>
      <c r="D290" s="224" t="s">
        <v>330</v>
      </c>
    </row>
    <row r="291">
      <c r="A291" s="222" t="s">
        <v>678</v>
      </c>
      <c r="B291" s="223" t="s">
        <v>679</v>
      </c>
      <c r="C291" s="224">
        <v>0.0</v>
      </c>
      <c r="D291" s="224" t="s">
        <v>330</v>
      </c>
    </row>
    <row r="292">
      <c r="A292" s="222" t="s">
        <v>680</v>
      </c>
      <c r="B292" s="223" t="s">
        <v>162</v>
      </c>
      <c r="C292" s="224">
        <v>0.0</v>
      </c>
      <c r="D292" s="224" t="s">
        <v>330</v>
      </c>
    </row>
    <row r="293">
      <c r="A293" s="222" t="s">
        <v>681</v>
      </c>
      <c r="B293" s="223" t="s">
        <v>162</v>
      </c>
      <c r="C293" s="224">
        <v>0.0</v>
      </c>
      <c r="D293" s="224" t="s">
        <v>330</v>
      </c>
    </row>
    <row r="294">
      <c r="A294" s="222" t="s">
        <v>682</v>
      </c>
      <c r="B294" s="223" t="s">
        <v>162</v>
      </c>
      <c r="C294" s="224" t="s">
        <v>330</v>
      </c>
      <c r="D294" s="224" t="s">
        <v>330</v>
      </c>
    </row>
    <row r="295">
      <c r="A295" s="222" t="s">
        <v>683</v>
      </c>
      <c r="B295" s="223" t="s">
        <v>162</v>
      </c>
      <c r="C295" s="224">
        <v>0.0</v>
      </c>
      <c r="D295" s="224" t="s">
        <v>330</v>
      </c>
    </row>
    <row r="296">
      <c r="A296" s="222" t="s">
        <v>610</v>
      </c>
      <c r="B296" s="223" t="s">
        <v>162</v>
      </c>
      <c r="C296" s="224" t="s">
        <v>330</v>
      </c>
      <c r="D296" s="224" t="s">
        <v>316</v>
      </c>
    </row>
    <row r="297">
      <c r="A297" s="222" t="s">
        <v>684</v>
      </c>
      <c r="B297" s="223" t="s">
        <v>162</v>
      </c>
      <c r="C297" s="224">
        <v>0.0</v>
      </c>
      <c r="D297" s="224" t="s">
        <v>330</v>
      </c>
    </row>
    <row r="298">
      <c r="A298" s="222" t="s">
        <v>611</v>
      </c>
      <c r="B298" s="223" t="s">
        <v>162</v>
      </c>
      <c r="C298" s="224">
        <v>0.0</v>
      </c>
      <c r="D298" s="224" t="s">
        <v>330</v>
      </c>
    </row>
    <row r="299">
      <c r="A299" s="222" t="s">
        <v>685</v>
      </c>
      <c r="B299" s="223" t="s">
        <v>162</v>
      </c>
      <c r="C299" s="224">
        <v>0.0</v>
      </c>
      <c r="D299" s="224" t="s">
        <v>330</v>
      </c>
    </row>
    <row r="300">
      <c r="A300" s="222" t="s">
        <v>686</v>
      </c>
      <c r="B300" s="223" t="s">
        <v>164</v>
      </c>
      <c r="C300" s="224">
        <v>0.0</v>
      </c>
      <c r="D300" s="224" t="s">
        <v>330</v>
      </c>
    </row>
    <row r="301">
      <c r="A301" s="222" t="s">
        <v>617</v>
      </c>
      <c r="B301" s="223" t="s">
        <v>166</v>
      </c>
      <c r="C301" s="224">
        <v>0.0</v>
      </c>
      <c r="D301" s="224" t="s">
        <v>330</v>
      </c>
    </row>
    <row r="302">
      <c r="A302" s="222" t="s">
        <v>619</v>
      </c>
      <c r="B302" s="223" t="s">
        <v>166</v>
      </c>
      <c r="C302" s="224">
        <v>0.0</v>
      </c>
      <c r="D302" s="224" t="s">
        <v>330</v>
      </c>
    </row>
    <row r="303">
      <c r="A303" s="222" t="s">
        <v>620</v>
      </c>
      <c r="B303" s="223" t="s">
        <v>166</v>
      </c>
      <c r="C303" s="224" t="s">
        <v>330</v>
      </c>
      <c r="D303" s="224" t="s">
        <v>330</v>
      </c>
    </row>
    <row r="304">
      <c r="A304" s="222" t="s">
        <v>621</v>
      </c>
      <c r="B304" s="223" t="s">
        <v>166</v>
      </c>
      <c r="C304" s="224">
        <v>0.0</v>
      </c>
      <c r="D304" s="224" t="s">
        <v>330</v>
      </c>
    </row>
    <row r="305">
      <c r="A305" s="222" t="s">
        <v>687</v>
      </c>
      <c r="B305" s="223" t="s">
        <v>166</v>
      </c>
      <c r="C305" s="224" t="s">
        <v>330</v>
      </c>
      <c r="D305" s="224" t="s">
        <v>330</v>
      </c>
    </row>
    <row r="306">
      <c r="A306" s="222" t="s">
        <v>688</v>
      </c>
      <c r="B306" s="223" t="s">
        <v>166</v>
      </c>
      <c r="C306" s="224" t="s">
        <v>330</v>
      </c>
      <c r="D306" s="224" t="s">
        <v>330</v>
      </c>
    </row>
    <row r="307">
      <c r="A307" s="222" t="s">
        <v>622</v>
      </c>
      <c r="B307" s="223" t="s">
        <v>623</v>
      </c>
      <c r="C307" s="224" t="s">
        <v>330</v>
      </c>
      <c r="D307" s="224" t="s">
        <v>330</v>
      </c>
    </row>
    <row r="308">
      <c r="A308" s="230"/>
      <c r="B308" s="227" t="s">
        <v>624</v>
      </c>
      <c r="C308" s="228" t="s">
        <v>381</v>
      </c>
      <c r="D308" s="228" t="s">
        <v>689</v>
      </c>
    </row>
    <row r="309">
      <c r="A309" s="231" t="s">
        <v>690</v>
      </c>
      <c r="B309" s="86"/>
      <c r="C309" s="86"/>
      <c r="D309" s="35"/>
    </row>
  </sheetData>
  <mergeCells count="5">
    <mergeCell ref="A1:D1"/>
    <mergeCell ref="A2:D2"/>
    <mergeCell ref="A4:D4"/>
    <mergeCell ref="A183:D183"/>
    <mergeCell ref="A309:D309"/>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2">
        <f>IFERROR(__xludf.DUMMYFUNCTION("filter( Trends!A1:AO1000, row(Trends!A1:A1000) &gt; counta(Trends!A1:A1000) - 199 )"),43926.0)</f>
        <v>43926</v>
      </c>
      <c r="B1" s="171">
        <f>IFERROR(__xludf.DUMMYFUNCTION("""COMPUTED_VALUE"""),187.0)</f>
        <v>187</v>
      </c>
      <c r="C1" s="171">
        <f>IFERROR(__xludf.DUMMYFUNCTION("""COMPUTED_VALUE"""),146.0)</f>
        <v>146</v>
      </c>
      <c r="D1" s="171">
        <f>IFERROR(__xludf.DUMMYFUNCTION("""COMPUTED_VALUE"""),1115.0)</f>
        <v>1115</v>
      </c>
      <c r="E1" s="171">
        <f>IFERROR(__xludf.DUMMYFUNCTION("""COMPUTED_VALUE"""),1156.0)</f>
        <v>1156</v>
      </c>
      <c r="F1" s="171">
        <f>IFERROR(__xludf.DUMMYFUNCTION("""COMPUTED_VALUE"""),7573.0)</f>
        <v>7573</v>
      </c>
      <c r="G1" s="171">
        <f>IFERROR(__xludf.DUMMYFUNCTION("""COMPUTED_VALUE"""),1343.0)</f>
        <v>1343</v>
      </c>
      <c r="H1" s="171">
        <f>IFERROR(__xludf.DUMMYFUNCTION("""COMPUTED_VALUE"""),8688.0)</f>
        <v>8688</v>
      </c>
      <c r="I1" s="171">
        <f>IFERROR(__xludf.DUMMYFUNCTION("""COMPUTED_VALUE"""),181.0)</f>
        <v>181</v>
      </c>
      <c r="J1" s="171">
        <f>IFERROR(__xludf.DUMMYFUNCTION("""COMPUTED_VALUE"""),140.0)</f>
        <v>140</v>
      </c>
      <c r="K1" s="171">
        <f>IFERROR(__xludf.DUMMYFUNCTION("""COMPUTED_VALUE"""),1149.0)</f>
        <v>1149</v>
      </c>
      <c r="L1" s="171">
        <f>IFERROR(__xludf.DUMMYFUNCTION("""COMPUTED_VALUE"""),1057.0)</f>
        <v>1057</v>
      </c>
      <c r="M1" s="171">
        <f>IFERROR(__xludf.DUMMYFUNCTION("""COMPUTED_VALUE"""),6964.0)</f>
        <v>6964</v>
      </c>
      <c r="N1" s="171">
        <f>IFERROR(__xludf.DUMMYFUNCTION("""COMPUTED_VALUE"""),8113.0)</f>
        <v>8113</v>
      </c>
      <c r="O1" s="171">
        <f>IFERROR(__xludf.DUMMYFUNCTION("""COMPUTED_VALUE"""),20.0)</f>
        <v>20</v>
      </c>
      <c r="P1" s="171">
        <f>IFERROR(__xludf.DUMMYFUNCTION("""COMPUTED_VALUE"""),236.0)</f>
        <v>236</v>
      </c>
      <c r="Q1" s="171">
        <f>IFERROR(__xludf.DUMMYFUNCTION("""COMPUTED_VALUE"""),9.0)</f>
        <v>9</v>
      </c>
      <c r="R1" s="171">
        <f>IFERROR(__xludf.DUMMYFUNCTION("""COMPUTED_VALUE"""),64.0)</f>
        <v>64</v>
      </c>
      <c r="S1" s="171">
        <f>IFERROR(__xludf.DUMMYFUNCTION("""COMPUTED_VALUE"""),1.0)</f>
        <v>1</v>
      </c>
      <c r="T1" s="171">
        <f>IFERROR(__xludf.DUMMYFUNCTION("""COMPUTED_VALUE"""),13.0)</f>
        <v>13</v>
      </c>
      <c r="U1" s="171">
        <f>IFERROR(__xludf.DUMMYFUNCTION("""COMPUTED_VALUE"""),159.0)</f>
        <v>159</v>
      </c>
      <c r="V1" s="171">
        <f>IFERROR(__xludf.DUMMYFUNCTION("""COMPUTED_VALUE"""),148.0)</f>
        <v>148</v>
      </c>
      <c r="W1" s="171">
        <f>IFERROR(__xludf.DUMMYFUNCTION("""COMPUTED_VALUE"""),44.0)</f>
        <v>44</v>
      </c>
      <c r="X1" s="171">
        <f>IFERROR(__xludf.DUMMYFUNCTION("""COMPUTED_VALUE"""),36.0)</f>
        <v>36</v>
      </c>
      <c r="Y1" s="171">
        <f>IFERROR(__xludf.DUMMYFUNCTION("""COMPUTED_VALUE"""),2.0)</f>
        <v>2</v>
      </c>
      <c r="Z1" s="171">
        <f>IFERROR(__xludf.DUMMYFUNCTION("""COMPUTED_VALUE"""),30.0)</f>
        <v>30</v>
      </c>
    </row>
    <row r="2">
      <c r="A2" s="232">
        <f>IFERROR(__xludf.DUMMYFUNCTION("""COMPUTED_VALUE"""),43927.0)</f>
        <v>43927</v>
      </c>
      <c r="B2" s="171">
        <f>IFERROR(__xludf.DUMMYFUNCTION("""COMPUTED_VALUE"""),218.0)</f>
        <v>218</v>
      </c>
      <c r="C2" s="171">
        <f>IFERROR(__xludf.DUMMYFUNCTION("""COMPUTED_VALUE"""),183.0)</f>
        <v>183</v>
      </c>
      <c r="D2" s="171">
        <f>IFERROR(__xludf.DUMMYFUNCTION("""COMPUTED_VALUE"""),1333.0)</f>
        <v>1333</v>
      </c>
      <c r="E2" s="171">
        <f>IFERROR(__xludf.DUMMYFUNCTION("""COMPUTED_VALUE"""),1706.0)</f>
        <v>1706</v>
      </c>
      <c r="F2" s="171">
        <f>IFERROR(__xludf.DUMMYFUNCTION("""COMPUTED_VALUE"""),9279.0)</f>
        <v>9279</v>
      </c>
      <c r="G2" s="171">
        <f>IFERROR(__xludf.DUMMYFUNCTION("""COMPUTED_VALUE"""),1924.0)</f>
        <v>1924</v>
      </c>
      <c r="H2" s="171">
        <f>IFERROR(__xludf.DUMMYFUNCTION("""COMPUTED_VALUE"""),10612.0)</f>
        <v>10612</v>
      </c>
      <c r="I2" s="171">
        <f>IFERROR(__xludf.DUMMYFUNCTION("""COMPUTED_VALUE"""),207.0)</f>
        <v>207</v>
      </c>
      <c r="J2" s="171">
        <f>IFERROR(__xludf.DUMMYFUNCTION("""COMPUTED_VALUE"""),175.0)</f>
        <v>175</v>
      </c>
      <c r="K2" s="171">
        <f>IFERROR(__xludf.DUMMYFUNCTION("""COMPUTED_VALUE"""),1356.0)</f>
        <v>1356</v>
      </c>
      <c r="L2" s="171">
        <f>IFERROR(__xludf.DUMMYFUNCTION("""COMPUTED_VALUE"""),1544.0)</f>
        <v>1544</v>
      </c>
      <c r="M2" s="171">
        <f>IFERROR(__xludf.DUMMYFUNCTION("""COMPUTED_VALUE"""),8508.0)</f>
        <v>8508</v>
      </c>
      <c r="N2" s="171">
        <f>IFERROR(__xludf.DUMMYFUNCTION("""COMPUTED_VALUE"""),9864.0)</f>
        <v>9864</v>
      </c>
      <c r="O2" s="171">
        <f>IFERROR(__xludf.DUMMYFUNCTION("""COMPUTED_VALUE"""),26.0)</f>
        <v>26</v>
      </c>
      <c r="P2" s="171">
        <f>IFERROR(__xludf.DUMMYFUNCTION("""COMPUTED_VALUE"""),262.0)</f>
        <v>262</v>
      </c>
      <c r="Q2" s="171">
        <f>IFERROR(__xludf.DUMMYFUNCTION("""COMPUTED_VALUE"""),7.0)</f>
        <v>7</v>
      </c>
      <c r="R2" s="171">
        <f>IFERROR(__xludf.DUMMYFUNCTION("""COMPUTED_VALUE"""),71.0)</f>
        <v>71</v>
      </c>
      <c r="S2" s="171">
        <f>IFERROR(__xludf.DUMMYFUNCTION("""COMPUTED_VALUE"""),0.0)</f>
        <v>0</v>
      </c>
      <c r="T2" s="171">
        <f>IFERROR(__xludf.DUMMYFUNCTION("""COMPUTED_VALUE"""),13.0)</f>
        <v>13</v>
      </c>
      <c r="U2" s="171">
        <f>IFERROR(__xludf.DUMMYFUNCTION("""COMPUTED_VALUE"""),178.0)</f>
        <v>178</v>
      </c>
      <c r="V2" s="171">
        <f>IFERROR(__xludf.DUMMYFUNCTION("""COMPUTED_VALUE"""),162.0)</f>
        <v>162</v>
      </c>
      <c r="W2" s="171">
        <f>IFERROR(__xludf.DUMMYFUNCTION("""COMPUTED_VALUE"""),48.0)</f>
        <v>48</v>
      </c>
      <c r="X2" s="171">
        <f>IFERROR(__xludf.DUMMYFUNCTION("""COMPUTED_VALUE"""),40.0)</f>
        <v>40</v>
      </c>
      <c r="Y2" s="171">
        <f>IFERROR(__xludf.DUMMYFUNCTION("""COMPUTED_VALUE"""),7.0)</f>
        <v>7</v>
      </c>
      <c r="Z2" s="171">
        <f>IFERROR(__xludf.DUMMYFUNCTION("""COMPUTED_VALUE"""),37.0)</f>
        <v>37</v>
      </c>
    </row>
    <row r="3">
      <c r="A3" s="232">
        <f>IFERROR(__xludf.DUMMYFUNCTION("""COMPUTED_VALUE"""),43928.0)</f>
        <v>43928</v>
      </c>
      <c r="B3" s="171">
        <f>IFERROR(__xludf.DUMMYFUNCTION("""COMPUTED_VALUE"""),284.0)</f>
        <v>284</v>
      </c>
      <c r="C3" s="171">
        <f>IFERROR(__xludf.DUMMYFUNCTION("""COMPUTED_VALUE"""),230.0)</f>
        <v>230</v>
      </c>
      <c r="D3" s="171">
        <f>IFERROR(__xludf.DUMMYFUNCTION("""COMPUTED_VALUE"""),1617.0)</f>
        <v>1617</v>
      </c>
      <c r="E3" s="171">
        <f>IFERROR(__xludf.DUMMYFUNCTION("""COMPUTED_VALUE"""),1629.0)</f>
        <v>1629</v>
      </c>
      <c r="F3" s="171">
        <f>IFERROR(__xludf.DUMMYFUNCTION("""COMPUTED_VALUE"""),10908.0)</f>
        <v>10908</v>
      </c>
      <c r="G3" s="171">
        <f>IFERROR(__xludf.DUMMYFUNCTION("""COMPUTED_VALUE"""),1913.0)</f>
        <v>1913</v>
      </c>
      <c r="H3" s="171">
        <f>IFERROR(__xludf.DUMMYFUNCTION("""COMPUTED_VALUE"""),12525.0)</f>
        <v>12525</v>
      </c>
      <c r="I3" s="171">
        <f>IFERROR(__xludf.DUMMYFUNCTION("""COMPUTED_VALUE"""),261.0)</f>
        <v>261</v>
      </c>
      <c r="J3" s="171">
        <f>IFERROR(__xludf.DUMMYFUNCTION("""COMPUTED_VALUE"""),216.0)</f>
        <v>216</v>
      </c>
      <c r="K3" s="171">
        <f>IFERROR(__xludf.DUMMYFUNCTION("""COMPUTED_VALUE"""),1617.0)</f>
        <v>1617</v>
      </c>
      <c r="L3" s="171">
        <f>IFERROR(__xludf.DUMMYFUNCTION("""COMPUTED_VALUE"""),1471.0)</f>
        <v>1471</v>
      </c>
      <c r="M3" s="171">
        <f>IFERROR(__xludf.DUMMYFUNCTION("""COMPUTED_VALUE"""),9979.0)</f>
        <v>9979</v>
      </c>
      <c r="N3" s="171">
        <f>IFERROR(__xludf.DUMMYFUNCTION("""COMPUTED_VALUE"""),11596.0)</f>
        <v>11596</v>
      </c>
      <c r="O3" s="171">
        <f>IFERROR(__xludf.DUMMYFUNCTION("""COMPUTED_VALUE"""),20.0)</f>
        <v>20</v>
      </c>
      <c r="P3" s="171">
        <f>IFERROR(__xludf.DUMMYFUNCTION("""COMPUTED_VALUE"""),282.0)</f>
        <v>282</v>
      </c>
      <c r="Q3" s="171">
        <f>IFERROR(__xludf.DUMMYFUNCTION("""COMPUTED_VALUE"""),5.0)</f>
        <v>5</v>
      </c>
      <c r="R3" s="171">
        <f>IFERROR(__xludf.DUMMYFUNCTION("""COMPUTED_VALUE"""),76.0)</f>
        <v>76</v>
      </c>
      <c r="S3" s="171">
        <f>IFERROR(__xludf.DUMMYFUNCTION("""COMPUTED_VALUE"""),2.0)</f>
        <v>2</v>
      </c>
      <c r="T3" s="171">
        <f>IFERROR(__xludf.DUMMYFUNCTION("""COMPUTED_VALUE"""),15.0)</f>
        <v>15</v>
      </c>
      <c r="U3" s="171">
        <f>IFERROR(__xludf.DUMMYFUNCTION("""COMPUTED_VALUE"""),191.0)</f>
        <v>191</v>
      </c>
      <c r="V3" s="171">
        <f>IFERROR(__xludf.DUMMYFUNCTION("""COMPUTED_VALUE"""),176.0)</f>
        <v>176</v>
      </c>
      <c r="W3" s="171">
        <f>IFERROR(__xludf.DUMMYFUNCTION("""COMPUTED_VALUE"""),50.0)</f>
        <v>50</v>
      </c>
      <c r="X3" s="171">
        <f>IFERROR(__xludf.DUMMYFUNCTION("""COMPUTED_VALUE"""),42.0)</f>
        <v>42</v>
      </c>
      <c r="Y3" s="171">
        <f>IFERROR(__xludf.DUMMYFUNCTION("""COMPUTED_VALUE"""),5.0)</f>
        <v>5</v>
      </c>
      <c r="Z3" s="171">
        <f>IFERROR(__xludf.DUMMYFUNCTION("""COMPUTED_VALUE"""),42.0)</f>
        <v>42</v>
      </c>
    </row>
    <row r="4">
      <c r="A4" s="232">
        <f>IFERROR(__xludf.DUMMYFUNCTION("""COMPUTED_VALUE"""),43929.0)</f>
        <v>43929</v>
      </c>
      <c r="B4" s="171">
        <f>IFERROR(__xludf.DUMMYFUNCTION("""COMPUTED_VALUE"""),290.0)</f>
        <v>290</v>
      </c>
      <c r="C4" s="171">
        <f>IFERROR(__xludf.DUMMYFUNCTION("""COMPUTED_VALUE"""),264.0)</f>
        <v>264</v>
      </c>
      <c r="D4" s="171">
        <f>IFERROR(__xludf.DUMMYFUNCTION("""COMPUTED_VALUE"""),1907.0)</f>
        <v>1907</v>
      </c>
      <c r="E4" s="171">
        <f>IFERROR(__xludf.DUMMYFUNCTION("""COMPUTED_VALUE"""),1720.0)</f>
        <v>1720</v>
      </c>
      <c r="F4" s="171">
        <f>IFERROR(__xludf.DUMMYFUNCTION("""COMPUTED_VALUE"""),12628.0)</f>
        <v>12628</v>
      </c>
      <c r="G4" s="171">
        <f>IFERROR(__xludf.DUMMYFUNCTION("""COMPUTED_VALUE"""),2010.0)</f>
        <v>2010</v>
      </c>
      <c r="H4" s="171">
        <f>IFERROR(__xludf.DUMMYFUNCTION("""COMPUTED_VALUE"""),14535.0)</f>
        <v>14535</v>
      </c>
      <c r="I4" s="171">
        <f>IFERROR(__xludf.DUMMYFUNCTION("""COMPUTED_VALUE"""),271.0)</f>
        <v>271</v>
      </c>
      <c r="J4" s="171">
        <f>IFERROR(__xludf.DUMMYFUNCTION("""COMPUTED_VALUE"""),246.0)</f>
        <v>246</v>
      </c>
      <c r="K4" s="171">
        <f>IFERROR(__xludf.DUMMYFUNCTION("""COMPUTED_VALUE"""),1888.0)</f>
        <v>1888</v>
      </c>
      <c r="L4" s="171">
        <f>IFERROR(__xludf.DUMMYFUNCTION("""COMPUTED_VALUE"""),1547.0)</f>
        <v>1547</v>
      </c>
      <c r="M4" s="171">
        <f>IFERROR(__xludf.DUMMYFUNCTION("""COMPUTED_VALUE"""),11526.0)</f>
        <v>11526</v>
      </c>
      <c r="N4" s="171">
        <f>IFERROR(__xludf.DUMMYFUNCTION("""COMPUTED_VALUE"""),13414.0)</f>
        <v>13414</v>
      </c>
      <c r="O4" s="171">
        <f>IFERROR(__xludf.DUMMYFUNCTION("""COMPUTED_VALUE"""),19.0)</f>
        <v>19</v>
      </c>
      <c r="P4" s="171">
        <f>IFERROR(__xludf.DUMMYFUNCTION("""COMPUTED_VALUE"""),301.0)</f>
        <v>301</v>
      </c>
      <c r="Q4" s="171">
        <f>IFERROR(__xludf.DUMMYFUNCTION("""COMPUTED_VALUE"""),7.0)</f>
        <v>7</v>
      </c>
      <c r="R4" s="171">
        <f>IFERROR(__xludf.DUMMYFUNCTION("""COMPUTED_VALUE"""),83.0)</f>
        <v>83</v>
      </c>
      <c r="S4" s="171">
        <f>IFERROR(__xludf.DUMMYFUNCTION("""COMPUTED_VALUE"""),6.0)</f>
        <v>6</v>
      </c>
      <c r="T4" s="171">
        <f>IFERROR(__xludf.DUMMYFUNCTION("""COMPUTED_VALUE"""),21.0)</f>
        <v>21</v>
      </c>
      <c r="U4" s="171">
        <f>IFERROR(__xludf.DUMMYFUNCTION("""COMPUTED_VALUE"""),197.0)</f>
        <v>197</v>
      </c>
      <c r="V4" s="171">
        <f>IFERROR(__xludf.DUMMYFUNCTION("""COMPUTED_VALUE"""),189.0)</f>
        <v>189</v>
      </c>
      <c r="W4" s="171">
        <f>IFERROR(__xludf.DUMMYFUNCTION("""COMPUTED_VALUE"""),50.0)</f>
        <v>50</v>
      </c>
      <c r="X4" s="171">
        <f>IFERROR(__xludf.DUMMYFUNCTION("""COMPUTED_VALUE"""),38.0)</f>
        <v>38</v>
      </c>
      <c r="Y4" s="171">
        <f>IFERROR(__xludf.DUMMYFUNCTION("""COMPUTED_VALUE"""),10.0)</f>
        <v>10</v>
      </c>
      <c r="Z4" s="171">
        <f>IFERROR(__xludf.DUMMYFUNCTION("""COMPUTED_VALUE"""),52.0)</f>
        <v>52</v>
      </c>
    </row>
    <row r="5">
      <c r="A5" s="232">
        <f>IFERROR(__xludf.DUMMYFUNCTION("""COMPUTED_VALUE"""),43930.0)</f>
        <v>43930</v>
      </c>
      <c r="B5" s="171">
        <f>IFERROR(__xludf.DUMMYFUNCTION("""COMPUTED_VALUE"""),283.0)</f>
        <v>283</v>
      </c>
      <c r="C5" s="171">
        <f>IFERROR(__xludf.DUMMYFUNCTION("""COMPUTED_VALUE"""),286.0)</f>
        <v>286</v>
      </c>
      <c r="D5" s="171">
        <f>IFERROR(__xludf.DUMMYFUNCTION("""COMPUTED_VALUE"""),2190.0)</f>
        <v>2190</v>
      </c>
      <c r="E5" s="171">
        <f>IFERROR(__xludf.DUMMYFUNCTION("""COMPUTED_VALUE"""),1516.0)</f>
        <v>1516</v>
      </c>
      <c r="F5" s="171">
        <f>IFERROR(__xludf.DUMMYFUNCTION("""COMPUTED_VALUE"""),14144.0)</f>
        <v>14144</v>
      </c>
      <c r="G5" s="171">
        <f>IFERROR(__xludf.DUMMYFUNCTION("""COMPUTED_VALUE"""),1799.0)</f>
        <v>1799</v>
      </c>
      <c r="H5" s="171">
        <f>IFERROR(__xludf.DUMMYFUNCTION("""COMPUTED_VALUE"""),16334.0)</f>
        <v>16334</v>
      </c>
      <c r="I5" s="171">
        <f>IFERROR(__xludf.DUMMYFUNCTION("""COMPUTED_VALUE"""),277.0)</f>
        <v>277</v>
      </c>
      <c r="J5" s="171">
        <f>IFERROR(__xludf.DUMMYFUNCTION("""COMPUTED_VALUE"""),270.0)</f>
        <v>270</v>
      </c>
      <c r="K5" s="171">
        <f>IFERROR(__xludf.DUMMYFUNCTION("""COMPUTED_VALUE"""),2165.0)</f>
        <v>2165</v>
      </c>
      <c r="L5" s="171">
        <f>IFERROR(__xludf.DUMMYFUNCTION("""COMPUTED_VALUE"""),1349.0)</f>
        <v>1349</v>
      </c>
      <c r="M5" s="171">
        <f>IFERROR(__xludf.DUMMYFUNCTION("""COMPUTED_VALUE"""),12875.0)</f>
        <v>12875</v>
      </c>
      <c r="N5" s="171">
        <f>IFERROR(__xludf.DUMMYFUNCTION("""COMPUTED_VALUE"""),15040.0)</f>
        <v>15040</v>
      </c>
      <c r="O5" s="171">
        <f>IFERROR(__xludf.DUMMYFUNCTION("""COMPUTED_VALUE"""),32.0)</f>
        <v>32</v>
      </c>
      <c r="P5" s="171">
        <f>IFERROR(__xludf.DUMMYFUNCTION("""COMPUTED_VALUE"""),333.0)</f>
        <v>333</v>
      </c>
      <c r="Q5" s="171">
        <f>IFERROR(__xludf.DUMMYFUNCTION("""COMPUTED_VALUE"""),9.0)</f>
        <v>9</v>
      </c>
      <c r="R5" s="171">
        <f>IFERROR(__xludf.DUMMYFUNCTION("""COMPUTED_VALUE"""),92.0)</f>
        <v>92</v>
      </c>
      <c r="S5" s="171">
        <f>IFERROR(__xludf.DUMMYFUNCTION("""COMPUTED_VALUE"""),4.0)</f>
        <v>4</v>
      </c>
      <c r="T5" s="171">
        <f>IFERROR(__xludf.DUMMYFUNCTION("""COMPUTED_VALUE"""),25.0)</f>
        <v>25</v>
      </c>
      <c r="U5" s="171">
        <f>IFERROR(__xludf.DUMMYFUNCTION("""COMPUTED_VALUE"""),216.0)</f>
        <v>216</v>
      </c>
      <c r="V5" s="171">
        <f>IFERROR(__xludf.DUMMYFUNCTION("""COMPUTED_VALUE"""),201.0)</f>
        <v>201</v>
      </c>
      <c r="W5" s="171">
        <f>IFERROR(__xludf.DUMMYFUNCTION("""COMPUTED_VALUE"""),53.0)</f>
        <v>53</v>
      </c>
      <c r="X5" s="171">
        <f>IFERROR(__xludf.DUMMYFUNCTION("""COMPUTED_VALUE"""),40.0)</f>
        <v>40</v>
      </c>
      <c r="Y5" s="171">
        <f>IFERROR(__xludf.DUMMYFUNCTION("""COMPUTED_VALUE"""),7.0)</f>
        <v>7</v>
      </c>
      <c r="Z5" s="171">
        <f>IFERROR(__xludf.DUMMYFUNCTION("""COMPUTED_VALUE"""),59.0)</f>
        <v>59</v>
      </c>
    </row>
    <row r="6">
      <c r="A6" s="232">
        <f>IFERROR(__xludf.DUMMYFUNCTION("""COMPUTED_VALUE"""),43931.0)</f>
        <v>43931</v>
      </c>
      <c r="B6" s="171">
        <f>IFERROR(__xludf.DUMMYFUNCTION("""COMPUTED_VALUE"""),419.0)</f>
        <v>419</v>
      </c>
      <c r="C6" s="171">
        <f>IFERROR(__xludf.DUMMYFUNCTION("""COMPUTED_VALUE"""),331.0)</f>
        <v>331</v>
      </c>
      <c r="D6" s="171">
        <f>IFERROR(__xludf.DUMMYFUNCTION("""COMPUTED_VALUE"""),2609.0)</f>
        <v>2609</v>
      </c>
      <c r="E6" s="171">
        <f>IFERROR(__xludf.DUMMYFUNCTION("""COMPUTED_VALUE"""),2574.0)</f>
        <v>2574</v>
      </c>
      <c r="F6" s="171">
        <f>IFERROR(__xludf.DUMMYFUNCTION("""COMPUTED_VALUE"""),16718.0)</f>
        <v>16718</v>
      </c>
      <c r="G6" s="171">
        <f>IFERROR(__xludf.DUMMYFUNCTION("""COMPUTED_VALUE"""),2993.0)</f>
        <v>2993</v>
      </c>
      <c r="H6" s="171">
        <f>IFERROR(__xludf.DUMMYFUNCTION("""COMPUTED_VALUE"""),19327.0)</f>
        <v>19327</v>
      </c>
      <c r="I6" s="171">
        <f>IFERROR(__xludf.DUMMYFUNCTION("""COMPUTED_VALUE"""),401.0)</f>
        <v>401</v>
      </c>
      <c r="J6" s="171">
        <f>IFERROR(__xludf.DUMMYFUNCTION("""COMPUTED_VALUE"""),316.0)</f>
        <v>316</v>
      </c>
      <c r="K6" s="171">
        <f>IFERROR(__xludf.DUMMYFUNCTION("""COMPUTED_VALUE"""),2566.0)</f>
        <v>2566</v>
      </c>
      <c r="L6" s="171">
        <f>IFERROR(__xludf.DUMMYFUNCTION("""COMPUTED_VALUE"""),2358.0)</f>
        <v>2358</v>
      </c>
      <c r="M6" s="171">
        <f>IFERROR(__xludf.DUMMYFUNCTION("""COMPUTED_VALUE"""),15233.0)</f>
        <v>15233</v>
      </c>
      <c r="N6" s="171">
        <f>IFERROR(__xludf.DUMMYFUNCTION("""COMPUTED_VALUE"""),17799.0)</f>
        <v>17799</v>
      </c>
      <c r="O6" s="171">
        <f>IFERROR(__xludf.DUMMYFUNCTION("""COMPUTED_VALUE"""),29.0)</f>
        <v>29</v>
      </c>
      <c r="P6" s="171">
        <f>IFERROR(__xludf.DUMMYFUNCTION("""COMPUTED_VALUE"""),362.0)</f>
        <v>362</v>
      </c>
      <c r="Q6" s="171">
        <f>IFERROR(__xludf.DUMMYFUNCTION("""COMPUTED_VALUE"""),16.0)</f>
        <v>16</v>
      </c>
      <c r="R6" s="171">
        <f>IFERROR(__xludf.DUMMYFUNCTION("""COMPUTED_VALUE"""),108.0)</f>
        <v>108</v>
      </c>
      <c r="S6" s="171">
        <f>IFERROR(__xludf.DUMMYFUNCTION("""COMPUTED_VALUE"""),5.0)</f>
        <v>5</v>
      </c>
      <c r="T6" s="171">
        <f>IFERROR(__xludf.DUMMYFUNCTION("""COMPUTED_VALUE"""),30.0)</f>
        <v>30</v>
      </c>
      <c r="U6" s="171">
        <f>IFERROR(__xludf.DUMMYFUNCTION("""COMPUTED_VALUE"""),224.0)</f>
        <v>224</v>
      </c>
      <c r="V6" s="171">
        <f>IFERROR(__xludf.DUMMYFUNCTION("""COMPUTED_VALUE"""),212.0)</f>
        <v>212</v>
      </c>
      <c r="W6" s="171">
        <f>IFERROR(__xludf.DUMMYFUNCTION("""COMPUTED_VALUE"""),59.0)</f>
        <v>59</v>
      </c>
      <c r="X6" s="171">
        <f>IFERROR(__xludf.DUMMYFUNCTION("""COMPUTED_VALUE"""),41.0)</f>
        <v>41</v>
      </c>
      <c r="Y6" s="171">
        <f>IFERROR(__xludf.DUMMYFUNCTION("""COMPUTED_VALUE"""),11.0)</f>
        <v>11</v>
      </c>
      <c r="Z6" s="171">
        <f>IFERROR(__xludf.DUMMYFUNCTION("""COMPUTED_VALUE"""),70.0)</f>
        <v>70</v>
      </c>
    </row>
    <row r="7">
      <c r="A7" s="232">
        <f>IFERROR(__xludf.DUMMYFUNCTION("""COMPUTED_VALUE"""),43932.0)</f>
        <v>43932</v>
      </c>
      <c r="B7" s="171">
        <f>IFERROR(__xludf.DUMMYFUNCTION("""COMPUTED_VALUE"""),297.0)</f>
        <v>297</v>
      </c>
      <c r="C7" s="171">
        <f>IFERROR(__xludf.DUMMYFUNCTION("""COMPUTED_VALUE"""),333.0)</f>
        <v>333</v>
      </c>
      <c r="D7" s="171">
        <f>IFERROR(__xludf.DUMMYFUNCTION("""COMPUTED_VALUE"""),2906.0)</f>
        <v>2906</v>
      </c>
      <c r="E7" s="171">
        <f>IFERROR(__xludf.DUMMYFUNCTION("""COMPUTED_VALUE"""),1905.0)</f>
        <v>1905</v>
      </c>
      <c r="F7" s="171">
        <f>IFERROR(__xludf.DUMMYFUNCTION("""COMPUTED_VALUE"""),18623.0)</f>
        <v>18623</v>
      </c>
      <c r="G7" s="171">
        <f>IFERROR(__xludf.DUMMYFUNCTION("""COMPUTED_VALUE"""),2202.0)</f>
        <v>2202</v>
      </c>
      <c r="H7" s="171">
        <f>IFERROR(__xludf.DUMMYFUNCTION("""COMPUTED_VALUE"""),21529.0)</f>
        <v>21529</v>
      </c>
      <c r="I7" s="171">
        <f>IFERROR(__xludf.DUMMYFUNCTION("""COMPUTED_VALUE"""),281.0)</f>
        <v>281</v>
      </c>
      <c r="J7" s="171">
        <f>IFERROR(__xludf.DUMMYFUNCTION("""COMPUTED_VALUE"""),320.0)</f>
        <v>320</v>
      </c>
      <c r="K7" s="171">
        <f>IFERROR(__xludf.DUMMYFUNCTION("""COMPUTED_VALUE"""),2847.0)</f>
        <v>2847</v>
      </c>
      <c r="L7" s="171">
        <f>IFERROR(__xludf.DUMMYFUNCTION("""COMPUTED_VALUE"""),1712.0)</f>
        <v>1712</v>
      </c>
      <c r="M7" s="171">
        <f>IFERROR(__xludf.DUMMYFUNCTION("""COMPUTED_VALUE"""),16945.0)</f>
        <v>16945</v>
      </c>
      <c r="N7" s="171">
        <f>IFERROR(__xludf.DUMMYFUNCTION("""COMPUTED_VALUE"""),19792.0)</f>
        <v>19792</v>
      </c>
      <c r="O7" s="171">
        <f>IFERROR(__xludf.DUMMYFUNCTION("""COMPUTED_VALUE"""),29.0)</f>
        <v>29</v>
      </c>
      <c r="P7" s="171">
        <f>IFERROR(__xludf.DUMMYFUNCTION("""COMPUTED_VALUE"""),391.0)</f>
        <v>391</v>
      </c>
      <c r="Q7" s="171">
        <f>IFERROR(__xludf.DUMMYFUNCTION("""COMPUTED_VALUE"""),11.0)</f>
        <v>11</v>
      </c>
      <c r="R7" s="171">
        <f>IFERROR(__xludf.DUMMYFUNCTION("""COMPUTED_VALUE"""),119.0)</f>
        <v>119</v>
      </c>
      <c r="S7" s="171">
        <f>IFERROR(__xludf.DUMMYFUNCTION("""COMPUTED_VALUE"""),2.0)</f>
        <v>2</v>
      </c>
      <c r="T7" s="171">
        <f>IFERROR(__xludf.DUMMYFUNCTION("""COMPUTED_VALUE"""),32.0)</f>
        <v>32</v>
      </c>
      <c r="U7" s="171">
        <f>IFERROR(__xludf.DUMMYFUNCTION("""COMPUTED_VALUE"""),240.0)</f>
        <v>240</v>
      </c>
      <c r="V7" s="171">
        <f>IFERROR(__xludf.DUMMYFUNCTION("""COMPUTED_VALUE"""),227.0)</f>
        <v>227</v>
      </c>
      <c r="W7" s="171">
        <f>IFERROR(__xludf.DUMMYFUNCTION("""COMPUTED_VALUE"""),61.0)</f>
        <v>61</v>
      </c>
      <c r="X7" s="171">
        <f>IFERROR(__xludf.DUMMYFUNCTION("""COMPUTED_VALUE"""),48.0)</f>
        <v>48</v>
      </c>
      <c r="Y7" s="171">
        <f>IFERROR(__xludf.DUMMYFUNCTION("""COMPUTED_VALUE"""),12.0)</f>
        <v>12</v>
      </c>
      <c r="Z7" s="171">
        <f>IFERROR(__xludf.DUMMYFUNCTION("""COMPUTED_VALUE"""),82.0)</f>
        <v>82</v>
      </c>
    </row>
    <row r="8">
      <c r="A8" s="232">
        <f>IFERROR(__xludf.DUMMYFUNCTION("""COMPUTED_VALUE"""),43933.0)</f>
        <v>43933</v>
      </c>
      <c r="B8" s="171">
        <f>IFERROR(__xludf.DUMMYFUNCTION("""COMPUTED_VALUE"""),314.0)</f>
        <v>314</v>
      </c>
      <c r="C8" s="171">
        <f>IFERROR(__xludf.DUMMYFUNCTION("""COMPUTED_VALUE"""),343.0)</f>
        <v>343</v>
      </c>
      <c r="D8" s="171">
        <f>IFERROR(__xludf.DUMMYFUNCTION("""COMPUTED_VALUE"""),3220.0)</f>
        <v>3220</v>
      </c>
      <c r="E8" s="171">
        <f>IFERROR(__xludf.DUMMYFUNCTION("""COMPUTED_VALUE"""),1670.0)</f>
        <v>1670</v>
      </c>
      <c r="F8" s="171">
        <f>IFERROR(__xludf.DUMMYFUNCTION("""COMPUTED_VALUE"""),20293.0)</f>
        <v>20293</v>
      </c>
      <c r="G8" s="171">
        <f>IFERROR(__xludf.DUMMYFUNCTION("""COMPUTED_VALUE"""),1984.0)</f>
        <v>1984</v>
      </c>
      <c r="H8" s="171">
        <f>IFERROR(__xludf.DUMMYFUNCTION("""COMPUTED_VALUE"""),23513.0)</f>
        <v>23513</v>
      </c>
      <c r="I8" s="171">
        <f>IFERROR(__xludf.DUMMYFUNCTION("""COMPUTED_VALUE"""),284.0)</f>
        <v>284</v>
      </c>
      <c r="J8" s="171">
        <f>IFERROR(__xludf.DUMMYFUNCTION("""COMPUTED_VALUE"""),322.0)</f>
        <v>322</v>
      </c>
      <c r="K8" s="171">
        <f>IFERROR(__xludf.DUMMYFUNCTION("""COMPUTED_VALUE"""),3131.0)</f>
        <v>3131</v>
      </c>
      <c r="L8" s="171">
        <f>IFERROR(__xludf.DUMMYFUNCTION("""COMPUTED_VALUE"""),1426.0)</f>
        <v>1426</v>
      </c>
      <c r="M8" s="171">
        <f>IFERROR(__xludf.DUMMYFUNCTION("""COMPUTED_VALUE"""),18371.0)</f>
        <v>18371</v>
      </c>
      <c r="N8" s="171">
        <f>IFERROR(__xludf.DUMMYFUNCTION("""COMPUTED_VALUE"""),21502.0)</f>
        <v>21502</v>
      </c>
      <c r="O8" s="171">
        <f>IFERROR(__xludf.DUMMYFUNCTION("""COMPUTED_VALUE"""),35.0)</f>
        <v>35</v>
      </c>
      <c r="P8" s="171">
        <f>IFERROR(__xludf.DUMMYFUNCTION("""COMPUTED_VALUE"""),426.0)</f>
        <v>426</v>
      </c>
      <c r="Q8" s="171">
        <f>IFERROR(__xludf.DUMMYFUNCTION("""COMPUTED_VALUE"""),13.0)</f>
        <v>13</v>
      </c>
      <c r="R8" s="171">
        <f>IFERROR(__xludf.DUMMYFUNCTION("""COMPUTED_VALUE"""),132.0)</f>
        <v>132</v>
      </c>
      <c r="S8" s="171">
        <f>IFERROR(__xludf.DUMMYFUNCTION("""COMPUTED_VALUE"""),5.0)</f>
        <v>5</v>
      </c>
      <c r="T8" s="171">
        <f>IFERROR(__xludf.DUMMYFUNCTION("""COMPUTED_VALUE"""),37.0)</f>
        <v>37</v>
      </c>
      <c r="U8" s="171">
        <f>IFERROR(__xludf.DUMMYFUNCTION("""COMPUTED_VALUE"""),257.0)</f>
        <v>257</v>
      </c>
      <c r="V8" s="171">
        <f>IFERROR(__xludf.DUMMYFUNCTION("""COMPUTED_VALUE"""),240.0)</f>
        <v>240</v>
      </c>
      <c r="W8" s="171">
        <f>IFERROR(__xludf.DUMMYFUNCTION("""COMPUTED_VALUE"""),59.0)</f>
        <v>59</v>
      </c>
      <c r="X8" s="171">
        <f>IFERROR(__xludf.DUMMYFUNCTION("""COMPUTED_VALUE"""),49.0)</f>
        <v>49</v>
      </c>
      <c r="Y8" s="171">
        <f>IFERROR(__xludf.DUMMYFUNCTION("""COMPUTED_VALUE"""),9.0)</f>
        <v>9</v>
      </c>
      <c r="Z8" s="171">
        <f>IFERROR(__xludf.DUMMYFUNCTION("""COMPUTED_VALUE"""),91.0)</f>
        <v>91</v>
      </c>
    </row>
    <row r="9">
      <c r="A9" s="232">
        <f>IFERROR(__xludf.DUMMYFUNCTION("""COMPUTED_VALUE"""),43934.0)</f>
        <v>43934</v>
      </c>
      <c r="B9" s="171">
        <f>IFERROR(__xludf.DUMMYFUNCTION("""COMPUTED_VALUE"""),161.0)</f>
        <v>161</v>
      </c>
      <c r="C9" s="171">
        <f>IFERROR(__xludf.DUMMYFUNCTION("""COMPUTED_VALUE"""),257.0)</f>
        <v>257</v>
      </c>
      <c r="D9" s="171">
        <f>IFERROR(__xludf.DUMMYFUNCTION("""COMPUTED_VALUE"""),3381.0)</f>
        <v>3381</v>
      </c>
      <c r="E9" s="171">
        <f>IFERROR(__xludf.DUMMYFUNCTION("""COMPUTED_VALUE"""),935.0)</f>
        <v>935</v>
      </c>
      <c r="F9" s="171">
        <f>IFERROR(__xludf.DUMMYFUNCTION("""COMPUTED_VALUE"""),21228.0)</f>
        <v>21228</v>
      </c>
      <c r="G9" s="171">
        <f>IFERROR(__xludf.DUMMYFUNCTION("""COMPUTED_VALUE"""),1096.0)</f>
        <v>1096</v>
      </c>
      <c r="H9" s="171">
        <f>IFERROR(__xludf.DUMMYFUNCTION("""COMPUTED_VALUE"""),24609.0)</f>
        <v>24609</v>
      </c>
      <c r="I9" s="171">
        <f>IFERROR(__xludf.DUMMYFUNCTION("""COMPUTED_VALUE"""),187.0)</f>
        <v>187</v>
      </c>
      <c r="J9" s="171">
        <f>IFERROR(__xludf.DUMMYFUNCTION("""COMPUTED_VALUE"""),251.0)</f>
        <v>251</v>
      </c>
      <c r="K9" s="171">
        <f>IFERROR(__xludf.DUMMYFUNCTION("""COMPUTED_VALUE"""),3318.0)</f>
        <v>3318</v>
      </c>
      <c r="L9" s="171">
        <f>IFERROR(__xludf.DUMMYFUNCTION("""COMPUTED_VALUE"""),835.0)</f>
        <v>835</v>
      </c>
      <c r="M9" s="171">
        <f>IFERROR(__xludf.DUMMYFUNCTION("""COMPUTED_VALUE"""),19206.0)</f>
        <v>19206</v>
      </c>
      <c r="N9" s="171">
        <f>IFERROR(__xludf.DUMMYFUNCTION("""COMPUTED_VALUE"""),22524.0)</f>
        <v>22524</v>
      </c>
      <c r="O9" s="171">
        <f>IFERROR(__xludf.DUMMYFUNCTION("""COMPUTED_VALUE"""),35.0)</f>
        <v>35</v>
      </c>
      <c r="P9" s="171">
        <f>IFERROR(__xludf.DUMMYFUNCTION("""COMPUTED_VALUE"""),461.0)</f>
        <v>461</v>
      </c>
      <c r="Q9" s="171">
        <f>IFERROR(__xludf.DUMMYFUNCTION("""COMPUTED_VALUE"""),13.0)</f>
        <v>13</v>
      </c>
      <c r="R9" s="171">
        <f>IFERROR(__xludf.DUMMYFUNCTION("""COMPUTED_VALUE"""),145.0)</f>
        <v>145</v>
      </c>
      <c r="S9" s="171">
        <f>IFERROR(__xludf.DUMMYFUNCTION("""COMPUTED_VALUE"""),3.0)</f>
        <v>3</v>
      </c>
      <c r="T9" s="171">
        <f>IFERROR(__xludf.DUMMYFUNCTION("""COMPUTED_VALUE"""),40.0)</f>
        <v>40</v>
      </c>
      <c r="U9" s="171">
        <f>IFERROR(__xludf.DUMMYFUNCTION("""COMPUTED_VALUE"""),276.0)</f>
        <v>276</v>
      </c>
      <c r="V9" s="171">
        <f>IFERROR(__xludf.DUMMYFUNCTION("""COMPUTED_VALUE"""),258.0)</f>
        <v>258</v>
      </c>
      <c r="W9" s="171">
        <f>IFERROR(__xludf.DUMMYFUNCTION("""COMPUTED_VALUE"""),64.0)</f>
        <v>64</v>
      </c>
      <c r="X9" s="171">
        <f>IFERROR(__xludf.DUMMYFUNCTION("""COMPUTED_VALUE"""),54.0)</f>
        <v>54</v>
      </c>
      <c r="Y9" s="171">
        <f>IFERROR(__xludf.DUMMYFUNCTION("""COMPUTED_VALUE"""),9.0)</f>
        <v>9</v>
      </c>
      <c r="Z9" s="171">
        <f>IFERROR(__xludf.DUMMYFUNCTION("""COMPUTED_VALUE"""),100.0)</f>
        <v>100</v>
      </c>
    </row>
    <row r="10">
      <c r="A10" s="232">
        <f>IFERROR(__xludf.DUMMYFUNCTION("""COMPUTED_VALUE"""),43935.0)</f>
        <v>43935</v>
      </c>
      <c r="B10" s="171">
        <f>IFERROR(__xludf.DUMMYFUNCTION("""COMPUTED_VALUE"""),289.0)</f>
        <v>289</v>
      </c>
      <c r="C10" s="171">
        <f>IFERROR(__xludf.DUMMYFUNCTION("""COMPUTED_VALUE"""),255.0)</f>
        <v>255</v>
      </c>
      <c r="D10" s="171">
        <f>IFERROR(__xludf.DUMMYFUNCTION("""COMPUTED_VALUE"""),3670.0)</f>
        <v>3670</v>
      </c>
      <c r="E10" s="171">
        <f>IFERROR(__xludf.DUMMYFUNCTION("""COMPUTED_VALUE"""),1787.0)</f>
        <v>1787</v>
      </c>
      <c r="F10" s="171">
        <f>IFERROR(__xludf.DUMMYFUNCTION("""COMPUTED_VALUE"""),23015.0)</f>
        <v>23015</v>
      </c>
      <c r="G10" s="171">
        <f>IFERROR(__xludf.DUMMYFUNCTION("""COMPUTED_VALUE"""),2076.0)</f>
        <v>2076</v>
      </c>
      <c r="H10" s="171">
        <f>IFERROR(__xludf.DUMMYFUNCTION("""COMPUTED_VALUE"""),26685.0)</f>
        <v>26685</v>
      </c>
      <c r="I10" s="171">
        <f>IFERROR(__xludf.DUMMYFUNCTION("""COMPUTED_VALUE"""),262.0)</f>
        <v>262</v>
      </c>
      <c r="J10" s="171">
        <f>IFERROR(__xludf.DUMMYFUNCTION("""COMPUTED_VALUE"""),244.0)</f>
        <v>244</v>
      </c>
      <c r="K10" s="171">
        <f>IFERROR(__xludf.DUMMYFUNCTION("""COMPUTED_VALUE"""),3580.0)</f>
        <v>3580</v>
      </c>
      <c r="L10" s="171">
        <f>IFERROR(__xludf.DUMMYFUNCTION("""COMPUTED_VALUE"""),1523.0)</f>
        <v>1523</v>
      </c>
      <c r="M10" s="171">
        <f>IFERROR(__xludf.DUMMYFUNCTION("""COMPUTED_VALUE"""),20729.0)</f>
        <v>20729</v>
      </c>
      <c r="N10" s="171">
        <f>IFERROR(__xludf.DUMMYFUNCTION("""COMPUTED_VALUE"""),24309.0)</f>
        <v>24309</v>
      </c>
      <c r="O10" s="171">
        <f>IFERROR(__xludf.DUMMYFUNCTION("""COMPUTED_VALUE"""),27.0)</f>
        <v>27</v>
      </c>
      <c r="P10" s="171">
        <f>IFERROR(__xludf.DUMMYFUNCTION("""COMPUTED_VALUE"""),488.0)</f>
        <v>488</v>
      </c>
      <c r="Q10" s="171">
        <f>IFERROR(__xludf.DUMMYFUNCTION("""COMPUTED_VALUE"""),17.0)</f>
        <v>17</v>
      </c>
      <c r="R10" s="171">
        <f>IFERROR(__xludf.DUMMYFUNCTION("""COMPUTED_VALUE"""),162.0)</f>
        <v>162</v>
      </c>
      <c r="S10" s="171">
        <f>IFERROR(__xludf.DUMMYFUNCTION("""COMPUTED_VALUE"""),5.0)</f>
        <v>5</v>
      </c>
      <c r="T10" s="171">
        <f>IFERROR(__xludf.DUMMYFUNCTION("""COMPUTED_VALUE"""),45.0)</f>
        <v>45</v>
      </c>
      <c r="U10" s="171">
        <f>IFERROR(__xludf.DUMMYFUNCTION("""COMPUTED_VALUE"""),281.0)</f>
        <v>281</v>
      </c>
      <c r="V10" s="171">
        <f>IFERROR(__xludf.DUMMYFUNCTION("""COMPUTED_VALUE"""),271.0)</f>
        <v>271</v>
      </c>
      <c r="W10" s="171">
        <f>IFERROR(__xludf.DUMMYFUNCTION("""COMPUTED_VALUE"""),72.0)</f>
        <v>72</v>
      </c>
      <c r="X10" s="171">
        <f>IFERROR(__xludf.DUMMYFUNCTION("""COMPUTED_VALUE"""),53.0)</f>
        <v>53</v>
      </c>
      <c r="Y10" s="171">
        <f>IFERROR(__xludf.DUMMYFUNCTION("""COMPUTED_VALUE"""),8.0)</f>
        <v>8</v>
      </c>
      <c r="Z10" s="171">
        <f>IFERROR(__xludf.DUMMYFUNCTION("""COMPUTED_VALUE"""),108.0)</f>
        <v>108</v>
      </c>
    </row>
    <row r="11">
      <c r="A11" s="232">
        <f>IFERROR(__xludf.DUMMYFUNCTION("""COMPUTED_VALUE"""),43936.0)</f>
        <v>43936</v>
      </c>
      <c r="B11" s="171">
        <f>IFERROR(__xludf.DUMMYFUNCTION("""COMPUTED_VALUE"""),351.0)</f>
        <v>351</v>
      </c>
      <c r="C11" s="171">
        <f>IFERROR(__xludf.DUMMYFUNCTION("""COMPUTED_VALUE"""),267.0)</f>
        <v>267</v>
      </c>
      <c r="D11" s="171">
        <f>IFERROR(__xludf.DUMMYFUNCTION("""COMPUTED_VALUE"""),4021.0)</f>
        <v>4021</v>
      </c>
      <c r="E11" s="171">
        <f>IFERROR(__xludf.DUMMYFUNCTION("""COMPUTED_VALUE"""),1799.0)</f>
        <v>1799</v>
      </c>
      <c r="F11" s="171">
        <f>IFERROR(__xludf.DUMMYFUNCTION("""COMPUTED_VALUE"""),24814.0)</f>
        <v>24814</v>
      </c>
      <c r="G11" s="171">
        <f>IFERROR(__xludf.DUMMYFUNCTION("""COMPUTED_VALUE"""),2150.0)</f>
        <v>2150</v>
      </c>
      <c r="H11" s="171">
        <f>IFERROR(__xludf.DUMMYFUNCTION("""COMPUTED_VALUE"""),28835.0)</f>
        <v>28835</v>
      </c>
      <c r="I11" s="171">
        <f>IFERROR(__xludf.DUMMYFUNCTION("""COMPUTED_VALUE"""),306.0)</f>
        <v>306</v>
      </c>
      <c r="J11" s="171">
        <f>IFERROR(__xludf.DUMMYFUNCTION("""COMPUTED_VALUE"""),252.0)</f>
        <v>252</v>
      </c>
      <c r="K11" s="171">
        <f>IFERROR(__xludf.DUMMYFUNCTION("""COMPUTED_VALUE"""),3886.0)</f>
        <v>3886</v>
      </c>
      <c r="L11" s="171">
        <f>IFERROR(__xludf.DUMMYFUNCTION("""COMPUTED_VALUE"""),1542.0)</f>
        <v>1542</v>
      </c>
      <c r="M11" s="171">
        <f>IFERROR(__xludf.DUMMYFUNCTION("""COMPUTED_VALUE"""),22271.0)</f>
        <v>22271</v>
      </c>
      <c r="N11" s="171">
        <f>IFERROR(__xludf.DUMMYFUNCTION("""COMPUTED_VALUE"""),26157.0)</f>
        <v>26157</v>
      </c>
      <c r="O11" s="171">
        <f>IFERROR(__xludf.DUMMYFUNCTION("""COMPUTED_VALUE"""),31.0)</f>
        <v>31</v>
      </c>
      <c r="P11" s="171">
        <f>IFERROR(__xludf.DUMMYFUNCTION("""COMPUTED_VALUE"""),519.0)</f>
        <v>519</v>
      </c>
      <c r="Q11" s="171">
        <f>IFERROR(__xludf.DUMMYFUNCTION("""COMPUTED_VALUE"""),20.0)</f>
        <v>20</v>
      </c>
      <c r="R11" s="171">
        <f>IFERROR(__xludf.DUMMYFUNCTION("""COMPUTED_VALUE"""),182.0)</f>
        <v>182</v>
      </c>
      <c r="S11" s="171">
        <f>IFERROR(__xludf.DUMMYFUNCTION("""COMPUTED_VALUE"""),3.0)</f>
        <v>3</v>
      </c>
      <c r="T11" s="171">
        <f>IFERROR(__xludf.DUMMYFUNCTION("""COMPUTED_VALUE"""),48.0)</f>
        <v>48</v>
      </c>
      <c r="U11" s="171">
        <f>IFERROR(__xludf.DUMMYFUNCTION("""COMPUTED_VALUE"""),289.0)</f>
        <v>289</v>
      </c>
      <c r="V11" s="171">
        <f>IFERROR(__xludf.DUMMYFUNCTION("""COMPUTED_VALUE"""),282.0)</f>
        <v>282</v>
      </c>
      <c r="W11" s="171">
        <f>IFERROR(__xludf.DUMMYFUNCTION("""COMPUTED_VALUE"""),72.0)</f>
        <v>72</v>
      </c>
      <c r="X11" s="171">
        <f>IFERROR(__xludf.DUMMYFUNCTION("""COMPUTED_VALUE"""),54.0)</f>
        <v>54</v>
      </c>
      <c r="Y11" s="171">
        <f>IFERROR(__xludf.DUMMYFUNCTION("""COMPUTED_VALUE"""),17.0)</f>
        <v>17</v>
      </c>
      <c r="Z11" s="171">
        <f>IFERROR(__xludf.DUMMYFUNCTION("""COMPUTED_VALUE"""),125.0)</f>
        <v>125</v>
      </c>
    </row>
    <row r="12">
      <c r="A12" s="232">
        <f>IFERROR(__xludf.DUMMYFUNCTION("""COMPUTED_VALUE"""),43937.0)</f>
        <v>43937</v>
      </c>
      <c r="B12" s="171">
        <f>IFERROR(__xludf.DUMMYFUNCTION("""COMPUTED_VALUE"""),447.0)</f>
        <v>447</v>
      </c>
      <c r="C12" s="171">
        <f>IFERROR(__xludf.DUMMYFUNCTION("""COMPUTED_VALUE"""),362.0)</f>
        <v>362</v>
      </c>
      <c r="D12" s="171">
        <f>IFERROR(__xludf.DUMMYFUNCTION("""COMPUTED_VALUE"""),4468.0)</f>
        <v>4468</v>
      </c>
      <c r="E12" s="171">
        <f>IFERROR(__xludf.DUMMYFUNCTION("""COMPUTED_VALUE"""),2494.0)</f>
        <v>2494</v>
      </c>
      <c r="F12" s="171">
        <f>IFERROR(__xludf.DUMMYFUNCTION("""COMPUTED_VALUE"""),27308.0)</f>
        <v>27308</v>
      </c>
      <c r="G12" s="171">
        <f>IFERROR(__xludf.DUMMYFUNCTION("""COMPUTED_VALUE"""),2941.0)</f>
        <v>2941</v>
      </c>
      <c r="H12" s="171">
        <f>IFERROR(__xludf.DUMMYFUNCTION("""COMPUTED_VALUE"""),31776.0)</f>
        <v>31776</v>
      </c>
      <c r="I12" s="171">
        <f>IFERROR(__xludf.DUMMYFUNCTION("""COMPUTED_VALUE"""),387.0)</f>
        <v>387</v>
      </c>
      <c r="J12" s="171">
        <f>IFERROR(__xludf.DUMMYFUNCTION("""COMPUTED_VALUE"""),318.0)</f>
        <v>318</v>
      </c>
      <c r="K12" s="171">
        <f>IFERROR(__xludf.DUMMYFUNCTION("""COMPUTED_VALUE"""),4273.0)</f>
        <v>4273</v>
      </c>
      <c r="L12" s="171">
        <f>IFERROR(__xludf.DUMMYFUNCTION("""COMPUTED_VALUE"""),2066.0)</f>
        <v>2066</v>
      </c>
      <c r="M12" s="171">
        <f>IFERROR(__xludf.DUMMYFUNCTION("""COMPUTED_VALUE"""),24337.0)</f>
        <v>24337</v>
      </c>
      <c r="N12" s="171">
        <f>IFERROR(__xludf.DUMMYFUNCTION("""COMPUTED_VALUE"""),28610.0)</f>
        <v>28610</v>
      </c>
      <c r="O12" s="171">
        <f>IFERROR(__xludf.DUMMYFUNCTION("""COMPUTED_VALUE"""),36.0)</f>
        <v>36</v>
      </c>
      <c r="P12" s="171">
        <f>IFERROR(__xludf.DUMMYFUNCTION("""COMPUTED_VALUE"""),555.0)</f>
        <v>555</v>
      </c>
      <c r="Q12" s="171">
        <f>IFERROR(__xludf.DUMMYFUNCTION("""COMPUTED_VALUE"""),25.0)</f>
        <v>25</v>
      </c>
      <c r="R12" s="171">
        <f>IFERROR(__xludf.DUMMYFUNCTION("""COMPUTED_VALUE"""),207.0)</f>
        <v>207</v>
      </c>
      <c r="S12" s="171">
        <f>IFERROR(__xludf.DUMMYFUNCTION("""COMPUTED_VALUE"""),6.0)</f>
        <v>6</v>
      </c>
      <c r="T12" s="171">
        <f>IFERROR(__xludf.DUMMYFUNCTION("""COMPUTED_VALUE"""),54.0)</f>
        <v>54</v>
      </c>
      <c r="U12" s="171">
        <f>IFERROR(__xludf.DUMMYFUNCTION("""COMPUTED_VALUE"""),294.0)</f>
        <v>294</v>
      </c>
      <c r="V12" s="171">
        <f>IFERROR(__xludf.DUMMYFUNCTION("""COMPUTED_VALUE"""),288.0)</f>
        <v>288</v>
      </c>
      <c r="W12" s="171">
        <f>IFERROR(__xludf.DUMMYFUNCTION("""COMPUTED_VALUE"""),72.0)</f>
        <v>72</v>
      </c>
      <c r="X12" s="171">
        <f>IFERROR(__xludf.DUMMYFUNCTION("""COMPUTED_VALUE"""),53.0)</f>
        <v>53</v>
      </c>
      <c r="Y12" s="171">
        <f>IFERROR(__xludf.DUMMYFUNCTION("""COMPUTED_VALUE"""),14.0)</f>
        <v>14</v>
      </c>
      <c r="Z12" s="171">
        <f>IFERROR(__xludf.DUMMYFUNCTION("""COMPUTED_VALUE"""),139.0)</f>
        <v>139</v>
      </c>
    </row>
    <row r="13">
      <c r="A13" s="232">
        <f>IFERROR(__xludf.DUMMYFUNCTION("""COMPUTED_VALUE"""),43938.0)</f>
        <v>43938</v>
      </c>
      <c r="B13" s="171">
        <f>IFERROR(__xludf.DUMMYFUNCTION("""COMPUTED_VALUE"""),304.0)</f>
        <v>304</v>
      </c>
      <c r="C13" s="171">
        <f>IFERROR(__xludf.DUMMYFUNCTION("""COMPUTED_VALUE"""),367.0)</f>
        <v>367</v>
      </c>
      <c r="D13" s="171">
        <f>IFERROR(__xludf.DUMMYFUNCTION("""COMPUTED_VALUE"""),4772.0)</f>
        <v>4772</v>
      </c>
      <c r="E13" s="171">
        <f>IFERROR(__xludf.DUMMYFUNCTION("""COMPUTED_VALUE"""),1821.0)</f>
        <v>1821</v>
      </c>
      <c r="F13" s="171">
        <f>IFERROR(__xludf.DUMMYFUNCTION("""COMPUTED_VALUE"""),29129.0)</f>
        <v>29129</v>
      </c>
      <c r="G13" s="171">
        <f>IFERROR(__xludf.DUMMYFUNCTION("""COMPUTED_VALUE"""),2125.0)</f>
        <v>2125</v>
      </c>
      <c r="H13" s="171">
        <f>IFERROR(__xludf.DUMMYFUNCTION("""COMPUTED_VALUE"""),33901.0)</f>
        <v>33901</v>
      </c>
      <c r="I13" s="171">
        <f>IFERROR(__xludf.DUMMYFUNCTION("""COMPUTED_VALUE"""),290.0)</f>
        <v>290</v>
      </c>
      <c r="J13" s="171">
        <f>IFERROR(__xludf.DUMMYFUNCTION("""COMPUTED_VALUE"""),328.0)</f>
        <v>328</v>
      </c>
      <c r="K13" s="171">
        <f>IFERROR(__xludf.DUMMYFUNCTION("""COMPUTED_VALUE"""),4563.0)</f>
        <v>4563</v>
      </c>
      <c r="L13" s="171">
        <f>IFERROR(__xludf.DUMMYFUNCTION("""COMPUTED_VALUE"""),1439.0)</f>
        <v>1439</v>
      </c>
      <c r="M13" s="171">
        <f>IFERROR(__xludf.DUMMYFUNCTION("""COMPUTED_VALUE"""),25776.0)</f>
        <v>25776</v>
      </c>
      <c r="N13" s="171">
        <f>IFERROR(__xludf.DUMMYFUNCTION("""COMPUTED_VALUE"""),30339.0)</f>
        <v>30339</v>
      </c>
      <c r="O13" s="171">
        <f>IFERROR(__xludf.DUMMYFUNCTION("""COMPUTED_VALUE"""),32.0)</f>
        <v>32</v>
      </c>
      <c r="P13" s="171">
        <f>IFERROR(__xludf.DUMMYFUNCTION("""COMPUTED_VALUE"""),587.0)</f>
        <v>587</v>
      </c>
      <c r="Q13" s="171">
        <f>IFERROR(__xludf.DUMMYFUNCTION("""COMPUTED_VALUE"""),20.0)</f>
        <v>20</v>
      </c>
      <c r="R13" s="171">
        <f>IFERROR(__xludf.DUMMYFUNCTION("""COMPUTED_VALUE"""),227.0)</f>
        <v>227</v>
      </c>
      <c r="S13" s="171">
        <f>IFERROR(__xludf.DUMMYFUNCTION("""COMPUTED_VALUE"""),7.0)</f>
        <v>7</v>
      </c>
      <c r="T13" s="171">
        <f>IFERROR(__xludf.DUMMYFUNCTION("""COMPUTED_VALUE"""),61.0)</f>
        <v>61</v>
      </c>
      <c r="U13" s="171">
        <f>IFERROR(__xludf.DUMMYFUNCTION("""COMPUTED_VALUE"""),299.0)</f>
        <v>299</v>
      </c>
      <c r="V13" s="171">
        <f>IFERROR(__xludf.DUMMYFUNCTION("""COMPUTED_VALUE"""),294.0)</f>
        <v>294</v>
      </c>
      <c r="W13" s="171">
        <f>IFERROR(__xludf.DUMMYFUNCTION("""COMPUTED_VALUE"""),66.0)</f>
        <v>66</v>
      </c>
      <c r="X13" s="171">
        <f>IFERROR(__xludf.DUMMYFUNCTION("""COMPUTED_VALUE"""),45.0)</f>
        <v>45</v>
      </c>
      <c r="Y13" s="171">
        <f>IFERROR(__xludf.DUMMYFUNCTION("""COMPUTED_VALUE"""),21.0)</f>
        <v>21</v>
      </c>
      <c r="Z13" s="171">
        <f>IFERROR(__xludf.DUMMYFUNCTION("""COMPUTED_VALUE"""),160.0)</f>
        <v>160</v>
      </c>
    </row>
    <row r="14">
      <c r="A14" s="232">
        <f>IFERROR(__xludf.DUMMYFUNCTION("""COMPUTED_VALUE"""),43939.0)</f>
        <v>43939</v>
      </c>
      <c r="B14" s="171">
        <f>IFERROR(__xludf.DUMMYFUNCTION("""COMPUTED_VALUE"""),321.0)</f>
        <v>321</v>
      </c>
      <c r="C14" s="171">
        <f>IFERROR(__xludf.DUMMYFUNCTION("""COMPUTED_VALUE"""),357.0)</f>
        <v>357</v>
      </c>
      <c r="D14" s="171">
        <f>IFERROR(__xludf.DUMMYFUNCTION("""COMPUTED_VALUE"""),5093.0)</f>
        <v>5093</v>
      </c>
      <c r="E14" s="171">
        <f>IFERROR(__xludf.DUMMYFUNCTION("""COMPUTED_VALUE"""),1725.0)</f>
        <v>1725</v>
      </c>
      <c r="F14" s="171">
        <f>IFERROR(__xludf.DUMMYFUNCTION("""COMPUTED_VALUE"""),30854.0)</f>
        <v>30854</v>
      </c>
      <c r="G14" s="171">
        <f>IFERROR(__xludf.DUMMYFUNCTION("""COMPUTED_VALUE"""),2046.0)</f>
        <v>2046</v>
      </c>
      <c r="H14" s="171">
        <f>IFERROR(__xludf.DUMMYFUNCTION("""COMPUTED_VALUE"""),35947.0)</f>
        <v>35947</v>
      </c>
      <c r="I14" s="171">
        <f>IFERROR(__xludf.DUMMYFUNCTION("""COMPUTED_VALUE"""),284.0)</f>
        <v>284</v>
      </c>
      <c r="J14" s="171">
        <f>IFERROR(__xludf.DUMMYFUNCTION("""COMPUTED_VALUE"""),320.0)</f>
        <v>320</v>
      </c>
      <c r="K14" s="171">
        <f>IFERROR(__xludf.DUMMYFUNCTION("""COMPUTED_VALUE"""),4847.0)</f>
        <v>4847</v>
      </c>
      <c r="L14" s="171">
        <f>IFERROR(__xludf.DUMMYFUNCTION("""COMPUTED_VALUE"""),1316.0)</f>
        <v>1316</v>
      </c>
      <c r="M14" s="171">
        <f>IFERROR(__xludf.DUMMYFUNCTION("""COMPUTED_VALUE"""),27092.0)</f>
        <v>27092</v>
      </c>
      <c r="N14" s="171">
        <f>IFERROR(__xludf.DUMMYFUNCTION("""COMPUTED_VALUE"""),31939.0)</f>
        <v>31939</v>
      </c>
      <c r="O14" s="171">
        <f>IFERROR(__xludf.DUMMYFUNCTION("""COMPUTED_VALUE"""),26.0)</f>
        <v>26</v>
      </c>
      <c r="P14" s="171">
        <f>IFERROR(__xludf.DUMMYFUNCTION("""COMPUTED_VALUE"""),613.0)</f>
        <v>613</v>
      </c>
      <c r="Q14" s="171">
        <f>IFERROR(__xludf.DUMMYFUNCTION("""COMPUTED_VALUE"""),18.0)</f>
        <v>18</v>
      </c>
      <c r="R14" s="171">
        <f>IFERROR(__xludf.DUMMYFUNCTION("""COMPUTED_VALUE"""),245.0)</f>
        <v>245</v>
      </c>
      <c r="S14" s="171">
        <f>IFERROR(__xludf.DUMMYFUNCTION("""COMPUTED_VALUE"""),4.0)</f>
        <v>4</v>
      </c>
      <c r="T14" s="171">
        <f>IFERROR(__xludf.DUMMYFUNCTION("""COMPUTED_VALUE"""),65.0)</f>
        <v>65</v>
      </c>
      <c r="U14" s="171">
        <f>IFERROR(__xludf.DUMMYFUNCTION("""COMPUTED_VALUE"""),303.0)</f>
        <v>303</v>
      </c>
      <c r="V14" s="171">
        <f>IFERROR(__xludf.DUMMYFUNCTION("""COMPUTED_VALUE"""),299.0)</f>
        <v>299</v>
      </c>
      <c r="W14" s="171">
        <f>IFERROR(__xludf.DUMMYFUNCTION("""COMPUTED_VALUE"""),63.0)</f>
        <v>63</v>
      </c>
      <c r="X14" s="171">
        <f>IFERROR(__xludf.DUMMYFUNCTION("""COMPUTED_VALUE"""),49.0)</f>
        <v>49</v>
      </c>
      <c r="Y14" s="171">
        <f>IFERROR(__xludf.DUMMYFUNCTION("""COMPUTED_VALUE"""),15.0)</f>
        <v>15</v>
      </c>
      <c r="Z14" s="171">
        <f>IFERROR(__xludf.DUMMYFUNCTION("""COMPUTED_VALUE"""),175.0)</f>
        <v>175</v>
      </c>
    </row>
    <row r="15">
      <c r="A15" s="232">
        <f>IFERROR(__xludf.DUMMYFUNCTION("""COMPUTED_VALUE"""),43940.0)</f>
        <v>43940</v>
      </c>
      <c r="B15" s="171">
        <f>IFERROR(__xludf.DUMMYFUNCTION("""COMPUTED_VALUE"""),381.0)</f>
        <v>381</v>
      </c>
      <c r="C15" s="171">
        <f>IFERROR(__xludf.DUMMYFUNCTION("""COMPUTED_VALUE"""),335.0)</f>
        <v>335</v>
      </c>
      <c r="D15" s="171">
        <f>IFERROR(__xludf.DUMMYFUNCTION("""COMPUTED_VALUE"""),5474.0)</f>
        <v>5474</v>
      </c>
      <c r="E15" s="171">
        <f>IFERROR(__xludf.DUMMYFUNCTION("""COMPUTED_VALUE"""),2047.0)</f>
        <v>2047</v>
      </c>
      <c r="F15" s="171">
        <f>IFERROR(__xludf.DUMMYFUNCTION("""COMPUTED_VALUE"""),32901.0)</f>
        <v>32901</v>
      </c>
      <c r="G15" s="171">
        <f>IFERROR(__xludf.DUMMYFUNCTION("""COMPUTED_VALUE"""),2428.0)</f>
        <v>2428</v>
      </c>
      <c r="H15" s="171">
        <f>IFERROR(__xludf.DUMMYFUNCTION("""COMPUTED_VALUE"""),38375.0)</f>
        <v>38375</v>
      </c>
      <c r="I15" s="171">
        <f>IFERROR(__xludf.DUMMYFUNCTION("""COMPUTED_VALUE"""),336.0)</f>
        <v>336</v>
      </c>
      <c r="J15" s="171">
        <f>IFERROR(__xludf.DUMMYFUNCTION("""COMPUTED_VALUE"""),303.0)</f>
        <v>303</v>
      </c>
      <c r="K15" s="171">
        <f>IFERROR(__xludf.DUMMYFUNCTION("""COMPUTED_VALUE"""),5183.0)</f>
        <v>5183</v>
      </c>
      <c r="L15" s="171">
        <f>IFERROR(__xludf.DUMMYFUNCTION("""COMPUTED_VALUE"""),1730.0)</f>
        <v>1730</v>
      </c>
      <c r="M15" s="171">
        <f>IFERROR(__xludf.DUMMYFUNCTION("""COMPUTED_VALUE"""),28822.0)</f>
        <v>28822</v>
      </c>
      <c r="N15" s="171">
        <f>IFERROR(__xludf.DUMMYFUNCTION("""COMPUTED_VALUE"""),34005.0)</f>
        <v>34005</v>
      </c>
      <c r="O15" s="171">
        <f>IFERROR(__xludf.DUMMYFUNCTION("""COMPUTED_VALUE"""),23.0)</f>
        <v>23</v>
      </c>
      <c r="P15" s="171">
        <f>IFERROR(__xludf.DUMMYFUNCTION("""COMPUTED_VALUE"""),636.0)</f>
        <v>636</v>
      </c>
      <c r="Q15" s="171">
        <f>IFERROR(__xludf.DUMMYFUNCTION("""COMPUTED_VALUE"""),26.0)</f>
        <v>26</v>
      </c>
      <c r="R15" s="171">
        <f>IFERROR(__xludf.DUMMYFUNCTION("""COMPUTED_VALUE"""),271.0)</f>
        <v>271</v>
      </c>
      <c r="S15" s="171">
        <f>IFERROR(__xludf.DUMMYFUNCTION("""COMPUTED_VALUE"""),1.0)</f>
        <v>1</v>
      </c>
      <c r="T15" s="171">
        <f>IFERROR(__xludf.DUMMYFUNCTION("""COMPUTED_VALUE"""),66.0)</f>
        <v>66</v>
      </c>
      <c r="U15" s="171">
        <f>IFERROR(__xludf.DUMMYFUNCTION("""COMPUTED_VALUE"""),299.0)</f>
        <v>299</v>
      </c>
      <c r="V15" s="171">
        <f>IFERROR(__xludf.DUMMYFUNCTION("""COMPUTED_VALUE"""),300.0)</f>
        <v>300</v>
      </c>
      <c r="W15" s="171">
        <f>IFERROR(__xludf.DUMMYFUNCTION("""COMPUTED_VALUE"""),65.0)</f>
        <v>65</v>
      </c>
      <c r="X15" s="171">
        <f>IFERROR(__xludf.DUMMYFUNCTION("""COMPUTED_VALUE"""),55.0)</f>
        <v>55</v>
      </c>
      <c r="Y15" s="171">
        <f>IFERROR(__xludf.DUMMYFUNCTION("""COMPUTED_VALUE"""),11.0)</f>
        <v>11</v>
      </c>
      <c r="Z15" s="171">
        <f>IFERROR(__xludf.DUMMYFUNCTION("""COMPUTED_VALUE"""),186.0)</f>
        <v>186</v>
      </c>
    </row>
    <row r="16">
      <c r="A16" s="232">
        <f>IFERROR(__xludf.DUMMYFUNCTION("""COMPUTED_VALUE"""),43941.0)</f>
        <v>43941</v>
      </c>
      <c r="B16" s="171">
        <f>IFERROR(__xludf.DUMMYFUNCTION("""COMPUTED_VALUE"""),394.0)</f>
        <v>394</v>
      </c>
      <c r="C16" s="171">
        <f>IFERROR(__xludf.DUMMYFUNCTION("""COMPUTED_VALUE"""),365.0)</f>
        <v>365</v>
      </c>
      <c r="D16" s="171">
        <f>IFERROR(__xludf.DUMMYFUNCTION("""COMPUTED_VALUE"""),5868.0)</f>
        <v>5868</v>
      </c>
      <c r="E16" s="171">
        <f>IFERROR(__xludf.DUMMYFUNCTION("""COMPUTED_VALUE"""),1907.0)</f>
        <v>1907</v>
      </c>
      <c r="F16" s="171">
        <f>IFERROR(__xludf.DUMMYFUNCTION("""COMPUTED_VALUE"""),34808.0)</f>
        <v>34808</v>
      </c>
      <c r="G16" s="171">
        <f>IFERROR(__xludf.DUMMYFUNCTION("""COMPUTED_VALUE"""),2301.0)</f>
        <v>2301</v>
      </c>
      <c r="H16" s="171">
        <f>IFERROR(__xludf.DUMMYFUNCTION("""COMPUTED_VALUE"""),40676.0)</f>
        <v>40676</v>
      </c>
      <c r="I16" s="171">
        <f>IFERROR(__xludf.DUMMYFUNCTION("""COMPUTED_VALUE"""),376.0)</f>
        <v>376</v>
      </c>
      <c r="J16" s="171">
        <f>IFERROR(__xludf.DUMMYFUNCTION("""COMPUTED_VALUE"""),332.0)</f>
        <v>332</v>
      </c>
      <c r="K16" s="171">
        <f>IFERROR(__xludf.DUMMYFUNCTION("""COMPUTED_VALUE"""),5559.0)</f>
        <v>5559</v>
      </c>
      <c r="L16" s="171">
        <f>IFERROR(__xludf.DUMMYFUNCTION("""COMPUTED_VALUE"""),1563.0)</f>
        <v>1563</v>
      </c>
      <c r="M16" s="171">
        <f>IFERROR(__xludf.DUMMYFUNCTION("""COMPUTED_VALUE"""),30385.0)</f>
        <v>30385</v>
      </c>
      <c r="N16" s="171">
        <f>IFERROR(__xludf.DUMMYFUNCTION("""COMPUTED_VALUE"""),35944.0)</f>
        <v>35944</v>
      </c>
      <c r="O16" s="171">
        <f>IFERROR(__xludf.DUMMYFUNCTION("""COMPUTED_VALUE"""),46.0)</f>
        <v>46</v>
      </c>
      <c r="P16" s="171">
        <f>IFERROR(__xludf.DUMMYFUNCTION("""COMPUTED_VALUE"""),682.0)</f>
        <v>682</v>
      </c>
      <c r="Q16" s="171">
        <f>IFERROR(__xludf.DUMMYFUNCTION("""COMPUTED_VALUE"""),29.0)</f>
        <v>29</v>
      </c>
      <c r="R16" s="171">
        <f>IFERROR(__xludf.DUMMYFUNCTION("""COMPUTED_VALUE"""),300.0)</f>
        <v>300</v>
      </c>
      <c r="S16" s="171">
        <f>IFERROR(__xludf.DUMMYFUNCTION("""COMPUTED_VALUE"""),2.0)</f>
        <v>2</v>
      </c>
      <c r="T16" s="171">
        <f>IFERROR(__xludf.DUMMYFUNCTION("""COMPUTED_VALUE"""),68.0)</f>
        <v>68</v>
      </c>
      <c r="U16" s="171">
        <f>IFERROR(__xludf.DUMMYFUNCTION("""COMPUTED_VALUE"""),314.0)</f>
        <v>314</v>
      </c>
      <c r="V16" s="171">
        <f>IFERROR(__xludf.DUMMYFUNCTION("""COMPUTED_VALUE"""),305.0)</f>
        <v>305</v>
      </c>
      <c r="W16" s="171">
        <f>IFERROR(__xludf.DUMMYFUNCTION("""COMPUTED_VALUE"""),75.0)</f>
        <v>75</v>
      </c>
      <c r="X16" s="171">
        <f>IFERROR(__xludf.DUMMYFUNCTION("""COMPUTED_VALUE"""),56.0)</f>
        <v>56</v>
      </c>
      <c r="Y16" s="171">
        <f>IFERROR(__xludf.DUMMYFUNCTION("""COMPUTED_VALUE"""),10.0)</f>
        <v>10</v>
      </c>
      <c r="Z16" s="171">
        <f>IFERROR(__xludf.DUMMYFUNCTION("""COMPUTED_VALUE"""),196.0)</f>
        <v>196</v>
      </c>
    </row>
    <row r="17">
      <c r="A17" s="232">
        <f>IFERROR(__xludf.DUMMYFUNCTION("""COMPUTED_VALUE"""),43942.0)</f>
        <v>43942</v>
      </c>
      <c r="B17" s="171">
        <f>IFERROR(__xludf.DUMMYFUNCTION("""COMPUTED_VALUE"""),444.0)</f>
        <v>444</v>
      </c>
      <c r="C17" s="171">
        <f>IFERROR(__xludf.DUMMYFUNCTION("""COMPUTED_VALUE"""),406.0)</f>
        <v>406</v>
      </c>
      <c r="D17" s="171">
        <f>IFERROR(__xludf.DUMMYFUNCTION("""COMPUTED_VALUE"""),6312.0)</f>
        <v>6312</v>
      </c>
      <c r="E17" s="171">
        <f>IFERROR(__xludf.DUMMYFUNCTION("""COMPUTED_VALUE"""),2110.0)</f>
        <v>2110</v>
      </c>
      <c r="F17" s="171">
        <f>IFERROR(__xludf.DUMMYFUNCTION("""COMPUTED_VALUE"""),36918.0)</f>
        <v>36918</v>
      </c>
      <c r="G17" s="171">
        <f>IFERROR(__xludf.DUMMYFUNCTION("""COMPUTED_VALUE"""),2554.0)</f>
        <v>2554</v>
      </c>
      <c r="H17" s="171">
        <f>IFERROR(__xludf.DUMMYFUNCTION("""COMPUTED_VALUE"""),43230.0)</f>
        <v>43230</v>
      </c>
      <c r="I17" s="171">
        <f>IFERROR(__xludf.DUMMYFUNCTION("""COMPUTED_VALUE"""),384.0)</f>
        <v>384</v>
      </c>
      <c r="J17" s="171">
        <f>IFERROR(__xludf.DUMMYFUNCTION("""COMPUTED_VALUE"""),365.0)</f>
        <v>365</v>
      </c>
      <c r="K17" s="171">
        <f>IFERROR(__xludf.DUMMYFUNCTION("""COMPUTED_VALUE"""),5943.0)</f>
        <v>5943</v>
      </c>
      <c r="L17" s="171">
        <f>IFERROR(__xludf.DUMMYFUNCTION("""COMPUTED_VALUE"""),1696.0)</f>
        <v>1696</v>
      </c>
      <c r="M17" s="171">
        <f>IFERROR(__xludf.DUMMYFUNCTION("""COMPUTED_VALUE"""),32081.0)</f>
        <v>32081</v>
      </c>
      <c r="N17" s="171">
        <f>IFERROR(__xludf.DUMMYFUNCTION("""COMPUTED_VALUE"""),38024.0)</f>
        <v>38024</v>
      </c>
      <c r="O17" s="171">
        <f>IFERROR(__xludf.DUMMYFUNCTION("""COMPUTED_VALUE"""),45.0)</f>
        <v>45</v>
      </c>
      <c r="P17" s="171">
        <f>IFERROR(__xludf.DUMMYFUNCTION("""COMPUTED_VALUE"""),727.0)</f>
        <v>727</v>
      </c>
      <c r="Q17" s="171">
        <f>IFERROR(__xludf.DUMMYFUNCTION("""COMPUTED_VALUE"""),33.0)</f>
        <v>33</v>
      </c>
      <c r="R17" s="171">
        <f>IFERROR(__xludf.DUMMYFUNCTION("""COMPUTED_VALUE"""),333.0)</f>
        <v>333</v>
      </c>
      <c r="S17" s="171">
        <f>IFERROR(__xludf.DUMMYFUNCTION("""COMPUTED_VALUE"""),5.0)</f>
        <v>5</v>
      </c>
      <c r="T17" s="171">
        <f>IFERROR(__xludf.DUMMYFUNCTION("""COMPUTED_VALUE"""),73.0)</f>
        <v>73</v>
      </c>
      <c r="U17" s="171">
        <f>IFERROR(__xludf.DUMMYFUNCTION("""COMPUTED_VALUE"""),321.0)</f>
        <v>321</v>
      </c>
      <c r="V17" s="171">
        <f>IFERROR(__xludf.DUMMYFUNCTION("""COMPUTED_VALUE"""),311.0)</f>
        <v>311</v>
      </c>
      <c r="W17" s="171">
        <f>IFERROR(__xludf.DUMMYFUNCTION("""COMPUTED_VALUE"""),72.0)</f>
        <v>72</v>
      </c>
      <c r="X17" s="171">
        <f>IFERROR(__xludf.DUMMYFUNCTION("""COMPUTED_VALUE"""),56.0)</f>
        <v>56</v>
      </c>
      <c r="Y17" s="171">
        <f>IFERROR(__xludf.DUMMYFUNCTION("""COMPUTED_VALUE"""),18.0)</f>
        <v>18</v>
      </c>
      <c r="Z17" s="171">
        <f>IFERROR(__xludf.DUMMYFUNCTION("""COMPUTED_VALUE"""),214.0)</f>
        <v>214</v>
      </c>
    </row>
    <row r="18">
      <c r="A18" s="232">
        <f>IFERROR(__xludf.DUMMYFUNCTION("""COMPUTED_VALUE"""),43943.0)</f>
        <v>43943</v>
      </c>
      <c r="B18" s="171">
        <f>IFERROR(__xludf.DUMMYFUNCTION("""COMPUTED_VALUE"""),418.0)</f>
        <v>418</v>
      </c>
      <c r="C18" s="171">
        <f>IFERROR(__xludf.DUMMYFUNCTION("""COMPUTED_VALUE"""),419.0)</f>
        <v>419</v>
      </c>
      <c r="D18" s="171">
        <f>IFERROR(__xludf.DUMMYFUNCTION("""COMPUTED_VALUE"""),6730.0)</f>
        <v>6730</v>
      </c>
      <c r="E18" s="171">
        <f>IFERROR(__xludf.DUMMYFUNCTION("""COMPUTED_VALUE"""),2390.0)</f>
        <v>2390</v>
      </c>
      <c r="F18" s="171">
        <f>IFERROR(__xludf.DUMMYFUNCTION("""COMPUTED_VALUE"""),39308.0)</f>
        <v>39308</v>
      </c>
      <c r="G18" s="171">
        <f>IFERROR(__xludf.DUMMYFUNCTION("""COMPUTED_VALUE"""),2808.0)</f>
        <v>2808</v>
      </c>
      <c r="H18" s="171">
        <f>IFERROR(__xludf.DUMMYFUNCTION("""COMPUTED_VALUE"""),46038.0)</f>
        <v>46038</v>
      </c>
      <c r="I18" s="171">
        <f>IFERROR(__xludf.DUMMYFUNCTION("""COMPUTED_VALUE"""),379.0)</f>
        <v>379</v>
      </c>
      <c r="J18" s="171">
        <f>IFERROR(__xludf.DUMMYFUNCTION("""COMPUTED_VALUE"""),380.0)</f>
        <v>380</v>
      </c>
      <c r="K18" s="171">
        <f>IFERROR(__xludf.DUMMYFUNCTION("""COMPUTED_VALUE"""),6322.0)</f>
        <v>6322</v>
      </c>
      <c r="L18" s="171">
        <f>IFERROR(__xludf.DUMMYFUNCTION("""COMPUTED_VALUE"""),1904.0)</f>
        <v>1904</v>
      </c>
      <c r="M18" s="171">
        <f>IFERROR(__xludf.DUMMYFUNCTION("""COMPUTED_VALUE"""),33985.0)</f>
        <v>33985</v>
      </c>
      <c r="N18" s="171">
        <f>IFERROR(__xludf.DUMMYFUNCTION("""COMPUTED_VALUE"""),40307.0)</f>
        <v>40307</v>
      </c>
      <c r="O18" s="171">
        <f>IFERROR(__xludf.DUMMYFUNCTION("""COMPUTED_VALUE"""),41.0)</f>
        <v>41</v>
      </c>
      <c r="P18" s="171">
        <f>IFERROR(__xludf.DUMMYFUNCTION("""COMPUTED_VALUE"""),768.0)</f>
        <v>768</v>
      </c>
      <c r="Q18" s="171">
        <f>IFERROR(__xludf.DUMMYFUNCTION("""COMPUTED_VALUE"""),32.0)</f>
        <v>32</v>
      </c>
      <c r="R18" s="171">
        <f>IFERROR(__xludf.DUMMYFUNCTION("""COMPUTED_VALUE"""),365.0)</f>
        <v>365</v>
      </c>
      <c r="S18" s="171">
        <f>IFERROR(__xludf.DUMMYFUNCTION("""COMPUTED_VALUE"""),5.0)</f>
        <v>5</v>
      </c>
      <c r="T18" s="171">
        <f>IFERROR(__xludf.DUMMYFUNCTION("""COMPUTED_VALUE"""),78.0)</f>
        <v>78</v>
      </c>
      <c r="U18" s="171">
        <f>IFERROR(__xludf.DUMMYFUNCTION("""COMPUTED_VALUE"""),325.0)</f>
        <v>325</v>
      </c>
      <c r="V18" s="171">
        <f>IFERROR(__xludf.DUMMYFUNCTION("""COMPUTED_VALUE"""),320.0)</f>
        <v>320</v>
      </c>
      <c r="W18" s="171">
        <f>IFERROR(__xludf.DUMMYFUNCTION("""COMPUTED_VALUE"""),73.0)</f>
        <v>73</v>
      </c>
      <c r="X18" s="171">
        <f>IFERROR(__xludf.DUMMYFUNCTION("""COMPUTED_VALUE"""),58.0)</f>
        <v>58</v>
      </c>
      <c r="Y18" s="171">
        <f>IFERROR(__xludf.DUMMYFUNCTION("""COMPUTED_VALUE"""),18.0)</f>
        <v>18</v>
      </c>
      <c r="Z18" s="171">
        <f>IFERROR(__xludf.DUMMYFUNCTION("""COMPUTED_VALUE"""),232.0)</f>
        <v>232</v>
      </c>
    </row>
    <row r="19">
      <c r="A19" s="232">
        <f>IFERROR(__xludf.DUMMYFUNCTION("""COMPUTED_VALUE"""),43944.0)</f>
        <v>43944</v>
      </c>
      <c r="B19" s="171">
        <f>IFERROR(__xludf.DUMMYFUNCTION("""COMPUTED_VALUE"""),479.0)</f>
        <v>479</v>
      </c>
      <c r="C19" s="171">
        <f>IFERROR(__xludf.DUMMYFUNCTION("""COMPUTED_VALUE"""),447.0)</f>
        <v>447</v>
      </c>
      <c r="D19" s="171">
        <f>IFERROR(__xludf.DUMMYFUNCTION("""COMPUTED_VALUE"""),7209.0)</f>
        <v>7209</v>
      </c>
      <c r="E19" s="171">
        <f>IFERROR(__xludf.DUMMYFUNCTION("""COMPUTED_VALUE"""),2469.0)</f>
        <v>2469</v>
      </c>
      <c r="F19" s="171">
        <f>IFERROR(__xludf.DUMMYFUNCTION("""COMPUTED_VALUE"""),41777.0)</f>
        <v>41777</v>
      </c>
      <c r="G19" s="171">
        <f>IFERROR(__xludf.DUMMYFUNCTION("""COMPUTED_VALUE"""),2948.0)</f>
        <v>2948</v>
      </c>
      <c r="H19" s="171">
        <f>IFERROR(__xludf.DUMMYFUNCTION("""COMPUTED_VALUE"""),48986.0)</f>
        <v>48986</v>
      </c>
      <c r="I19" s="171">
        <f>IFERROR(__xludf.DUMMYFUNCTION("""COMPUTED_VALUE"""),412.0)</f>
        <v>412</v>
      </c>
      <c r="J19" s="171">
        <f>IFERROR(__xludf.DUMMYFUNCTION("""COMPUTED_VALUE"""),392.0)</f>
        <v>392</v>
      </c>
      <c r="K19" s="171">
        <f>IFERROR(__xludf.DUMMYFUNCTION("""COMPUTED_VALUE"""),6734.0)</f>
        <v>6734</v>
      </c>
      <c r="L19" s="171">
        <f>IFERROR(__xludf.DUMMYFUNCTION("""COMPUTED_VALUE"""),1843.0)</f>
        <v>1843</v>
      </c>
      <c r="M19" s="171">
        <f>IFERROR(__xludf.DUMMYFUNCTION("""COMPUTED_VALUE"""),35828.0)</f>
        <v>35828</v>
      </c>
      <c r="N19" s="171">
        <f>IFERROR(__xludf.DUMMYFUNCTION("""COMPUTED_VALUE"""),42562.0)</f>
        <v>42562</v>
      </c>
      <c r="O19" s="171">
        <f>IFERROR(__xludf.DUMMYFUNCTION("""COMPUTED_VALUE"""),32.0)</f>
        <v>32</v>
      </c>
      <c r="P19" s="171">
        <f>IFERROR(__xludf.DUMMYFUNCTION("""COMPUTED_VALUE"""),800.0)</f>
        <v>800</v>
      </c>
      <c r="Q19" s="171">
        <f>IFERROR(__xludf.DUMMYFUNCTION("""COMPUTED_VALUE"""),28.0)</f>
        <v>28</v>
      </c>
      <c r="R19" s="171">
        <f>IFERROR(__xludf.DUMMYFUNCTION("""COMPUTED_VALUE"""),393.0)</f>
        <v>393</v>
      </c>
      <c r="S19" s="171">
        <f>IFERROR(__xludf.DUMMYFUNCTION("""COMPUTED_VALUE"""),5.0)</f>
        <v>5</v>
      </c>
      <c r="T19" s="171">
        <f>IFERROR(__xludf.DUMMYFUNCTION("""COMPUTED_VALUE"""),83.0)</f>
        <v>83</v>
      </c>
      <c r="U19" s="171">
        <f>IFERROR(__xludf.DUMMYFUNCTION("""COMPUTED_VALUE"""),324.0)</f>
        <v>324</v>
      </c>
      <c r="V19" s="171">
        <f>IFERROR(__xludf.DUMMYFUNCTION("""COMPUTED_VALUE"""),323.0)</f>
        <v>323</v>
      </c>
      <c r="W19" s="171">
        <f>IFERROR(__xludf.DUMMYFUNCTION("""COMPUTED_VALUE"""),76.0)</f>
        <v>76</v>
      </c>
      <c r="X19" s="171">
        <f>IFERROR(__xludf.DUMMYFUNCTION("""COMPUTED_VALUE"""),62.0)</f>
        <v>62</v>
      </c>
      <c r="Y19" s="171">
        <f>IFERROR(__xludf.DUMMYFUNCTION("""COMPUTED_VALUE"""),15.0)</f>
        <v>15</v>
      </c>
      <c r="Z19" s="171">
        <f>IFERROR(__xludf.DUMMYFUNCTION("""COMPUTED_VALUE"""),247.0)</f>
        <v>247</v>
      </c>
    </row>
    <row r="20">
      <c r="A20" s="232">
        <f>IFERROR(__xludf.DUMMYFUNCTION("""COMPUTED_VALUE"""),43945.0)</f>
        <v>43945</v>
      </c>
      <c r="B20" s="171">
        <f>IFERROR(__xludf.DUMMYFUNCTION("""COMPUTED_VALUE"""),491.0)</f>
        <v>491</v>
      </c>
      <c r="C20" s="171">
        <f>IFERROR(__xludf.DUMMYFUNCTION("""COMPUTED_VALUE"""),463.0)</f>
        <v>463</v>
      </c>
      <c r="D20" s="171">
        <f>IFERROR(__xludf.DUMMYFUNCTION("""COMPUTED_VALUE"""),7700.0)</f>
        <v>7700</v>
      </c>
      <c r="E20" s="171">
        <f>IFERROR(__xludf.DUMMYFUNCTION("""COMPUTED_VALUE"""),3284.0)</f>
        <v>3284</v>
      </c>
      <c r="F20" s="171">
        <f>IFERROR(__xludf.DUMMYFUNCTION("""COMPUTED_VALUE"""),45061.0)</f>
        <v>45061</v>
      </c>
      <c r="G20" s="171">
        <f>IFERROR(__xludf.DUMMYFUNCTION("""COMPUTED_VALUE"""),3775.0)</f>
        <v>3775</v>
      </c>
      <c r="H20" s="171">
        <f>IFERROR(__xludf.DUMMYFUNCTION("""COMPUTED_VALUE"""),52761.0)</f>
        <v>52761</v>
      </c>
      <c r="I20" s="171">
        <f>IFERROR(__xludf.DUMMYFUNCTION("""COMPUTED_VALUE"""),407.0)</f>
        <v>407</v>
      </c>
      <c r="J20" s="171">
        <f>IFERROR(__xludf.DUMMYFUNCTION("""COMPUTED_VALUE"""),399.0)</f>
        <v>399</v>
      </c>
      <c r="K20" s="171">
        <f>IFERROR(__xludf.DUMMYFUNCTION("""COMPUTED_VALUE"""),7141.0)</f>
        <v>7141</v>
      </c>
      <c r="L20" s="171">
        <f>IFERROR(__xludf.DUMMYFUNCTION("""COMPUTED_VALUE"""),2613.0)</f>
        <v>2613</v>
      </c>
      <c r="M20" s="171">
        <f>IFERROR(__xludf.DUMMYFUNCTION("""COMPUTED_VALUE"""),38441.0)</f>
        <v>38441</v>
      </c>
      <c r="N20" s="171">
        <f>IFERROR(__xludf.DUMMYFUNCTION("""COMPUTED_VALUE"""),45582.0)</f>
        <v>45582</v>
      </c>
      <c r="O20" s="171">
        <f>IFERROR(__xludf.DUMMYFUNCTION("""COMPUTED_VALUE"""),35.0)</f>
        <v>35</v>
      </c>
      <c r="P20" s="171">
        <f>IFERROR(__xludf.DUMMYFUNCTION("""COMPUTED_VALUE"""),835.0)</f>
        <v>835</v>
      </c>
      <c r="Q20" s="171">
        <f>IFERROR(__xludf.DUMMYFUNCTION("""COMPUTED_VALUE"""),26.0)</f>
        <v>26</v>
      </c>
      <c r="R20" s="171">
        <f>IFERROR(__xludf.DUMMYFUNCTION("""COMPUTED_VALUE"""),419.0)</f>
        <v>419</v>
      </c>
      <c r="S20" s="171">
        <f>IFERROR(__xludf.DUMMYFUNCTION("""COMPUTED_VALUE"""),4.0)</f>
        <v>4</v>
      </c>
      <c r="T20" s="171">
        <f>IFERROR(__xludf.DUMMYFUNCTION("""COMPUTED_VALUE"""),87.0)</f>
        <v>87</v>
      </c>
      <c r="U20" s="171">
        <f>IFERROR(__xludf.DUMMYFUNCTION("""COMPUTED_VALUE"""),329.0)</f>
        <v>329</v>
      </c>
      <c r="V20" s="171">
        <f>IFERROR(__xludf.DUMMYFUNCTION("""COMPUTED_VALUE"""),326.0)</f>
        <v>326</v>
      </c>
      <c r="W20" s="171">
        <f>IFERROR(__xludf.DUMMYFUNCTION("""COMPUTED_VALUE"""),85.0)</f>
        <v>85</v>
      </c>
      <c r="X20" s="171">
        <f>IFERROR(__xludf.DUMMYFUNCTION("""COMPUTED_VALUE"""),63.0)</f>
        <v>63</v>
      </c>
      <c r="Y20" s="171">
        <f>IFERROR(__xludf.DUMMYFUNCTION("""COMPUTED_VALUE"""),15.0)</f>
        <v>15</v>
      </c>
      <c r="Z20" s="171">
        <f>IFERROR(__xludf.DUMMYFUNCTION("""COMPUTED_VALUE"""),262.0)</f>
        <v>262</v>
      </c>
    </row>
    <row r="21">
      <c r="A21" s="232">
        <f>IFERROR(__xludf.DUMMYFUNCTION("""COMPUTED_VALUE"""),43946.0)</f>
        <v>43946</v>
      </c>
      <c r="B21" s="171">
        <f>IFERROR(__xludf.DUMMYFUNCTION("""COMPUTED_VALUE"""),393.0)</f>
        <v>393</v>
      </c>
      <c r="C21" s="171">
        <f>IFERROR(__xludf.DUMMYFUNCTION("""COMPUTED_VALUE"""),454.0)</f>
        <v>454</v>
      </c>
      <c r="D21" s="171">
        <f>IFERROR(__xludf.DUMMYFUNCTION("""COMPUTED_VALUE"""),8093.0)</f>
        <v>8093</v>
      </c>
      <c r="E21" s="171">
        <f>IFERROR(__xludf.DUMMYFUNCTION("""COMPUTED_VALUE"""),2206.0)</f>
        <v>2206</v>
      </c>
      <c r="F21" s="171">
        <f>IFERROR(__xludf.DUMMYFUNCTION("""COMPUTED_VALUE"""),47267.0)</f>
        <v>47267</v>
      </c>
      <c r="G21" s="171">
        <f>IFERROR(__xludf.DUMMYFUNCTION("""COMPUTED_VALUE"""),2599.0)</f>
        <v>2599</v>
      </c>
      <c r="H21" s="171">
        <f>IFERROR(__xludf.DUMMYFUNCTION("""COMPUTED_VALUE"""),55360.0)</f>
        <v>55360</v>
      </c>
      <c r="I21" s="171">
        <f>IFERROR(__xludf.DUMMYFUNCTION("""COMPUTED_VALUE"""),300.0)</f>
        <v>300</v>
      </c>
      <c r="J21" s="171">
        <f>IFERROR(__xludf.DUMMYFUNCTION("""COMPUTED_VALUE"""),373.0)</f>
        <v>373</v>
      </c>
      <c r="K21" s="171">
        <f>IFERROR(__xludf.DUMMYFUNCTION("""COMPUTED_VALUE"""),7441.0)</f>
        <v>7441</v>
      </c>
      <c r="L21" s="171">
        <f>IFERROR(__xludf.DUMMYFUNCTION("""COMPUTED_VALUE"""),1755.0)</f>
        <v>1755</v>
      </c>
      <c r="M21" s="171">
        <f>IFERROR(__xludf.DUMMYFUNCTION("""COMPUTED_VALUE"""),40196.0)</f>
        <v>40196</v>
      </c>
      <c r="N21" s="171">
        <f>IFERROR(__xludf.DUMMYFUNCTION("""COMPUTED_VALUE"""),47637.0)</f>
        <v>47637</v>
      </c>
      <c r="O21" s="171">
        <f>IFERROR(__xludf.DUMMYFUNCTION("""COMPUTED_VALUE"""),34.0)</f>
        <v>34</v>
      </c>
      <c r="P21" s="171">
        <f>IFERROR(__xludf.DUMMYFUNCTION("""COMPUTED_VALUE"""),869.0)</f>
        <v>869</v>
      </c>
      <c r="Q21" s="171">
        <f>IFERROR(__xludf.DUMMYFUNCTION("""COMPUTED_VALUE"""),17.0)</f>
        <v>17</v>
      </c>
      <c r="R21" s="171">
        <f>IFERROR(__xludf.DUMMYFUNCTION("""COMPUTED_VALUE"""),436.0)</f>
        <v>436</v>
      </c>
      <c r="S21" s="171">
        <f>IFERROR(__xludf.DUMMYFUNCTION("""COMPUTED_VALUE"""),5.0)</f>
        <v>5</v>
      </c>
      <c r="T21" s="171">
        <f>IFERROR(__xludf.DUMMYFUNCTION("""COMPUTED_VALUE"""),92.0)</f>
        <v>92</v>
      </c>
      <c r="U21" s="171">
        <f>IFERROR(__xludf.DUMMYFUNCTION("""COMPUTED_VALUE"""),341.0)</f>
        <v>341</v>
      </c>
      <c r="V21" s="171">
        <f>IFERROR(__xludf.DUMMYFUNCTION("""COMPUTED_VALUE"""),331.0)</f>
        <v>331</v>
      </c>
      <c r="W21" s="171">
        <f>IFERROR(__xludf.DUMMYFUNCTION("""COMPUTED_VALUE"""),85.0)</f>
        <v>85</v>
      </c>
      <c r="X21" s="171">
        <f>IFERROR(__xludf.DUMMYFUNCTION("""COMPUTED_VALUE"""),62.0)</f>
        <v>62</v>
      </c>
      <c r="Y21" s="171">
        <f>IFERROR(__xludf.DUMMYFUNCTION("""COMPUTED_VALUE"""),14.0)</f>
        <v>14</v>
      </c>
      <c r="Z21" s="171">
        <f>IFERROR(__xludf.DUMMYFUNCTION("""COMPUTED_VALUE"""),276.0)</f>
        <v>276</v>
      </c>
    </row>
    <row r="22">
      <c r="A22" s="232">
        <f>IFERROR(__xludf.DUMMYFUNCTION("""COMPUTED_VALUE"""),43947.0)</f>
        <v>43947</v>
      </c>
      <c r="B22" s="171">
        <f>IFERROR(__xludf.DUMMYFUNCTION("""COMPUTED_VALUE"""),316.0)</f>
        <v>316</v>
      </c>
      <c r="C22" s="171">
        <f>IFERROR(__xludf.DUMMYFUNCTION("""COMPUTED_VALUE"""),400.0)</f>
        <v>400</v>
      </c>
      <c r="D22" s="171">
        <f>IFERROR(__xludf.DUMMYFUNCTION("""COMPUTED_VALUE"""),8409.0)</f>
        <v>8409</v>
      </c>
      <c r="E22" s="171">
        <f>IFERROR(__xludf.DUMMYFUNCTION("""COMPUTED_VALUE"""),2309.0)</f>
        <v>2309</v>
      </c>
      <c r="F22" s="171">
        <f>IFERROR(__xludf.DUMMYFUNCTION("""COMPUTED_VALUE"""),49576.0)</f>
        <v>49576</v>
      </c>
      <c r="G22" s="171">
        <f>IFERROR(__xludf.DUMMYFUNCTION("""COMPUTED_VALUE"""),2625.0)</f>
        <v>2625</v>
      </c>
      <c r="H22" s="171">
        <f>IFERROR(__xludf.DUMMYFUNCTION("""COMPUTED_VALUE"""),57985.0)</f>
        <v>57985</v>
      </c>
      <c r="I22" s="171">
        <f>IFERROR(__xludf.DUMMYFUNCTION("""COMPUTED_VALUE"""),274.0)</f>
        <v>274</v>
      </c>
      <c r="J22" s="171">
        <f>IFERROR(__xludf.DUMMYFUNCTION("""COMPUTED_VALUE"""),327.0)</f>
        <v>327</v>
      </c>
      <c r="K22" s="171">
        <f>IFERROR(__xludf.DUMMYFUNCTION("""COMPUTED_VALUE"""),7715.0)</f>
        <v>7715</v>
      </c>
      <c r="L22" s="171">
        <f>IFERROR(__xludf.DUMMYFUNCTION("""COMPUTED_VALUE"""),1864.0)</f>
        <v>1864</v>
      </c>
      <c r="M22" s="171">
        <f>IFERROR(__xludf.DUMMYFUNCTION("""COMPUTED_VALUE"""),42060.0)</f>
        <v>42060</v>
      </c>
      <c r="N22" s="171">
        <f>IFERROR(__xludf.DUMMYFUNCTION("""COMPUTED_VALUE"""),49775.0)</f>
        <v>49775</v>
      </c>
      <c r="O22" s="171">
        <f>IFERROR(__xludf.DUMMYFUNCTION("""COMPUTED_VALUE"""),33.0)</f>
        <v>33</v>
      </c>
      <c r="P22" s="171">
        <f>IFERROR(__xludf.DUMMYFUNCTION("""COMPUTED_VALUE"""),902.0)</f>
        <v>902</v>
      </c>
      <c r="Q22" s="171">
        <f>IFERROR(__xludf.DUMMYFUNCTION("""COMPUTED_VALUE"""),15.0)</f>
        <v>15</v>
      </c>
      <c r="R22" s="171">
        <f>IFERROR(__xludf.DUMMYFUNCTION("""COMPUTED_VALUE"""),451.0)</f>
        <v>451</v>
      </c>
      <c r="S22" s="171">
        <f>IFERROR(__xludf.DUMMYFUNCTION("""COMPUTED_VALUE"""),3.0)</f>
        <v>3</v>
      </c>
      <c r="T22" s="171">
        <f>IFERROR(__xludf.DUMMYFUNCTION("""COMPUTED_VALUE"""),95.0)</f>
        <v>95</v>
      </c>
      <c r="U22" s="171">
        <f>IFERROR(__xludf.DUMMYFUNCTION("""COMPUTED_VALUE"""),356.0)</f>
        <v>356</v>
      </c>
      <c r="V22" s="171">
        <f>IFERROR(__xludf.DUMMYFUNCTION("""COMPUTED_VALUE"""),342.0)</f>
        <v>342</v>
      </c>
      <c r="W22" s="171">
        <f>IFERROR(__xludf.DUMMYFUNCTION("""COMPUTED_VALUE"""),86.0)</f>
        <v>86</v>
      </c>
      <c r="X22" s="171">
        <f>IFERROR(__xludf.DUMMYFUNCTION("""COMPUTED_VALUE"""),59.0)</f>
        <v>59</v>
      </c>
      <c r="Y22" s="171">
        <f>IFERROR(__xludf.DUMMYFUNCTION("""COMPUTED_VALUE"""),14.0)</f>
        <v>14</v>
      </c>
      <c r="Z22" s="171">
        <f>IFERROR(__xludf.DUMMYFUNCTION("""COMPUTED_VALUE"""),290.0)</f>
        <v>290</v>
      </c>
    </row>
    <row r="23">
      <c r="A23" s="232">
        <f>IFERROR(__xludf.DUMMYFUNCTION("""COMPUTED_VALUE"""),43948.0)</f>
        <v>43948</v>
      </c>
      <c r="B23" s="171">
        <f>IFERROR(__xludf.DUMMYFUNCTION("""COMPUTED_VALUE"""),249.0)</f>
        <v>249</v>
      </c>
      <c r="C23" s="171">
        <f>IFERROR(__xludf.DUMMYFUNCTION("""COMPUTED_VALUE"""),319.0)</f>
        <v>319</v>
      </c>
      <c r="D23" s="171">
        <f>IFERROR(__xludf.DUMMYFUNCTION("""COMPUTED_VALUE"""),8658.0)</f>
        <v>8658</v>
      </c>
      <c r="E23" s="171">
        <f>IFERROR(__xludf.DUMMYFUNCTION("""COMPUTED_VALUE"""),1620.0)</f>
        <v>1620</v>
      </c>
      <c r="F23" s="171">
        <f>IFERROR(__xludf.DUMMYFUNCTION("""COMPUTED_VALUE"""),51196.0)</f>
        <v>51196</v>
      </c>
      <c r="G23" s="171">
        <f>IFERROR(__xludf.DUMMYFUNCTION("""COMPUTED_VALUE"""),1869.0)</f>
        <v>1869</v>
      </c>
      <c r="H23" s="171">
        <f>IFERROR(__xludf.DUMMYFUNCTION("""COMPUTED_VALUE"""),59854.0)</f>
        <v>59854</v>
      </c>
      <c r="I23" s="171">
        <f>IFERROR(__xludf.DUMMYFUNCTION("""COMPUTED_VALUE"""),206.0)</f>
        <v>206</v>
      </c>
      <c r="J23" s="171">
        <f>IFERROR(__xludf.DUMMYFUNCTION("""COMPUTED_VALUE"""),260.0)</f>
        <v>260</v>
      </c>
      <c r="K23" s="171">
        <f>IFERROR(__xludf.DUMMYFUNCTION("""COMPUTED_VALUE"""),7921.0)</f>
        <v>7921</v>
      </c>
      <c r="L23" s="171">
        <f>IFERROR(__xludf.DUMMYFUNCTION("""COMPUTED_VALUE"""),1156.0)</f>
        <v>1156</v>
      </c>
      <c r="M23" s="171">
        <f>IFERROR(__xludf.DUMMYFUNCTION("""COMPUTED_VALUE"""),43216.0)</f>
        <v>43216</v>
      </c>
      <c r="N23" s="171">
        <f>IFERROR(__xludf.DUMMYFUNCTION("""COMPUTED_VALUE"""),51137.0)</f>
        <v>51137</v>
      </c>
      <c r="O23" s="171">
        <f>IFERROR(__xludf.DUMMYFUNCTION("""COMPUTED_VALUE"""),29.0)</f>
        <v>29</v>
      </c>
      <c r="P23" s="171">
        <f>IFERROR(__xludf.DUMMYFUNCTION("""COMPUTED_VALUE"""),931.0)</f>
        <v>931</v>
      </c>
      <c r="Q23" s="171">
        <f>IFERROR(__xludf.DUMMYFUNCTION("""COMPUTED_VALUE"""),21.0)</f>
        <v>21</v>
      </c>
      <c r="R23" s="171">
        <f>IFERROR(__xludf.DUMMYFUNCTION("""COMPUTED_VALUE"""),472.0)</f>
        <v>472</v>
      </c>
      <c r="S23" s="171">
        <f>IFERROR(__xludf.DUMMYFUNCTION("""COMPUTED_VALUE"""),4.0)</f>
        <v>4</v>
      </c>
      <c r="T23" s="171">
        <f>IFERROR(__xludf.DUMMYFUNCTION("""COMPUTED_VALUE"""),99.0)</f>
        <v>99</v>
      </c>
      <c r="U23" s="171">
        <f>IFERROR(__xludf.DUMMYFUNCTION("""COMPUTED_VALUE"""),360.0)</f>
        <v>360</v>
      </c>
      <c r="V23" s="171">
        <f>IFERROR(__xludf.DUMMYFUNCTION("""COMPUTED_VALUE"""),352.0)</f>
        <v>352</v>
      </c>
      <c r="W23" s="171">
        <f>IFERROR(__xludf.DUMMYFUNCTION("""COMPUTED_VALUE"""),86.0)</f>
        <v>86</v>
      </c>
      <c r="X23" s="171">
        <f>IFERROR(__xludf.DUMMYFUNCTION("""COMPUTED_VALUE"""),61.0)</f>
        <v>61</v>
      </c>
      <c r="Y23" s="171">
        <f>IFERROR(__xludf.DUMMYFUNCTION("""COMPUTED_VALUE"""),10.0)</f>
        <v>10</v>
      </c>
      <c r="Z23" s="171">
        <f>IFERROR(__xludf.DUMMYFUNCTION("""COMPUTED_VALUE"""),300.0)</f>
        <v>300</v>
      </c>
    </row>
    <row r="24">
      <c r="A24" s="232">
        <f>IFERROR(__xludf.DUMMYFUNCTION("""COMPUTED_VALUE"""),43949.0)</f>
        <v>43949</v>
      </c>
      <c r="B24" s="171">
        <f>IFERROR(__xludf.DUMMYFUNCTION("""COMPUTED_VALUE"""),410.0)</f>
        <v>410</v>
      </c>
      <c r="C24" s="171">
        <f>IFERROR(__xludf.DUMMYFUNCTION("""COMPUTED_VALUE"""),325.0)</f>
        <v>325</v>
      </c>
      <c r="D24" s="171">
        <f>IFERROR(__xludf.DUMMYFUNCTION("""COMPUTED_VALUE"""),9068.0)</f>
        <v>9068</v>
      </c>
      <c r="E24" s="171">
        <f>IFERROR(__xludf.DUMMYFUNCTION("""COMPUTED_VALUE"""),2263.0)</f>
        <v>2263</v>
      </c>
      <c r="F24" s="171">
        <f>IFERROR(__xludf.DUMMYFUNCTION("""COMPUTED_VALUE"""),53459.0)</f>
        <v>53459</v>
      </c>
      <c r="G24" s="171">
        <f>IFERROR(__xludf.DUMMYFUNCTION("""COMPUTED_VALUE"""),2673.0)</f>
        <v>2673</v>
      </c>
      <c r="H24" s="171">
        <f>IFERROR(__xludf.DUMMYFUNCTION("""COMPUTED_VALUE"""),62527.0)</f>
        <v>62527</v>
      </c>
      <c r="I24" s="171">
        <f>IFERROR(__xludf.DUMMYFUNCTION("""COMPUTED_VALUE"""),331.0)</f>
        <v>331</v>
      </c>
      <c r="J24" s="171">
        <f>IFERROR(__xludf.DUMMYFUNCTION("""COMPUTED_VALUE"""),270.0)</f>
        <v>270</v>
      </c>
      <c r="K24" s="171">
        <f>IFERROR(__xludf.DUMMYFUNCTION("""COMPUTED_VALUE"""),8252.0)</f>
        <v>8252</v>
      </c>
      <c r="L24" s="171">
        <f>IFERROR(__xludf.DUMMYFUNCTION("""COMPUTED_VALUE"""),1750.0)</f>
        <v>1750</v>
      </c>
      <c r="M24" s="171">
        <f>IFERROR(__xludf.DUMMYFUNCTION("""COMPUTED_VALUE"""),44966.0)</f>
        <v>44966</v>
      </c>
      <c r="N24" s="171">
        <f>IFERROR(__xludf.DUMMYFUNCTION("""COMPUTED_VALUE"""),53218.0)</f>
        <v>53218</v>
      </c>
      <c r="O24" s="171">
        <f>IFERROR(__xludf.DUMMYFUNCTION("""COMPUTED_VALUE"""),44.0)</f>
        <v>44</v>
      </c>
      <c r="P24" s="171">
        <f>IFERROR(__xludf.DUMMYFUNCTION("""COMPUTED_VALUE"""),975.0)</f>
        <v>975</v>
      </c>
      <c r="Q24" s="171">
        <f>IFERROR(__xludf.DUMMYFUNCTION("""COMPUTED_VALUE"""),24.0)</f>
        <v>24</v>
      </c>
      <c r="R24" s="171">
        <f>IFERROR(__xludf.DUMMYFUNCTION("""COMPUTED_VALUE"""),496.0)</f>
        <v>496</v>
      </c>
      <c r="S24" s="171">
        <f>IFERROR(__xludf.DUMMYFUNCTION("""COMPUTED_VALUE"""),3.0)</f>
        <v>3</v>
      </c>
      <c r="T24" s="171">
        <f>IFERROR(__xludf.DUMMYFUNCTION("""COMPUTED_VALUE"""),102.0)</f>
        <v>102</v>
      </c>
      <c r="U24" s="171">
        <f>IFERROR(__xludf.DUMMYFUNCTION("""COMPUTED_VALUE"""),377.0)</f>
        <v>377</v>
      </c>
      <c r="V24" s="171">
        <f>IFERROR(__xludf.DUMMYFUNCTION("""COMPUTED_VALUE"""),364.0)</f>
        <v>364</v>
      </c>
      <c r="W24" s="171">
        <f>IFERROR(__xludf.DUMMYFUNCTION("""COMPUTED_VALUE"""),88.0)</f>
        <v>88</v>
      </c>
      <c r="X24" s="171">
        <f>IFERROR(__xludf.DUMMYFUNCTION("""COMPUTED_VALUE"""),59.0)</f>
        <v>59</v>
      </c>
      <c r="Y24" s="171">
        <f>IFERROR(__xludf.DUMMYFUNCTION("""COMPUTED_VALUE"""),22.0)</f>
        <v>22</v>
      </c>
      <c r="Z24" s="171">
        <f>IFERROR(__xludf.DUMMYFUNCTION("""COMPUTED_VALUE"""),322.0)</f>
        <v>322</v>
      </c>
    </row>
    <row r="25">
      <c r="A25" s="232">
        <f>IFERROR(__xludf.DUMMYFUNCTION("""COMPUTED_VALUE"""),43950.0)</f>
        <v>43950</v>
      </c>
      <c r="B25" s="171">
        <f>IFERROR(__xludf.DUMMYFUNCTION("""COMPUTED_VALUE"""),476.0)</f>
        <v>476</v>
      </c>
      <c r="C25" s="171">
        <f>IFERROR(__xludf.DUMMYFUNCTION("""COMPUTED_VALUE"""),378.0)</f>
        <v>378</v>
      </c>
      <c r="D25" s="171">
        <f>IFERROR(__xludf.DUMMYFUNCTION("""COMPUTED_VALUE"""),9544.0)</f>
        <v>9544</v>
      </c>
      <c r="E25" s="171">
        <f>IFERROR(__xludf.DUMMYFUNCTION("""COMPUTED_VALUE"""),3343.0)</f>
        <v>3343</v>
      </c>
      <c r="F25" s="171">
        <f>IFERROR(__xludf.DUMMYFUNCTION("""COMPUTED_VALUE"""),56802.0)</f>
        <v>56802</v>
      </c>
      <c r="G25" s="171">
        <f>IFERROR(__xludf.DUMMYFUNCTION("""COMPUTED_VALUE"""),3819.0)</f>
        <v>3819</v>
      </c>
      <c r="H25" s="171">
        <f>IFERROR(__xludf.DUMMYFUNCTION("""COMPUTED_VALUE"""),66346.0)</f>
        <v>66346</v>
      </c>
      <c r="I25" s="171">
        <f>IFERROR(__xludf.DUMMYFUNCTION("""COMPUTED_VALUE"""),371.0)</f>
        <v>371</v>
      </c>
      <c r="J25" s="171">
        <f>IFERROR(__xludf.DUMMYFUNCTION("""COMPUTED_VALUE"""),303.0)</f>
        <v>303</v>
      </c>
      <c r="K25" s="171">
        <f>IFERROR(__xludf.DUMMYFUNCTION("""COMPUTED_VALUE"""),8623.0)</f>
        <v>8623</v>
      </c>
      <c r="L25" s="171">
        <f>IFERROR(__xludf.DUMMYFUNCTION("""COMPUTED_VALUE"""),2411.0)</f>
        <v>2411</v>
      </c>
      <c r="M25" s="171">
        <f>IFERROR(__xludf.DUMMYFUNCTION("""COMPUTED_VALUE"""),47377.0)</f>
        <v>47377</v>
      </c>
      <c r="N25" s="171">
        <f>IFERROR(__xludf.DUMMYFUNCTION("""COMPUTED_VALUE"""),56000.0)</f>
        <v>56000</v>
      </c>
      <c r="O25" s="171">
        <f>IFERROR(__xludf.DUMMYFUNCTION("""COMPUTED_VALUE"""),36.0)</f>
        <v>36</v>
      </c>
      <c r="P25" s="171">
        <f>IFERROR(__xludf.DUMMYFUNCTION("""COMPUTED_VALUE"""),1011.0)</f>
        <v>1011</v>
      </c>
      <c r="Q25" s="171">
        <f>IFERROR(__xludf.DUMMYFUNCTION("""COMPUTED_VALUE"""),38.0)</f>
        <v>38</v>
      </c>
      <c r="R25" s="171">
        <f>IFERROR(__xludf.DUMMYFUNCTION("""COMPUTED_VALUE"""),534.0)</f>
        <v>534</v>
      </c>
      <c r="S25" s="171">
        <f>IFERROR(__xludf.DUMMYFUNCTION("""COMPUTED_VALUE"""),11.0)</f>
        <v>11</v>
      </c>
      <c r="T25" s="171">
        <f>IFERROR(__xludf.DUMMYFUNCTION("""COMPUTED_VALUE"""),113.0)</f>
        <v>113</v>
      </c>
      <c r="U25" s="171">
        <f>IFERROR(__xludf.DUMMYFUNCTION("""COMPUTED_VALUE"""),364.0)</f>
        <v>364</v>
      </c>
      <c r="V25" s="171">
        <f>IFERROR(__xludf.DUMMYFUNCTION("""COMPUTED_VALUE"""),367.0)</f>
        <v>367</v>
      </c>
      <c r="W25" s="171">
        <f>IFERROR(__xludf.DUMMYFUNCTION("""COMPUTED_VALUE"""),78.0)</f>
        <v>78</v>
      </c>
      <c r="X25" s="171">
        <f>IFERROR(__xludf.DUMMYFUNCTION("""COMPUTED_VALUE"""),53.0)</f>
        <v>53</v>
      </c>
      <c r="Y25" s="171">
        <f>IFERROR(__xludf.DUMMYFUNCTION("""COMPUTED_VALUE"""),18.0)</f>
        <v>18</v>
      </c>
      <c r="Z25" s="171">
        <f>IFERROR(__xludf.DUMMYFUNCTION("""COMPUTED_VALUE"""),340.0)</f>
        <v>340</v>
      </c>
    </row>
    <row r="26">
      <c r="A26" s="232">
        <f>IFERROR(__xludf.DUMMYFUNCTION("""COMPUTED_VALUE"""),43951.0)</f>
        <v>43951</v>
      </c>
      <c r="B26" s="171">
        <f>IFERROR(__xludf.DUMMYFUNCTION("""COMPUTED_VALUE"""),432.0)</f>
        <v>432</v>
      </c>
      <c r="C26" s="171">
        <f>IFERROR(__xludf.DUMMYFUNCTION("""COMPUTED_VALUE"""),439.0)</f>
        <v>439</v>
      </c>
      <c r="D26" s="171">
        <f>IFERROR(__xludf.DUMMYFUNCTION("""COMPUTED_VALUE"""),9976.0)</f>
        <v>9976</v>
      </c>
      <c r="E26" s="171">
        <f>IFERROR(__xludf.DUMMYFUNCTION("""COMPUTED_VALUE"""),2769.0)</f>
        <v>2769</v>
      </c>
      <c r="F26" s="171">
        <f>IFERROR(__xludf.DUMMYFUNCTION("""COMPUTED_VALUE"""),59571.0)</f>
        <v>59571</v>
      </c>
      <c r="G26" s="171">
        <f>IFERROR(__xludf.DUMMYFUNCTION("""COMPUTED_VALUE"""),3201.0)</f>
        <v>3201</v>
      </c>
      <c r="H26" s="171">
        <f>IFERROR(__xludf.DUMMYFUNCTION("""COMPUTED_VALUE"""),69547.0)</f>
        <v>69547</v>
      </c>
      <c r="I26" s="171">
        <f>IFERROR(__xludf.DUMMYFUNCTION("""COMPUTED_VALUE"""),350.0)</f>
        <v>350</v>
      </c>
      <c r="J26" s="171">
        <f>IFERROR(__xludf.DUMMYFUNCTION("""COMPUTED_VALUE"""),351.0)</f>
        <v>351</v>
      </c>
      <c r="K26" s="171">
        <f>IFERROR(__xludf.DUMMYFUNCTION("""COMPUTED_VALUE"""),8973.0)</f>
        <v>8973</v>
      </c>
      <c r="L26" s="171">
        <f>IFERROR(__xludf.DUMMYFUNCTION("""COMPUTED_VALUE"""),1900.0)</f>
        <v>1900</v>
      </c>
      <c r="M26" s="171">
        <f>IFERROR(__xludf.DUMMYFUNCTION("""COMPUTED_VALUE"""),49277.0)</f>
        <v>49277</v>
      </c>
      <c r="N26" s="171">
        <f>IFERROR(__xludf.DUMMYFUNCTION("""COMPUTED_VALUE"""),58250.0)</f>
        <v>58250</v>
      </c>
      <c r="O26" s="171">
        <f>IFERROR(__xludf.DUMMYFUNCTION("""COMPUTED_VALUE"""),33.0)</f>
        <v>33</v>
      </c>
      <c r="P26" s="171">
        <f>IFERROR(__xludf.DUMMYFUNCTION("""COMPUTED_VALUE"""),1044.0)</f>
        <v>1044</v>
      </c>
      <c r="Q26" s="171">
        <f>IFERROR(__xludf.DUMMYFUNCTION("""COMPUTED_VALUE"""),38.0)</f>
        <v>38</v>
      </c>
      <c r="R26" s="171">
        <f>IFERROR(__xludf.DUMMYFUNCTION("""COMPUTED_VALUE"""),572.0)</f>
        <v>572</v>
      </c>
      <c r="S26" s="171">
        <f>IFERROR(__xludf.DUMMYFUNCTION("""COMPUTED_VALUE"""),6.0)</f>
        <v>6</v>
      </c>
      <c r="T26" s="171">
        <f>IFERROR(__xludf.DUMMYFUNCTION("""COMPUTED_VALUE"""),119.0)</f>
        <v>119</v>
      </c>
      <c r="U26" s="171">
        <f>IFERROR(__xludf.DUMMYFUNCTION("""COMPUTED_VALUE"""),353.0)</f>
        <v>353</v>
      </c>
      <c r="V26" s="171">
        <f>IFERROR(__xludf.DUMMYFUNCTION("""COMPUTED_VALUE"""),365.0)</f>
        <v>365</v>
      </c>
      <c r="W26" s="171">
        <f>IFERROR(__xludf.DUMMYFUNCTION("""COMPUTED_VALUE"""),83.0)</f>
        <v>83</v>
      </c>
      <c r="X26" s="171">
        <f>IFERROR(__xludf.DUMMYFUNCTION("""COMPUTED_VALUE"""),57.0)</f>
        <v>57</v>
      </c>
      <c r="Y26" s="171">
        <f>IFERROR(__xludf.DUMMYFUNCTION("""COMPUTED_VALUE"""),24.0)</f>
        <v>24</v>
      </c>
      <c r="Z26" s="171">
        <f>IFERROR(__xludf.DUMMYFUNCTION("""COMPUTED_VALUE"""),364.0)</f>
        <v>364</v>
      </c>
    </row>
    <row r="27">
      <c r="A27" s="232">
        <f>IFERROR(__xludf.DUMMYFUNCTION("""COMPUTED_VALUE"""),43952.0)</f>
        <v>43952</v>
      </c>
      <c r="B27" s="171">
        <f>IFERROR(__xludf.DUMMYFUNCTION("""COMPUTED_VALUE"""),454.0)</f>
        <v>454</v>
      </c>
      <c r="C27" s="171">
        <f>IFERROR(__xludf.DUMMYFUNCTION("""COMPUTED_VALUE"""),454.0)</f>
        <v>454</v>
      </c>
      <c r="D27" s="171">
        <f>IFERROR(__xludf.DUMMYFUNCTION("""COMPUTED_VALUE"""),10430.0)</f>
        <v>10430</v>
      </c>
      <c r="E27" s="171">
        <f>IFERROR(__xludf.DUMMYFUNCTION("""COMPUTED_VALUE"""),3086.0)</f>
        <v>3086</v>
      </c>
      <c r="F27" s="171">
        <f>IFERROR(__xludf.DUMMYFUNCTION("""COMPUTED_VALUE"""),62657.0)</f>
        <v>62657</v>
      </c>
      <c r="G27" s="171">
        <f>IFERROR(__xludf.DUMMYFUNCTION("""COMPUTED_VALUE"""),3540.0)</f>
        <v>3540</v>
      </c>
      <c r="H27" s="171">
        <f>IFERROR(__xludf.DUMMYFUNCTION("""COMPUTED_VALUE"""),73087.0)</f>
        <v>73087</v>
      </c>
      <c r="I27" s="171">
        <f>IFERROR(__xludf.DUMMYFUNCTION("""COMPUTED_VALUE"""),324.0)</f>
        <v>324</v>
      </c>
      <c r="J27" s="171">
        <f>IFERROR(__xludf.DUMMYFUNCTION("""COMPUTED_VALUE"""),348.0)</f>
        <v>348</v>
      </c>
      <c r="K27" s="171">
        <f>IFERROR(__xludf.DUMMYFUNCTION("""COMPUTED_VALUE"""),9297.0)</f>
        <v>9297</v>
      </c>
      <c r="L27" s="171">
        <f>IFERROR(__xludf.DUMMYFUNCTION("""COMPUTED_VALUE"""),2152.0)</f>
        <v>2152</v>
      </c>
      <c r="M27" s="171">
        <f>IFERROR(__xludf.DUMMYFUNCTION("""COMPUTED_VALUE"""),51429.0)</f>
        <v>51429</v>
      </c>
      <c r="N27" s="171">
        <f>IFERROR(__xludf.DUMMYFUNCTION("""COMPUTED_VALUE"""),60726.0)</f>
        <v>60726</v>
      </c>
      <c r="O27" s="171">
        <f>IFERROR(__xludf.DUMMYFUNCTION("""COMPUTED_VALUE"""),51.0)</f>
        <v>51</v>
      </c>
      <c r="P27" s="171">
        <f>IFERROR(__xludf.DUMMYFUNCTION("""COMPUTED_VALUE"""),1095.0)</f>
        <v>1095</v>
      </c>
      <c r="Q27" s="171">
        <f>IFERROR(__xludf.DUMMYFUNCTION("""COMPUTED_VALUE"""),39.0)</f>
        <v>39</v>
      </c>
      <c r="R27" s="171">
        <f>IFERROR(__xludf.DUMMYFUNCTION("""COMPUTED_VALUE"""),611.0)</f>
        <v>611</v>
      </c>
      <c r="S27" s="171">
        <f>IFERROR(__xludf.DUMMYFUNCTION("""COMPUTED_VALUE"""),3.0)</f>
        <v>3</v>
      </c>
      <c r="T27" s="171">
        <f>IFERROR(__xludf.DUMMYFUNCTION("""COMPUTED_VALUE"""),122.0)</f>
        <v>122</v>
      </c>
      <c r="U27" s="171">
        <f>IFERROR(__xludf.DUMMYFUNCTION("""COMPUTED_VALUE"""),362.0)</f>
        <v>362</v>
      </c>
      <c r="V27" s="171">
        <f>IFERROR(__xludf.DUMMYFUNCTION("""COMPUTED_VALUE"""),360.0)</f>
        <v>360</v>
      </c>
      <c r="W27" s="171">
        <f>IFERROR(__xludf.DUMMYFUNCTION("""COMPUTED_VALUE"""),84.0)</f>
        <v>84</v>
      </c>
      <c r="X27" s="171">
        <f>IFERROR(__xludf.DUMMYFUNCTION("""COMPUTED_VALUE"""),58.0)</f>
        <v>58</v>
      </c>
      <c r="Y27" s="171">
        <f>IFERROR(__xludf.DUMMYFUNCTION("""COMPUTED_VALUE"""),14.0)</f>
        <v>14</v>
      </c>
      <c r="Z27" s="171">
        <f>IFERROR(__xludf.DUMMYFUNCTION("""COMPUTED_VALUE"""),378.0)</f>
        <v>378</v>
      </c>
    </row>
    <row r="28">
      <c r="A28" s="232">
        <f>IFERROR(__xludf.DUMMYFUNCTION("""COMPUTED_VALUE"""),43953.0)</f>
        <v>43953</v>
      </c>
      <c r="B28" s="171">
        <f>IFERROR(__xludf.DUMMYFUNCTION("""COMPUTED_VALUE"""),257.0)</f>
        <v>257</v>
      </c>
      <c r="C28" s="171">
        <f>IFERROR(__xludf.DUMMYFUNCTION("""COMPUTED_VALUE"""),381.0)</f>
        <v>381</v>
      </c>
      <c r="D28" s="171">
        <f>IFERROR(__xludf.DUMMYFUNCTION("""COMPUTED_VALUE"""),10687.0)</f>
        <v>10687</v>
      </c>
      <c r="E28" s="171">
        <f>IFERROR(__xludf.DUMMYFUNCTION("""COMPUTED_VALUE"""),1926.0)</f>
        <v>1926</v>
      </c>
      <c r="F28" s="171">
        <f>IFERROR(__xludf.DUMMYFUNCTION("""COMPUTED_VALUE"""),64583.0)</f>
        <v>64583</v>
      </c>
      <c r="G28" s="171">
        <f>IFERROR(__xludf.DUMMYFUNCTION("""COMPUTED_VALUE"""),2183.0)</f>
        <v>2183</v>
      </c>
      <c r="H28" s="171">
        <f>IFERROR(__xludf.DUMMYFUNCTION("""COMPUTED_VALUE"""),75270.0)</f>
        <v>75270</v>
      </c>
      <c r="I28" s="171">
        <f>IFERROR(__xludf.DUMMYFUNCTION("""COMPUTED_VALUE"""),192.0)</f>
        <v>192</v>
      </c>
      <c r="J28" s="171">
        <f>IFERROR(__xludf.DUMMYFUNCTION("""COMPUTED_VALUE"""),289.0)</f>
        <v>289</v>
      </c>
      <c r="K28" s="171">
        <f>IFERROR(__xludf.DUMMYFUNCTION("""COMPUTED_VALUE"""),9489.0)</f>
        <v>9489</v>
      </c>
      <c r="L28" s="171">
        <f>IFERROR(__xludf.DUMMYFUNCTION("""COMPUTED_VALUE"""),1261.0)</f>
        <v>1261</v>
      </c>
      <c r="M28" s="171">
        <f>IFERROR(__xludf.DUMMYFUNCTION("""COMPUTED_VALUE"""),52690.0)</f>
        <v>52690</v>
      </c>
      <c r="N28" s="171">
        <f>IFERROR(__xludf.DUMMYFUNCTION("""COMPUTED_VALUE"""),62179.0)</f>
        <v>62179</v>
      </c>
      <c r="O28" s="171">
        <f>IFERROR(__xludf.DUMMYFUNCTION("""COMPUTED_VALUE"""),36.0)</f>
        <v>36</v>
      </c>
      <c r="P28" s="171">
        <f>IFERROR(__xludf.DUMMYFUNCTION("""COMPUTED_VALUE"""),1131.0)</f>
        <v>1131</v>
      </c>
      <c r="Q28" s="171">
        <f>IFERROR(__xludf.DUMMYFUNCTION("""COMPUTED_VALUE"""),38.0)</f>
        <v>38</v>
      </c>
      <c r="R28" s="171">
        <f>IFERROR(__xludf.DUMMYFUNCTION("""COMPUTED_VALUE"""),649.0)</f>
        <v>649</v>
      </c>
      <c r="S28" s="171">
        <f>IFERROR(__xludf.DUMMYFUNCTION("""COMPUTED_VALUE"""),5.0)</f>
        <v>5</v>
      </c>
      <c r="T28" s="171">
        <f>IFERROR(__xludf.DUMMYFUNCTION("""COMPUTED_VALUE"""),127.0)</f>
        <v>127</v>
      </c>
      <c r="U28" s="171">
        <f>IFERROR(__xludf.DUMMYFUNCTION("""COMPUTED_VALUE"""),355.0)</f>
        <v>355</v>
      </c>
      <c r="V28" s="171">
        <f>IFERROR(__xludf.DUMMYFUNCTION("""COMPUTED_VALUE"""),357.0)</f>
        <v>357</v>
      </c>
      <c r="W28" s="171">
        <f>IFERROR(__xludf.DUMMYFUNCTION("""COMPUTED_VALUE"""),91.0)</f>
        <v>91</v>
      </c>
      <c r="X28" s="171">
        <f>IFERROR(__xludf.DUMMYFUNCTION("""COMPUTED_VALUE"""),62.0)</f>
        <v>62</v>
      </c>
      <c r="Y28" s="171">
        <f>IFERROR(__xludf.DUMMYFUNCTION("""COMPUTED_VALUE"""),24.0)</f>
        <v>24</v>
      </c>
      <c r="Z28" s="171">
        <f>IFERROR(__xludf.DUMMYFUNCTION("""COMPUTED_VALUE"""),402.0)</f>
        <v>402</v>
      </c>
    </row>
    <row r="29">
      <c r="A29" s="232">
        <f>IFERROR(__xludf.DUMMYFUNCTION("""COMPUTED_VALUE"""),43954.0)</f>
        <v>43954</v>
      </c>
      <c r="B29" s="171">
        <f>IFERROR(__xludf.DUMMYFUNCTION("""COMPUTED_VALUE"""),283.0)</f>
        <v>283</v>
      </c>
      <c r="C29" s="171">
        <f>IFERROR(__xludf.DUMMYFUNCTION("""COMPUTED_VALUE"""),331.0)</f>
        <v>331</v>
      </c>
      <c r="D29" s="171">
        <f>IFERROR(__xludf.DUMMYFUNCTION("""COMPUTED_VALUE"""),10970.0)</f>
        <v>10970</v>
      </c>
      <c r="E29" s="171">
        <f>IFERROR(__xludf.DUMMYFUNCTION("""COMPUTED_VALUE"""),2160.0)</f>
        <v>2160</v>
      </c>
      <c r="F29" s="171">
        <f>IFERROR(__xludf.DUMMYFUNCTION("""COMPUTED_VALUE"""),66743.0)</f>
        <v>66743</v>
      </c>
      <c r="G29" s="171">
        <f>IFERROR(__xludf.DUMMYFUNCTION("""COMPUTED_VALUE"""),2443.0)</f>
        <v>2443</v>
      </c>
      <c r="H29" s="171">
        <f>IFERROR(__xludf.DUMMYFUNCTION("""COMPUTED_VALUE"""),77713.0)</f>
        <v>77713</v>
      </c>
      <c r="I29" s="171">
        <f>IFERROR(__xludf.DUMMYFUNCTION("""COMPUTED_VALUE"""),183.0)</f>
        <v>183</v>
      </c>
      <c r="J29" s="171">
        <f>IFERROR(__xludf.DUMMYFUNCTION("""COMPUTED_VALUE"""),233.0)</f>
        <v>233</v>
      </c>
      <c r="K29" s="171">
        <f>IFERROR(__xludf.DUMMYFUNCTION("""COMPUTED_VALUE"""),9672.0)</f>
        <v>9672</v>
      </c>
      <c r="L29" s="171">
        <f>IFERROR(__xludf.DUMMYFUNCTION("""COMPUTED_VALUE"""),1562.0)</f>
        <v>1562</v>
      </c>
      <c r="M29" s="171">
        <f>IFERROR(__xludf.DUMMYFUNCTION("""COMPUTED_VALUE"""),54252.0)</f>
        <v>54252</v>
      </c>
      <c r="N29" s="171">
        <f>IFERROR(__xludf.DUMMYFUNCTION("""COMPUTED_VALUE"""),63924.0)</f>
        <v>63924</v>
      </c>
      <c r="O29" s="171">
        <f>IFERROR(__xludf.DUMMYFUNCTION("""COMPUTED_VALUE"""),31.0)</f>
        <v>31</v>
      </c>
      <c r="P29" s="171">
        <f>IFERROR(__xludf.DUMMYFUNCTION("""COMPUTED_VALUE"""),1162.0)</f>
        <v>1162</v>
      </c>
      <c r="Q29" s="171">
        <f>IFERROR(__xludf.DUMMYFUNCTION("""COMPUTED_VALUE"""),27.0)</f>
        <v>27</v>
      </c>
      <c r="R29" s="171">
        <f>IFERROR(__xludf.DUMMYFUNCTION("""COMPUTED_VALUE"""),676.0)</f>
        <v>676</v>
      </c>
      <c r="S29" s="171">
        <f>IFERROR(__xludf.DUMMYFUNCTION("""COMPUTED_VALUE"""),8.0)</f>
        <v>8</v>
      </c>
      <c r="T29" s="171">
        <f>IFERROR(__xludf.DUMMYFUNCTION("""COMPUTED_VALUE"""),135.0)</f>
        <v>135</v>
      </c>
      <c r="U29" s="171">
        <f>IFERROR(__xludf.DUMMYFUNCTION("""COMPUTED_VALUE"""),351.0)</f>
        <v>351</v>
      </c>
      <c r="V29" s="171">
        <f>IFERROR(__xludf.DUMMYFUNCTION("""COMPUTED_VALUE"""),356.0)</f>
        <v>356</v>
      </c>
      <c r="W29" s="171">
        <f>IFERROR(__xludf.DUMMYFUNCTION("""COMPUTED_VALUE"""),90.0)</f>
        <v>90</v>
      </c>
      <c r="X29" s="171">
        <f>IFERROR(__xludf.DUMMYFUNCTION("""COMPUTED_VALUE"""),61.0)</f>
        <v>61</v>
      </c>
      <c r="Y29" s="171">
        <f>IFERROR(__xludf.DUMMYFUNCTION("""COMPUTED_VALUE"""),21.0)</f>
        <v>21</v>
      </c>
      <c r="Z29" s="171">
        <f>IFERROR(__xludf.DUMMYFUNCTION("""COMPUTED_VALUE"""),423.0)</f>
        <v>423</v>
      </c>
    </row>
    <row r="30">
      <c r="A30" s="232">
        <f>IFERROR(__xludf.DUMMYFUNCTION("""COMPUTED_VALUE"""),43955.0)</f>
        <v>43955</v>
      </c>
      <c r="B30" s="171">
        <f>IFERROR(__xludf.DUMMYFUNCTION("""COMPUTED_VALUE"""),387.0)</f>
        <v>387</v>
      </c>
      <c r="C30" s="171">
        <f>IFERROR(__xludf.DUMMYFUNCTION("""COMPUTED_VALUE"""),309.0)</f>
        <v>309</v>
      </c>
      <c r="D30" s="171">
        <f>IFERROR(__xludf.DUMMYFUNCTION("""COMPUTED_VALUE"""),11357.0)</f>
        <v>11357</v>
      </c>
      <c r="E30" s="171">
        <f>IFERROR(__xludf.DUMMYFUNCTION("""COMPUTED_VALUE"""),2098.0)</f>
        <v>2098</v>
      </c>
      <c r="F30" s="171">
        <f>IFERROR(__xludf.DUMMYFUNCTION("""COMPUTED_VALUE"""),68841.0)</f>
        <v>68841</v>
      </c>
      <c r="G30" s="171">
        <f>IFERROR(__xludf.DUMMYFUNCTION("""COMPUTED_VALUE"""),2485.0)</f>
        <v>2485</v>
      </c>
      <c r="H30" s="171">
        <f>IFERROR(__xludf.DUMMYFUNCTION("""COMPUTED_VALUE"""),80198.0)</f>
        <v>80198</v>
      </c>
      <c r="I30" s="171">
        <f>IFERROR(__xludf.DUMMYFUNCTION("""COMPUTED_VALUE"""),290.0)</f>
        <v>290</v>
      </c>
      <c r="J30" s="171">
        <f>IFERROR(__xludf.DUMMYFUNCTION("""COMPUTED_VALUE"""),222.0)</f>
        <v>222</v>
      </c>
      <c r="K30" s="171">
        <f>IFERROR(__xludf.DUMMYFUNCTION("""COMPUTED_VALUE"""),9962.0)</f>
        <v>9962</v>
      </c>
      <c r="L30" s="171">
        <f>IFERROR(__xludf.DUMMYFUNCTION("""COMPUTED_VALUE"""),1555.0)</f>
        <v>1555</v>
      </c>
      <c r="M30" s="171">
        <f>IFERROR(__xludf.DUMMYFUNCTION("""COMPUTED_VALUE"""),55807.0)</f>
        <v>55807</v>
      </c>
      <c r="N30" s="171">
        <f>IFERROR(__xludf.DUMMYFUNCTION("""COMPUTED_VALUE"""),65769.0)</f>
        <v>65769</v>
      </c>
      <c r="O30" s="171">
        <f>IFERROR(__xludf.DUMMYFUNCTION("""COMPUTED_VALUE"""),30.0)</f>
        <v>30</v>
      </c>
      <c r="P30" s="171">
        <f>IFERROR(__xludf.DUMMYFUNCTION("""COMPUTED_VALUE"""),1192.0)</f>
        <v>1192</v>
      </c>
      <c r="Q30" s="171">
        <f>IFERROR(__xludf.DUMMYFUNCTION("""COMPUTED_VALUE"""),31.0)</f>
        <v>31</v>
      </c>
      <c r="R30" s="171">
        <f>IFERROR(__xludf.DUMMYFUNCTION("""COMPUTED_VALUE"""),707.0)</f>
        <v>707</v>
      </c>
      <c r="S30" s="171">
        <f>IFERROR(__xludf.DUMMYFUNCTION("""COMPUTED_VALUE"""),5.0)</f>
        <v>5</v>
      </c>
      <c r="T30" s="171">
        <f>IFERROR(__xludf.DUMMYFUNCTION("""COMPUTED_VALUE"""),140.0)</f>
        <v>140</v>
      </c>
      <c r="U30" s="171">
        <f>IFERROR(__xludf.DUMMYFUNCTION("""COMPUTED_VALUE"""),345.0)</f>
        <v>345</v>
      </c>
      <c r="V30" s="171">
        <f>IFERROR(__xludf.DUMMYFUNCTION("""COMPUTED_VALUE"""),350.0)</f>
        <v>350</v>
      </c>
      <c r="W30" s="171">
        <f>IFERROR(__xludf.DUMMYFUNCTION("""COMPUTED_VALUE"""),88.0)</f>
        <v>88</v>
      </c>
      <c r="X30" s="171">
        <f>IFERROR(__xludf.DUMMYFUNCTION("""COMPUTED_VALUE"""),57.0)</f>
        <v>57</v>
      </c>
      <c r="Y30" s="171">
        <f>IFERROR(__xludf.DUMMYFUNCTION("""COMPUTED_VALUE"""),18.0)</f>
        <v>18</v>
      </c>
      <c r="Z30" s="171">
        <f>IFERROR(__xludf.DUMMYFUNCTION("""COMPUTED_VALUE"""),441.0)</f>
        <v>441</v>
      </c>
    </row>
    <row r="31">
      <c r="A31" s="232">
        <f>IFERROR(__xludf.DUMMYFUNCTION("""COMPUTED_VALUE"""),43956.0)</f>
        <v>43956</v>
      </c>
      <c r="B31" s="171">
        <f>IFERROR(__xludf.DUMMYFUNCTION("""COMPUTED_VALUE"""),433.0)</f>
        <v>433</v>
      </c>
      <c r="C31" s="171">
        <f>IFERROR(__xludf.DUMMYFUNCTION("""COMPUTED_VALUE"""),368.0)</f>
        <v>368</v>
      </c>
      <c r="D31" s="171">
        <f>IFERROR(__xludf.DUMMYFUNCTION("""COMPUTED_VALUE"""),11790.0)</f>
        <v>11790</v>
      </c>
      <c r="E31" s="171">
        <f>IFERROR(__xludf.DUMMYFUNCTION("""COMPUTED_VALUE"""),2873.0)</f>
        <v>2873</v>
      </c>
      <c r="F31" s="171">
        <f>IFERROR(__xludf.DUMMYFUNCTION("""COMPUTED_VALUE"""),71714.0)</f>
        <v>71714</v>
      </c>
      <c r="G31" s="171">
        <f>IFERROR(__xludf.DUMMYFUNCTION("""COMPUTED_VALUE"""),3306.0)</f>
        <v>3306</v>
      </c>
      <c r="H31" s="171">
        <f>IFERROR(__xludf.DUMMYFUNCTION("""COMPUTED_VALUE"""),83504.0)</f>
        <v>83504</v>
      </c>
      <c r="I31" s="171">
        <f>IFERROR(__xludf.DUMMYFUNCTION("""COMPUTED_VALUE"""),301.0)</f>
        <v>301</v>
      </c>
      <c r="J31" s="171">
        <f>IFERROR(__xludf.DUMMYFUNCTION("""COMPUTED_VALUE"""),258.0)</f>
        <v>258</v>
      </c>
      <c r="K31" s="171">
        <f>IFERROR(__xludf.DUMMYFUNCTION("""COMPUTED_VALUE"""),10263.0)</f>
        <v>10263</v>
      </c>
      <c r="L31" s="171">
        <f>IFERROR(__xludf.DUMMYFUNCTION("""COMPUTED_VALUE"""),1951.0)</f>
        <v>1951</v>
      </c>
      <c r="M31" s="171">
        <f>IFERROR(__xludf.DUMMYFUNCTION("""COMPUTED_VALUE"""),57758.0)</f>
        <v>57758</v>
      </c>
      <c r="N31" s="171">
        <f>IFERROR(__xludf.DUMMYFUNCTION("""COMPUTED_VALUE"""),68021.0)</f>
        <v>68021</v>
      </c>
      <c r="O31" s="171">
        <f>IFERROR(__xludf.DUMMYFUNCTION("""COMPUTED_VALUE"""),29.0)</f>
        <v>29</v>
      </c>
      <c r="P31" s="171">
        <f>IFERROR(__xludf.DUMMYFUNCTION("""COMPUTED_VALUE"""),1221.0)</f>
        <v>1221</v>
      </c>
      <c r="Q31" s="171">
        <f>IFERROR(__xludf.DUMMYFUNCTION("""COMPUTED_VALUE"""),32.0)</f>
        <v>32</v>
      </c>
      <c r="R31" s="171">
        <f>IFERROR(__xludf.DUMMYFUNCTION("""COMPUTED_VALUE"""),739.0)</f>
        <v>739</v>
      </c>
      <c r="S31" s="171">
        <f>IFERROR(__xludf.DUMMYFUNCTION("""COMPUTED_VALUE"""),6.0)</f>
        <v>6</v>
      </c>
      <c r="T31" s="171">
        <f>IFERROR(__xludf.DUMMYFUNCTION("""COMPUTED_VALUE"""),146.0)</f>
        <v>146</v>
      </c>
      <c r="U31" s="171">
        <f>IFERROR(__xludf.DUMMYFUNCTION("""COMPUTED_VALUE"""),336.0)</f>
        <v>336</v>
      </c>
      <c r="V31" s="171">
        <f>IFERROR(__xludf.DUMMYFUNCTION("""COMPUTED_VALUE"""),344.0)</f>
        <v>344</v>
      </c>
      <c r="W31" s="171">
        <f>IFERROR(__xludf.DUMMYFUNCTION("""COMPUTED_VALUE"""),82.0)</f>
        <v>82</v>
      </c>
      <c r="X31" s="171">
        <f>IFERROR(__xludf.DUMMYFUNCTION("""COMPUTED_VALUE"""),54.0)</f>
        <v>54</v>
      </c>
      <c r="Y31" s="171">
        <f>IFERROR(__xludf.DUMMYFUNCTION("""COMPUTED_VALUE"""),16.0)</f>
        <v>16</v>
      </c>
      <c r="Z31" s="171">
        <f>IFERROR(__xludf.DUMMYFUNCTION("""COMPUTED_VALUE"""),457.0)</f>
        <v>457</v>
      </c>
    </row>
    <row r="32">
      <c r="A32" s="232">
        <f>IFERROR(__xludf.DUMMYFUNCTION("""COMPUTED_VALUE"""),43957.0)</f>
        <v>43957</v>
      </c>
      <c r="B32" s="171">
        <f>IFERROR(__xludf.DUMMYFUNCTION("""COMPUTED_VALUE"""),488.0)</f>
        <v>488</v>
      </c>
      <c r="C32" s="171">
        <f>IFERROR(__xludf.DUMMYFUNCTION("""COMPUTED_VALUE"""),436.0)</f>
        <v>436</v>
      </c>
      <c r="D32" s="171">
        <f>IFERROR(__xludf.DUMMYFUNCTION("""COMPUTED_VALUE"""),12278.0)</f>
        <v>12278</v>
      </c>
      <c r="E32" s="171">
        <f>IFERROR(__xludf.DUMMYFUNCTION("""COMPUTED_VALUE"""),2830.0)</f>
        <v>2830</v>
      </c>
      <c r="F32" s="171">
        <f>IFERROR(__xludf.DUMMYFUNCTION("""COMPUTED_VALUE"""),74544.0)</f>
        <v>74544</v>
      </c>
      <c r="G32" s="171">
        <f>IFERROR(__xludf.DUMMYFUNCTION("""COMPUTED_VALUE"""),3318.0)</f>
        <v>3318</v>
      </c>
      <c r="H32" s="171">
        <f>IFERROR(__xludf.DUMMYFUNCTION("""COMPUTED_VALUE"""),86822.0)</f>
        <v>86822</v>
      </c>
      <c r="I32" s="171">
        <f>IFERROR(__xludf.DUMMYFUNCTION("""COMPUTED_VALUE"""),340.0)</f>
        <v>340</v>
      </c>
      <c r="J32" s="171">
        <f>IFERROR(__xludf.DUMMYFUNCTION("""COMPUTED_VALUE"""),310.0)</f>
        <v>310</v>
      </c>
      <c r="K32" s="171">
        <f>IFERROR(__xludf.DUMMYFUNCTION("""COMPUTED_VALUE"""),10603.0)</f>
        <v>10603</v>
      </c>
      <c r="L32" s="171">
        <f>IFERROR(__xludf.DUMMYFUNCTION("""COMPUTED_VALUE"""),1911.0)</f>
        <v>1911</v>
      </c>
      <c r="M32" s="171">
        <f>IFERROR(__xludf.DUMMYFUNCTION("""COMPUTED_VALUE"""),59669.0)</f>
        <v>59669</v>
      </c>
      <c r="N32" s="171">
        <f>IFERROR(__xludf.DUMMYFUNCTION("""COMPUTED_VALUE"""),70272.0)</f>
        <v>70272</v>
      </c>
      <c r="O32" s="171">
        <f>IFERROR(__xludf.DUMMYFUNCTION("""COMPUTED_VALUE"""),28.0)</f>
        <v>28</v>
      </c>
      <c r="P32" s="171">
        <f>IFERROR(__xludf.DUMMYFUNCTION("""COMPUTED_VALUE"""),1249.0)</f>
        <v>1249</v>
      </c>
      <c r="Q32" s="171">
        <f>IFERROR(__xludf.DUMMYFUNCTION("""COMPUTED_VALUE"""),44.0)</f>
        <v>44</v>
      </c>
      <c r="R32" s="171">
        <f>IFERROR(__xludf.DUMMYFUNCTION("""COMPUTED_VALUE"""),783.0)</f>
        <v>783</v>
      </c>
      <c r="S32" s="171">
        <f>IFERROR(__xludf.DUMMYFUNCTION("""COMPUTED_VALUE"""),9.0)</f>
        <v>9</v>
      </c>
      <c r="T32" s="171">
        <f>IFERROR(__xludf.DUMMYFUNCTION("""COMPUTED_VALUE"""),155.0)</f>
        <v>155</v>
      </c>
      <c r="U32" s="171">
        <f>IFERROR(__xludf.DUMMYFUNCTION("""COMPUTED_VALUE"""),311.0)</f>
        <v>311</v>
      </c>
      <c r="V32" s="171">
        <f>IFERROR(__xludf.DUMMYFUNCTION("""COMPUTED_VALUE"""),331.0)</f>
        <v>331</v>
      </c>
      <c r="W32" s="171">
        <f>IFERROR(__xludf.DUMMYFUNCTION("""COMPUTED_VALUE"""),79.0)</f>
        <v>79</v>
      </c>
      <c r="X32" s="171">
        <f>IFERROR(__xludf.DUMMYFUNCTION("""COMPUTED_VALUE"""),54.0)</f>
        <v>54</v>
      </c>
      <c r="Y32" s="171">
        <f>IFERROR(__xludf.DUMMYFUNCTION("""COMPUTED_VALUE"""),21.0)</f>
        <v>21</v>
      </c>
      <c r="Z32" s="171">
        <f>IFERROR(__xludf.DUMMYFUNCTION("""COMPUTED_VALUE"""),478.0)</f>
        <v>478</v>
      </c>
    </row>
    <row r="33">
      <c r="A33" s="232">
        <f>IFERROR(__xludf.DUMMYFUNCTION("""COMPUTED_VALUE"""),43958.0)</f>
        <v>43958</v>
      </c>
      <c r="B33" s="171">
        <f>IFERROR(__xludf.DUMMYFUNCTION("""COMPUTED_VALUE"""),425.0)</f>
        <v>425</v>
      </c>
      <c r="C33" s="171">
        <f>IFERROR(__xludf.DUMMYFUNCTION("""COMPUTED_VALUE"""),449.0)</f>
        <v>449</v>
      </c>
      <c r="D33" s="171">
        <f>IFERROR(__xludf.DUMMYFUNCTION("""COMPUTED_VALUE"""),12703.0)</f>
        <v>12703</v>
      </c>
      <c r="E33" s="171">
        <f>IFERROR(__xludf.DUMMYFUNCTION("""COMPUTED_VALUE"""),2969.0)</f>
        <v>2969</v>
      </c>
      <c r="F33" s="171">
        <f>IFERROR(__xludf.DUMMYFUNCTION("""COMPUTED_VALUE"""),77513.0)</f>
        <v>77513</v>
      </c>
      <c r="G33" s="171">
        <f>IFERROR(__xludf.DUMMYFUNCTION("""COMPUTED_VALUE"""),3394.0)</f>
        <v>3394</v>
      </c>
      <c r="H33" s="171">
        <f>IFERROR(__xludf.DUMMYFUNCTION("""COMPUTED_VALUE"""),90216.0)</f>
        <v>90216</v>
      </c>
      <c r="I33" s="171">
        <f>IFERROR(__xludf.DUMMYFUNCTION("""COMPUTED_VALUE"""),270.0)</f>
        <v>270</v>
      </c>
      <c r="J33" s="171">
        <f>IFERROR(__xludf.DUMMYFUNCTION("""COMPUTED_VALUE"""),304.0)</f>
        <v>304</v>
      </c>
      <c r="K33" s="171">
        <f>IFERROR(__xludf.DUMMYFUNCTION("""COMPUTED_VALUE"""),10873.0)</f>
        <v>10873</v>
      </c>
      <c r="L33" s="171">
        <f>IFERROR(__xludf.DUMMYFUNCTION("""COMPUTED_VALUE"""),1954.0)</f>
        <v>1954</v>
      </c>
      <c r="M33" s="171">
        <f>IFERROR(__xludf.DUMMYFUNCTION("""COMPUTED_VALUE"""),61623.0)</f>
        <v>61623</v>
      </c>
      <c r="N33" s="171">
        <f>IFERROR(__xludf.DUMMYFUNCTION("""COMPUTED_VALUE"""),72496.0)</f>
        <v>72496</v>
      </c>
      <c r="O33" s="171">
        <f>IFERROR(__xludf.DUMMYFUNCTION("""COMPUTED_VALUE"""),36.0)</f>
        <v>36</v>
      </c>
      <c r="P33" s="171">
        <f>IFERROR(__xludf.DUMMYFUNCTION("""COMPUTED_VALUE"""),1285.0)</f>
        <v>1285</v>
      </c>
      <c r="Q33" s="171">
        <f>IFERROR(__xludf.DUMMYFUNCTION("""COMPUTED_VALUE"""),41.0)</f>
        <v>41</v>
      </c>
      <c r="R33" s="171">
        <f>IFERROR(__xludf.DUMMYFUNCTION("""COMPUTED_VALUE"""),824.0)</f>
        <v>824</v>
      </c>
      <c r="S33" s="171">
        <f>IFERROR(__xludf.DUMMYFUNCTION("""COMPUTED_VALUE"""),5.0)</f>
        <v>5</v>
      </c>
      <c r="T33" s="171">
        <f>IFERROR(__xludf.DUMMYFUNCTION("""COMPUTED_VALUE"""),160.0)</f>
        <v>160</v>
      </c>
      <c r="U33" s="171">
        <f>IFERROR(__xludf.DUMMYFUNCTION("""COMPUTED_VALUE"""),301.0)</f>
        <v>301</v>
      </c>
      <c r="V33" s="171">
        <f>IFERROR(__xludf.DUMMYFUNCTION("""COMPUTED_VALUE"""),316.0)</f>
        <v>316</v>
      </c>
      <c r="W33" s="171">
        <f>IFERROR(__xludf.DUMMYFUNCTION("""COMPUTED_VALUE"""),71.0)</f>
        <v>71</v>
      </c>
      <c r="X33" s="171">
        <f>IFERROR(__xludf.DUMMYFUNCTION("""COMPUTED_VALUE"""),52.0)</f>
        <v>52</v>
      </c>
      <c r="Y33" s="171">
        <f>IFERROR(__xludf.DUMMYFUNCTION("""COMPUTED_VALUE"""),21.0)</f>
        <v>21</v>
      </c>
      <c r="Z33" s="171">
        <f>IFERROR(__xludf.DUMMYFUNCTION("""COMPUTED_VALUE"""),499.0)</f>
        <v>499</v>
      </c>
    </row>
    <row r="34">
      <c r="A34" s="232">
        <f>IFERROR(__xludf.DUMMYFUNCTION("""COMPUTED_VALUE"""),43959.0)</f>
        <v>43959</v>
      </c>
      <c r="B34" s="171">
        <f>IFERROR(__xludf.DUMMYFUNCTION("""COMPUTED_VALUE"""),359.0)</f>
        <v>359</v>
      </c>
      <c r="C34" s="171">
        <f>IFERROR(__xludf.DUMMYFUNCTION("""COMPUTED_VALUE"""),424.0)</f>
        <v>424</v>
      </c>
      <c r="D34" s="171">
        <f>IFERROR(__xludf.DUMMYFUNCTION("""COMPUTED_VALUE"""),13062.0)</f>
        <v>13062</v>
      </c>
      <c r="E34" s="171">
        <f>IFERROR(__xludf.DUMMYFUNCTION("""COMPUTED_VALUE"""),2598.0)</f>
        <v>2598</v>
      </c>
      <c r="F34" s="171">
        <f>IFERROR(__xludf.DUMMYFUNCTION("""COMPUTED_VALUE"""),80111.0)</f>
        <v>80111</v>
      </c>
      <c r="G34" s="171">
        <f>IFERROR(__xludf.DUMMYFUNCTION("""COMPUTED_VALUE"""),2957.0)</f>
        <v>2957</v>
      </c>
      <c r="H34" s="171">
        <f>IFERROR(__xludf.DUMMYFUNCTION("""COMPUTED_VALUE"""),93173.0)</f>
        <v>93173</v>
      </c>
      <c r="I34" s="171">
        <f>IFERROR(__xludf.DUMMYFUNCTION("""COMPUTED_VALUE"""),229.0)</f>
        <v>229</v>
      </c>
      <c r="J34" s="171">
        <f>IFERROR(__xludf.DUMMYFUNCTION("""COMPUTED_VALUE"""),280.0)</f>
        <v>280</v>
      </c>
      <c r="K34" s="171">
        <f>IFERROR(__xludf.DUMMYFUNCTION("""COMPUTED_VALUE"""),11102.0)</f>
        <v>11102</v>
      </c>
      <c r="L34" s="171">
        <f>IFERROR(__xludf.DUMMYFUNCTION("""COMPUTED_VALUE"""),1733.0)</f>
        <v>1733</v>
      </c>
      <c r="M34" s="171">
        <f>IFERROR(__xludf.DUMMYFUNCTION("""COMPUTED_VALUE"""),63356.0)</f>
        <v>63356</v>
      </c>
      <c r="N34" s="171">
        <f>IFERROR(__xludf.DUMMYFUNCTION("""COMPUTED_VALUE"""),74458.0)</f>
        <v>74458</v>
      </c>
      <c r="O34" s="171">
        <f>IFERROR(__xludf.DUMMYFUNCTION("""COMPUTED_VALUE"""),30.0)</f>
        <v>30</v>
      </c>
      <c r="P34" s="171">
        <f>IFERROR(__xludf.DUMMYFUNCTION("""COMPUTED_VALUE"""),1315.0)</f>
        <v>1315</v>
      </c>
      <c r="Q34" s="171">
        <f>IFERROR(__xludf.DUMMYFUNCTION("""COMPUTED_VALUE"""),29.0)</f>
        <v>29</v>
      </c>
      <c r="R34" s="171">
        <f>IFERROR(__xludf.DUMMYFUNCTION("""COMPUTED_VALUE"""),853.0)</f>
        <v>853</v>
      </c>
      <c r="S34" s="171">
        <f>IFERROR(__xludf.DUMMYFUNCTION("""COMPUTED_VALUE"""),5.0)</f>
        <v>5</v>
      </c>
      <c r="T34" s="171">
        <f>IFERROR(__xludf.DUMMYFUNCTION("""COMPUTED_VALUE"""),165.0)</f>
        <v>165</v>
      </c>
      <c r="U34" s="171">
        <f>IFERROR(__xludf.DUMMYFUNCTION("""COMPUTED_VALUE"""),297.0)</f>
        <v>297</v>
      </c>
      <c r="V34" s="171">
        <f>IFERROR(__xludf.DUMMYFUNCTION("""COMPUTED_VALUE"""),303.0)</f>
        <v>303</v>
      </c>
      <c r="W34" s="171">
        <f>IFERROR(__xludf.DUMMYFUNCTION("""COMPUTED_VALUE"""),71.0)</f>
        <v>71</v>
      </c>
      <c r="X34" s="171">
        <f>IFERROR(__xludf.DUMMYFUNCTION("""COMPUTED_VALUE"""),53.0)</f>
        <v>53</v>
      </c>
      <c r="Y34" s="171">
        <f>IFERROR(__xludf.DUMMYFUNCTION("""COMPUTED_VALUE"""),22.0)</f>
        <v>22</v>
      </c>
      <c r="Z34" s="171">
        <f>IFERROR(__xludf.DUMMYFUNCTION("""COMPUTED_VALUE"""),521.0)</f>
        <v>521</v>
      </c>
    </row>
    <row r="35">
      <c r="A35" s="232">
        <f>IFERROR(__xludf.DUMMYFUNCTION("""COMPUTED_VALUE"""),43960.0)</f>
        <v>43960</v>
      </c>
      <c r="B35" s="171">
        <f>IFERROR(__xludf.DUMMYFUNCTION("""COMPUTED_VALUE"""),467.0)</f>
        <v>467</v>
      </c>
      <c r="C35" s="171">
        <f>IFERROR(__xludf.DUMMYFUNCTION("""COMPUTED_VALUE"""),417.0)</f>
        <v>417</v>
      </c>
      <c r="D35" s="171">
        <f>IFERROR(__xludf.DUMMYFUNCTION("""COMPUTED_VALUE"""),13529.0)</f>
        <v>13529</v>
      </c>
      <c r="E35" s="171">
        <f>IFERROR(__xludf.DUMMYFUNCTION("""COMPUTED_VALUE"""),3346.0)</f>
        <v>3346</v>
      </c>
      <c r="F35" s="171">
        <f>IFERROR(__xludf.DUMMYFUNCTION("""COMPUTED_VALUE"""),83457.0)</f>
        <v>83457</v>
      </c>
      <c r="G35" s="171">
        <f>IFERROR(__xludf.DUMMYFUNCTION("""COMPUTED_VALUE"""),3813.0)</f>
        <v>3813</v>
      </c>
      <c r="H35" s="171">
        <f>IFERROR(__xludf.DUMMYFUNCTION("""COMPUTED_VALUE"""),96986.0)</f>
        <v>96986</v>
      </c>
      <c r="I35" s="171">
        <f>IFERROR(__xludf.DUMMYFUNCTION("""COMPUTED_VALUE"""),290.0)</f>
        <v>290</v>
      </c>
      <c r="J35" s="171">
        <f>IFERROR(__xludf.DUMMYFUNCTION("""COMPUTED_VALUE"""),263.0)</f>
        <v>263</v>
      </c>
      <c r="K35" s="171">
        <f>IFERROR(__xludf.DUMMYFUNCTION("""COMPUTED_VALUE"""),11392.0)</f>
        <v>11392</v>
      </c>
      <c r="L35" s="171">
        <f>IFERROR(__xludf.DUMMYFUNCTION("""COMPUTED_VALUE"""),2248.0)</f>
        <v>2248</v>
      </c>
      <c r="M35" s="171">
        <f>IFERROR(__xludf.DUMMYFUNCTION("""COMPUTED_VALUE"""),65604.0)</f>
        <v>65604</v>
      </c>
      <c r="N35" s="171">
        <f>IFERROR(__xludf.DUMMYFUNCTION("""COMPUTED_VALUE"""),76996.0)</f>
        <v>76996</v>
      </c>
      <c r="O35" s="171">
        <f>IFERROR(__xludf.DUMMYFUNCTION("""COMPUTED_VALUE"""),22.0)</f>
        <v>22</v>
      </c>
      <c r="P35" s="171">
        <f>IFERROR(__xludf.DUMMYFUNCTION("""COMPUTED_VALUE"""),1337.0)</f>
        <v>1337</v>
      </c>
      <c r="Q35" s="171">
        <f>IFERROR(__xludf.DUMMYFUNCTION("""COMPUTED_VALUE"""),21.0)</f>
        <v>21</v>
      </c>
      <c r="R35" s="171">
        <f>IFERROR(__xludf.DUMMYFUNCTION("""COMPUTED_VALUE"""),874.0)</f>
        <v>874</v>
      </c>
      <c r="S35" s="171">
        <f>IFERROR(__xludf.DUMMYFUNCTION("""COMPUTED_VALUE"""),4.0)</f>
        <v>4</v>
      </c>
      <c r="T35" s="171">
        <f>IFERROR(__xludf.DUMMYFUNCTION("""COMPUTED_VALUE"""),169.0)</f>
        <v>169</v>
      </c>
      <c r="U35" s="171">
        <f>IFERROR(__xludf.DUMMYFUNCTION("""COMPUTED_VALUE"""),294.0)</f>
        <v>294</v>
      </c>
      <c r="V35" s="171">
        <f>IFERROR(__xludf.DUMMYFUNCTION("""COMPUTED_VALUE"""),297.0)</f>
        <v>297</v>
      </c>
      <c r="W35" s="171">
        <f>IFERROR(__xludf.DUMMYFUNCTION("""COMPUTED_VALUE"""),69.0)</f>
        <v>69</v>
      </c>
      <c r="X35" s="171">
        <f>IFERROR(__xludf.DUMMYFUNCTION("""COMPUTED_VALUE"""),51.0)</f>
        <v>51</v>
      </c>
      <c r="Y35" s="171">
        <f>IFERROR(__xludf.DUMMYFUNCTION("""COMPUTED_VALUE"""),15.0)</f>
        <v>15</v>
      </c>
      <c r="Z35" s="171">
        <f>IFERROR(__xludf.DUMMYFUNCTION("""COMPUTED_VALUE"""),536.0)</f>
        <v>536</v>
      </c>
    </row>
    <row r="36">
      <c r="A36" s="232">
        <f>IFERROR(__xludf.DUMMYFUNCTION("""COMPUTED_VALUE"""),43961.0)</f>
        <v>43961</v>
      </c>
      <c r="B36" s="171">
        <f>IFERROR(__xludf.DUMMYFUNCTION("""COMPUTED_VALUE"""),285.0)</f>
        <v>285</v>
      </c>
      <c r="C36" s="171">
        <f>IFERROR(__xludf.DUMMYFUNCTION("""COMPUTED_VALUE"""),370.0)</f>
        <v>370</v>
      </c>
      <c r="D36" s="171">
        <f>IFERROR(__xludf.DUMMYFUNCTION("""COMPUTED_VALUE"""),13814.0)</f>
        <v>13814</v>
      </c>
      <c r="E36" s="171">
        <f>IFERROR(__xludf.DUMMYFUNCTION("""COMPUTED_VALUE"""),2117.0)</f>
        <v>2117</v>
      </c>
      <c r="F36" s="171">
        <f>IFERROR(__xludf.DUMMYFUNCTION("""COMPUTED_VALUE"""),85574.0)</f>
        <v>85574</v>
      </c>
      <c r="G36" s="171">
        <f>IFERROR(__xludf.DUMMYFUNCTION("""COMPUTED_VALUE"""),2402.0)</f>
        <v>2402</v>
      </c>
      <c r="H36" s="171">
        <f>IFERROR(__xludf.DUMMYFUNCTION("""COMPUTED_VALUE"""),99388.0)</f>
        <v>99388</v>
      </c>
      <c r="I36" s="171">
        <f>IFERROR(__xludf.DUMMYFUNCTION("""COMPUTED_VALUE"""),189.0)</f>
        <v>189</v>
      </c>
      <c r="J36" s="171">
        <f>IFERROR(__xludf.DUMMYFUNCTION("""COMPUTED_VALUE"""),236.0)</f>
        <v>236</v>
      </c>
      <c r="K36" s="171">
        <f>IFERROR(__xludf.DUMMYFUNCTION("""COMPUTED_VALUE"""),11581.0)</f>
        <v>11581</v>
      </c>
      <c r="L36" s="171">
        <f>IFERROR(__xludf.DUMMYFUNCTION("""COMPUTED_VALUE"""),1515.0)</f>
        <v>1515</v>
      </c>
      <c r="M36" s="171">
        <f>IFERROR(__xludf.DUMMYFUNCTION("""COMPUTED_VALUE"""),67119.0)</f>
        <v>67119</v>
      </c>
      <c r="N36" s="171">
        <f>IFERROR(__xludf.DUMMYFUNCTION("""COMPUTED_VALUE"""),78700.0)</f>
        <v>78700</v>
      </c>
      <c r="O36" s="171">
        <f>IFERROR(__xludf.DUMMYFUNCTION("""COMPUTED_VALUE"""),20.0)</f>
        <v>20</v>
      </c>
      <c r="P36" s="171">
        <f>IFERROR(__xludf.DUMMYFUNCTION("""COMPUTED_VALUE"""),1357.0)</f>
        <v>1357</v>
      </c>
      <c r="Q36" s="171">
        <f>IFERROR(__xludf.DUMMYFUNCTION("""COMPUTED_VALUE"""),23.0)</f>
        <v>23</v>
      </c>
      <c r="R36" s="171">
        <f>IFERROR(__xludf.DUMMYFUNCTION("""COMPUTED_VALUE"""),897.0)</f>
        <v>897</v>
      </c>
      <c r="S36" s="171">
        <f>IFERROR(__xludf.DUMMYFUNCTION("""COMPUTED_VALUE"""),6.0)</f>
        <v>6</v>
      </c>
      <c r="T36" s="171">
        <f>IFERROR(__xludf.DUMMYFUNCTION("""COMPUTED_VALUE"""),175.0)</f>
        <v>175</v>
      </c>
      <c r="U36" s="171">
        <f>IFERROR(__xludf.DUMMYFUNCTION("""COMPUTED_VALUE"""),285.0)</f>
        <v>285</v>
      </c>
      <c r="V36" s="171">
        <f>IFERROR(__xludf.DUMMYFUNCTION("""COMPUTED_VALUE"""),292.0)</f>
        <v>292</v>
      </c>
      <c r="W36" s="171">
        <f>IFERROR(__xludf.DUMMYFUNCTION("""COMPUTED_VALUE"""),70.0)</f>
        <v>70</v>
      </c>
      <c r="X36" s="171">
        <f>IFERROR(__xludf.DUMMYFUNCTION("""COMPUTED_VALUE"""),49.0)</f>
        <v>49</v>
      </c>
      <c r="Y36" s="171">
        <f>IFERROR(__xludf.DUMMYFUNCTION("""COMPUTED_VALUE"""),13.0)</f>
        <v>13</v>
      </c>
      <c r="Z36" s="171">
        <f>IFERROR(__xludf.DUMMYFUNCTION("""COMPUTED_VALUE"""),549.0)</f>
        <v>549</v>
      </c>
    </row>
    <row r="37">
      <c r="A37" s="232">
        <f>IFERROR(__xludf.DUMMYFUNCTION("""COMPUTED_VALUE"""),43962.0)</f>
        <v>43962</v>
      </c>
      <c r="B37" s="171">
        <f>IFERROR(__xludf.DUMMYFUNCTION("""COMPUTED_VALUE"""),257.0)</f>
        <v>257</v>
      </c>
      <c r="C37" s="171">
        <f>IFERROR(__xludf.DUMMYFUNCTION("""COMPUTED_VALUE"""),336.0)</f>
        <v>336</v>
      </c>
      <c r="D37" s="171">
        <f>IFERROR(__xludf.DUMMYFUNCTION("""COMPUTED_VALUE"""),14071.0)</f>
        <v>14071</v>
      </c>
      <c r="E37" s="171">
        <f>IFERROR(__xludf.DUMMYFUNCTION("""COMPUTED_VALUE"""),1857.0)</f>
        <v>1857</v>
      </c>
      <c r="F37" s="171">
        <f>IFERROR(__xludf.DUMMYFUNCTION("""COMPUTED_VALUE"""),87431.0)</f>
        <v>87431</v>
      </c>
      <c r="G37" s="171">
        <f>IFERROR(__xludf.DUMMYFUNCTION("""COMPUTED_VALUE"""),2114.0)</f>
        <v>2114</v>
      </c>
      <c r="H37" s="171">
        <f>IFERROR(__xludf.DUMMYFUNCTION("""COMPUTED_VALUE"""),101502.0)</f>
        <v>101502</v>
      </c>
      <c r="I37" s="171">
        <f>IFERROR(__xludf.DUMMYFUNCTION("""COMPUTED_VALUE"""),174.0)</f>
        <v>174</v>
      </c>
      <c r="J37" s="171">
        <f>IFERROR(__xludf.DUMMYFUNCTION("""COMPUTED_VALUE"""),218.0)</f>
        <v>218</v>
      </c>
      <c r="K37" s="171">
        <f>IFERROR(__xludf.DUMMYFUNCTION("""COMPUTED_VALUE"""),11755.0)</f>
        <v>11755</v>
      </c>
      <c r="L37" s="171">
        <f>IFERROR(__xludf.DUMMYFUNCTION("""COMPUTED_VALUE"""),1298.0)</f>
        <v>1298</v>
      </c>
      <c r="M37" s="171">
        <f>IFERROR(__xludf.DUMMYFUNCTION("""COMPUTED_VALUE"""),68417.0)</f>
        <v>68417</v>
      </c>
      <c r="N37" s="171">
        <f>IFERROR(__xludf.DUMMYFUNCTION("""COMPUTED_VALUE"""),80172.0)</f>
        <v>80172</v>
      </c>
      <c r="O37" s="171">
        <f>IFERROR(__xludf.DUMMYFUNCTION("""COMPUTED_VALUE"""),31.0)</f>
        <v>31</v>
      </c>
      <c r="P37" s="171">
        <f>IFERROR(__xludf.DUMMYFUNCTION("""COMPUTED_VALUE"""),1388.0)</f>
        <v>1388</v>
      </c>
      <c r="Q37" s="171">
        <f>IFERROR(__xludf.DUMMYFUNCTION("""COMPUTED_VALUE"""),16.0)</f>
        <v>16</v>
      </c>
      <c r="R37" s="171">
        <f>IFERROR(__xludf.DUMMYFUNCTION("""COMPUTED_VALUE"""),913.0)</f>
        <v>913</v>
      </c>
      <c r="S37" s="171">
        <f>IFERROR(__xludf.DUMMYFUNCTION("""COMPUTED_VALUE"""),6.0)</f>
        <v>6</v>
      </c>
      <c r="T37" s="171">
        <f>IFERROR(__xludf.DUMMYFUNCTION("""COMPUTED_VALUE"""),181.0)</f>
        <v>181</v>
      </c>
      <c r="U37" s="171">
        <f>IFERROR(__xludf.DUMMYFUNCTION("""COMPUTED_VALUE"""),294.0)</f>
        <v>294</v>
      </c>
      <c r="V37" s="171">
        <f>IFERROR(__xludf.DUMMYFUNCTION("""COMPUTED_VALUE"""),291.0)</f>
        <v>291</v>
      </c>
      <c r="W37" s="171">
        <f>IFERROR(__xludf.DUMMYFUNCTION("""COMPUTED_VALUE"""),71.0)</f>
        <v>71</v>
      </c>
      <c r="X37" s="171">
        <f>IFERROR(__xludf.DUMMYFUNCTION("""COMPUTED_VALUE"""),49.0)</f>
        <v>49</v>
      </c>
      <c r="Y37" s="171">
        <f>IFERROR(__xludf.DUMMYFUNCTION("""COMPUTED_VALUE"""),15.0)</f>
        <v>15</v>
      </c>
      <c r="Z37" s="171">
        <f>IFERROR(__xludf.DUMMYFUNCTION("""COMPUTED_VALUE"""),564.0)</f>
        <v>564</v>
      </c>
    </row>
    <row r="38">
      <c r="A38" s="232">
        <f>IFERROR(__xludf.DUMMYFUNCTION("""COMPUTED_VALUE"""),43963.0)</f>
        <v>43963</v>
      </c>
      <c r="B38" s="171">
        <f>IFERROR(__xludf.DUMMYFUNCTION("""COMPUTED_VALUE"""),387.0)</f>
        <v>387</v>
      </c>
      <c r="C38" s="171">
        <f>IFERROR(__xludf.DUMMYFUNCTION("""COMPUTED_VALUE"""),310.0)</f>
        <v>310</v>
      </c>
      <c r="D38" s="171">
        <f>IFERROR(__xludf.DUMMYFUNCTION("""COMPUTED_VALUE"""),14458.0)</f>
        <v>14458</v>
      </c>
      <c r="E38" s="171">
        <f>IFERROR(__xludf.DUMMYFUNCTION("""COMPUTED_VALUE"""),2611.0)</f>
        <v>2611</v>
      </c>
      <c r="F38" s="171">
        <f>IFERROR(__xludf.DUMMYFUNCTION("""COMPUTED_VALUE"""),90042.0)</f>
        <v>90042</v>
      </c>
      <c r="G38" s="171">
        <f>IFERROR(__xludf.DUMMYFUNCTION("""COMPUTED_VALUE"""),2998.0)</f>
        <v>2998</v>
      </c>
      <c r="H38" s="171">
        <f>IFERROR(__xludf.DUMMYFUNCTION("""COMPUTED_VALUE"""),104500.0)</f>
        <v>104500</v>
      </c>
      <c r="I38" s="171">
        <f>IFERROR(__xludf.DUMMYFUNCTION("""COMPUTED_VALUE"""),224.0)</f>
        <v>224</v>
      </c>
      <c r="J38" s="171">
        <f>IFERROR(__xludf.DUMMYFUNCTION("""COMPUTED_VALUE"""),196.0)</f>
        <v>196</v>
      </c>
      <c r="K38" s="171">
        <f>IFERROR(__xludf.DUMMYFUNCTION("""COMPUTED_VALUE"""),11979.0)</f>
        <v>11979</v>
      </c>
      <c r="L38" s="171">
        <f>IFERROR(__xludf.DUMMYFUNCTION("""COMPUTED_VALUE"""),1695.0)</f>
        <v>1695</v>
      </c>
      <c r="M38" s="171">
        <f>IFERROR(__xludf.DUMMYFUNCTION("""COMPUTED_VALUE"""),70112.0)</f>
        <v>70112</v>
      </c>
      <c r="N38" s="171">
        <f>IFERROR(__xludf.DUMMYFUNCTION("""COMPUTED_VALUE"""),82091.0)</f>
        <v>82091</v>
      </c>
      <c r="O38" s="171">
        <f>IFERROR(__xludf.DUMMYFUNCTION("""COMPUTED_VALUE"""),23.0)</f>
        <v>23</v>
      </c>
      <c r="P38" s="171">
        <f>IFERROR(__xludf.DUMMYFUNCTION("""COMPUTED_VALUE"""),1411.0)</f>
        <v>1411</v>
      </c>
      <c r="Q38" s="171">
        <f>IFERROR(__xludf.DUMMYFUNCTION("""COMPUTED_VALUE"""),18.0)</f>
        <v>18</v>
      </c>
      <c r="R38" s="171">
        <f>IFERROR(__xludf.DUMMYFUNCTION("""COMPUTED_VALUE"""),931.0)</f>
        <v>931</v>
      </c>
      <c r="S38" s="171">
        <f>IFERROR(__xludf.DUMMYFUNCTION("""COMPUTED_VALUE"""),4.0)</f>
        <v>4</v>
      </c>
      <c r="T38" s="171">
        <f>IFERROR(__xludf.DUMMYFUNCTION("""COMPUTED_VALUE"""),185.0)</f>
        <v>185</v>
      </c>
      <c r="U38" s="171">
        <f>IFERROR(__xludf.DUMMYFUNCTION("""COMPUTED_VALUE"""),295.0)</f>
        <v>295</v>
      </c>
      <c r="V38" s="171">
        <f>IFERROR(__xludf.DUMMYFUNCTION("""COMPUTED_VALUE"""),291.0)</f>
        <v>291</v>
      </c>
      <c r="W38" s="171">
        <f>IFERROR(__xludf.DUMMYFUNCTION("""COMPUTED_VALUE"""),69.0)</f>
        <v>69</v>
      </c>
      <c r="X38" s="171">
        <f>IFERROR(__xludf.DUMMYFUNCTION("""COMPUTED_VALUE"""),48.0)</f>
        <v>48</v>
      </c>
      <c r="Y38" s="171">
        <f>IFERROR(__xludf.DUMMYFUNCTION("""COMPUTED_VALUE"""),22.0)</f>
        <v>22</v>
      </c>
      <c r="Z38" s="171">
        <f>IFERROR(__xludf.DUMMYFUNCTION("""COMPUTED_VALUE"""),586.0)</f>
        <v>586</v>
      </c>
    </row>
    <row r="39">
      <c r="A39" s="232">
        <f>IFERROR(__xludf.DUMMYFUNCTION("""COMPUTED_VALUE"""),43964.0)</f>
        <v>43964</v>
      </c>
      <c r="B39" s="171">
        <f>IFERROR(__xludf.DUMMYFUNCTION("""COMPUTED_VALUE"""),351.0)</f>
        <v>351</v>
      </c>
      <c r="C39" s="171">
        <f>IFERROR(__xludf.DUMMYFUNCTION("""COMPUTED_VALUE"""),332.0)</f>
        <v>332</v>
      </c>
      <c r="D39" s="171">
        <f>IFERROR(__xludf.DUMMYFUNCTION("""COMPUTED_VALUE"""),14809.0)</f>
        <v>14809</v>
      </c>
      <c r="E39" s="171">
        <f>IFERROR(__xludf.DUMMYFUNCTION("""COMPUTED_VALUE"""),3630.0)</f>
        <v>3630</v>
      </c>
      <c r="F39" s="171">
        <f>IFERROR(__xludf.DUMMYFUNCTION("""COMPUTED_VALUE"""),93672.0)</f>
        <v>93672</v>
      </c>
      <c r="G39" s="171">
        <f>IFERROR(__xludf.DUMMYFUNCTION("""COMPUTED_VALUE"""),3981.0)</f>
        <v>3981</v>
      </c>
      <c r="H39" s="171">
        <f>IFERROR(__xludf.DUMMYFUNCTION("""COMPUTED_VALUE"""),108481.0)</f>
        <v>108481</v>
      </c>
      <c r="I39" s="171">
        <f>IFERROR(__xludf.DUMMYFUNCTION("""COMPUTED_VALUE"""),199.0)</f>
        <v>199</v>
      </c>
      <c r="J39" s="171">
        <f>IFERROR(__xludf.DUMMYFUNCTION("""COMPUTED_VALUE"""),199.0)</f>
        <v>199</v>
      </c>
      <c r="K39" s="171">
        <f>IFERROR(__xludf.DUMMYFUNCTION("""COMPUTED_VALUE"""),12178.0)</f>
        <v>12178</v>
      </c>
      <c r="L39" s="171">
        <f>IFERROR(__xludf.DUMMYFUNCTION("""COMPUTED_VALUE"""),1983.0)</f>
        <v>1983</v>
      </c>
      <c r="M39" s="171">
        <f>IFERROR(__xludf.DUMMYFUNCTION("""COMPUTED_VALUE"""),72095.0)</f>
        <v>72095</v>
      </c>
      <c r="N39" s="171">
        <f>IFERROR(__xludf.DUMMYFUNCTION("""COMPUTED_VALUE"""),84273.0)</f>
        <v>84273</v>
      </c>
      <c r="O39" s="171">
        <f>IFERROR(__xludf.DUMMYFUNCTION("""COMPUTED_VALUE"""),23.0)</f>
        <v>23</v>
      </c>
      <c r="P39" s="171">
        <f>IFERROR(__xludf.DUMMYFUNCTION("""COMPUTED_VALUE"""),1434.0)</f>
        <v>1434</v>
      </c>
      <c r="Q39" s="171">
        <f>IFERROR(__xludf.DUMMYFUNCTION("""COMPUTED_VALUE"""),25.0)</f>
        <v>25</v>
      </c>
      <c r="R39" s="171">
        <f>IFERROR(__xludf.DUMMYFUNCTION("""COMPUTED_VALUE"""),956.0)</f>
        <v>956</v>
      </c>
      <c r="S39" s="171">
        <f>IFERROR(__xludf.DUMMYFUNCTION("""COMPUTED_VALUE"""),1.0)</f>
        <v>1</v>
      </c>
      <c r="T39" s="171">
        <f>IFERROR(__xludf.DUMMYFUNCTION("""COMPUTED_VALUE"""),186.0)</f>
        <v>186</v>
      </c>
      <c r="U39" s="171">
        <f>IFERROR(__xludf.DUMMYFUNCTION("""COMPUTED_VALUE"""),292.0)</f>
        <v>292</v>
      </c>
      <c r="V39" s="171">
        <f>IFERROR(__xludf.DUMMYFUNCTION("""COMPUTED_VALUE"""),294.0)</f>
        <v>294</v>
      </c>
      <c r="W39" s="171">
        <f>IFERROR(__xludf.DUMMYFUNCTION("""COMPUTED_VALUE"""),69.0)</f>
        <v>69</v>
      </c>
      <c r="X39" s="171">
        <f>IFERROR(__xludf.DUMMYFUNCTION("""COMPUTED_VALUE"""),49.0)</f>
        <v>49</v>
      </c>
      <c r="Y39" s="171">
        <f>IFERROR(__xludf.DUMMYFUNCTION("""COMPUTED_VALUE"""),13.0)</f>
        <v>13</v>
      </c>
      <c r="Z39" s="171">
        <f>IFERROR(__xludf.DUMMYFUNCTION("""COMPUTED_VALUE"""),599.0)</f>
        <v>599</v>
      </c>
    </row>
    <row r="40">
      <c r="A40" s="232">
        <f>IFERROR(__xludf.DUMMYFUNCTION("""COMPUTED_VALUE"""),43965.0)</f>
        <v>43965</v>
      </c>
      <c r="B40" s="171">
        <f>IFERROR(__xludf.DUMMYFUNCTION("""COMPUTED_VALUE"""),329.0)</f>
        <v>329</v>
      </c>
      <c r="C40" s="171">
        <f>IFERROR(__xludf.DUMMYFUNCTION("""COMPUTED_VALUE"""),356.0)</f>
        <v>356</v>
      </c>
      <c r="D40" s="171">
        <f>IFERROR(__xludf.DUMMYFUNCTION("""COMPUTED_VALUE"""),15138.0)</f>
        <v>15138</v>
      </c>
      <c r="E40" s="171">
        <f>IFERROR(__xludf.DUMMYFUNCTION("""COMPUTED_VALUE"""),3408.0)</f>
        <v>3408</v>
      </c>
      <c r="F40" s="171">
        <f>IFERROR(__xludf.DUMMYFUNCTION("""COMPUTED_VALUE"""),97080.0)</f>
        <v>97080</v>
      </c>
      <c r="G40" s="171">
        <f>IFERROR(__xludf.DUMMYFUNCTION("""COMPUTED_VALUE"""),3737.0)</f>
        <v>3737</v>
      </c>
      <c r="H40" s="171">
        <f>IFERROR(__xludf.DUMMYFUNCTION("""COMPUTED_VALUE"""),112218.0)</f>
        <v>112218</v>
      </c>
      <c r="I40" s="171">
        <f>IFERROR(__xludf.DUMMYFUNCTION("""COMPUTED_VALUE"""),231.0)</f>
        <v>231</v>
      </c>
      <c r="J40" s="171">
        <f>IFERROR(__xludf.DUMMYFUNCTION("""COMPUTED_VALUE"""),218.0)</f>
        <v>218</v>
      </c>
      <c r="K40" s="171">
        <f>IFERROR(__xludf.DUMMYFUNCTION("""COMPUTED_VALUE"""),12409.0)</f>
        <v>12409</v>
      </c>
      <c r="L40" s="171">
        <f>IFERROR(__xludf.DUMMYFUNCTION("""COMPUTED_VALUE"""),2010.0)</f>
        <v>2010</v>
      </c>
      <c r="M40" s="171">
        <f>IFERROR(__xludf.DUMMYFUNCTION("""COMPUTED_VALUE"""),74105.0)</f>
        <v>74105</v>
      </c>
      <c r="N40" s="171">
        <f>IFERROR(__xludf.DUMMYFUNCTION("""COMPUTED_VALUE"""),86514.0)</f>
        <v>86514</v>
      </c>
      <c r="O40" s="171">
        <f>IFERROR(__xludf.DUMMYFUNCTION("""COMPUTED_VALUE"""),19.0)</f>
        <v>19</v>
      </c>
      <c r="P40" s="171">
        <f>IFERROR(__xludf.DUMMYFUNCTION("""COMPUTED_VALUE"""),1453.0)</f>
        <v>1453</v>
      </c>
      <c r="Q40" s="171">
        <f>IFERROR(__xludf.DUMMYFUNCTION("""COMPUTED_VALUE"""),27.0)</f>
        <v>27</v>
      </c>
      <c r="R40" s="171">
        <f>IFERROR(__xludf.DUMMYFUNCTION("""COMPUTED_VALUE"""),983.0)</f>
        <v>983</v>
      </c>
      <c r="S40" s="171">
        <f>IFERROR(__xludf.DUMMYFUNCTION("""COMPUTED_VALUE"""),3.0)</f>
        <v>3</v>
      </c>
      <c r="T40" s="171">
        <f>IFERROR(__xludf.DUMMYFUNCTION("""COMPUTED_VALUE"""),189.0)</f>
        <v>189</v>
      </c>
      <c r="U40" s="171">
        <f>IFERROR(__xludf.DUMMYFUNCTION("""COMPUTED_VALUE"""),281.0)</f>
        <v>281</v>
      </c>
      <c r="V40" s="171">
        <f>IFERROR(__xludf.DUMMYFUNCTION("""COMPUTED_VALUE"""),289.0)</f>
        <v>289</v>
      </c>
      <c r="W40" s="171">
        <f>IFERROR(__xludf.DUMMYFUNCTION("""COMPUTED_VALUE"""),64.0)</f>
        <v>64</v>
      </c>
      <c r="X40" s="171">
        <f>IFERROR(__xludf.DUMMYFUNCTION("""COMPUTED_VALUE"""),45.0)</f>
        <v>45</v>
      </c>
      <c r="Y40" s="171">
        <f>IFERROR(__xludf.DUMMYFUNCTION("""COMPUTED_VALUE"""),15.0)</f>
        <v>15</v>
      </c>
      <c r="Z40" s="171">
        <f>IFERROR(__xludf.DUMMYFUNCTION("""COMPUTED_VALUE"""),614.0)</f>
        <v>614</v>
      </c>
    </row>
    <row r="41">
      <c r="A41" s="232">
        <f>IFERROR(__xludf.DUMMYFUNCTION("""COMPUTED_VALUE"""),43966.0)</f>
        <v>43966</v>
      </c>
      <c r="B41" s="171">
        <f>IFERROR(__xludf.DUMMYFUNCTION("""COMPUTED_VALUE"""),381.0)</f>
        <v>381</v>
      </c>
      <c r="C41" s="171">
        <f>IFERROR(__xludf.DUMMYFUNCTION("""COMPUTED_VALUE"""),354.0)</f>
        <v>354</v>
      </c>
      <c r="D41" s="171">
        <f>IFERROR(__xludf.DUMMYFUNCTION("""COMPUTED_VALUE"""),15519.0)</f>
        <v>15519</v>
      </c>
      <c r="E41" s="171">
        <f>IFERROR(__xludf.DUMMYFUNCTION("""COMPUTED_VALUE"""),3458.0)</f>
        <v>3458</v>
      </c>
      <c r="F41" s="171">
        <f>IFERROR(__xludf.DUMMYFUNCTION("""COMPUTED_VALUE"""),100538.0)</f>
        <v>100538</v>
      </c>
      <c r="G41" s="171">
        <f>IFERROR(__xludf.DUMMYFUNCTION("""COMPUTED_VALUE"""),3839.0)</f>
        <v>3839</v>
      </c>
      <c r="H41" s="171">
        <f>IFERROR(__xludf.DUMMYFUNCTION("""COMPUTED_VALUE"""),116057.0)</f>
        <v>116057</v>
      </c>
      <c r="I41" s="171">
        <f>IFERROR(__xludf.DUMMYFUNCTION("""COMPUTED_VALUE"""),232.0)</f>
        <v>232</v>
      </c>
      <c r="J41" s="171">
        <f>IFERROR(__xludf.DUMMYFUNCTION("""COMPUTED_VALUE"""),221.0)</f>
        <v>221</v>
      </c>
      <c r="K41" s="171">
        <f>IFERROR(__xludf.DUMMYFUNCTION("""COMPUTED_VALUE"""),12641.0)</f>
        <v>12641</v>
      </c>
      <c r="L41" s="171">
        <f>IFERROR(__xludf.DUMMYFUNCTION("""COMPUTED_VALUE"""),1800.0)</f>
        <v>1800</v>
      </c>
      <c r="M41" s="171">
        <f>IFERROR(__xludf.DUMMYFUNCTION("""COMPUTED_VALUE"""),75905.0)</f>
        <v>75905</v>
      </c>
      <c r="N41" s="171">
        <f>IFERROR(__xludf.DUMMYFUNCTION("""COMPUTED_VALUE"""),88546.0)</f>
        <v>88546</v>
      </c>
      <c r="O41" s="171">
        <f>IFERROR(__xludf.DUMMYFUNCTION("""COMPUTED_VALUE"""),24.0)</f>
        <v>24</v>
      </c>
      <c r="P41" s="171">
        <f>IFERROR(__xludf.DUMMYFUNCTION("""COMPUTED_VALUE"""),1477.0)</f>
        <v>1477</v>
      </c>
      <c r="Q41" s="171">
        <f>IFERROR(__xludf.DUMMYFUNCTION("""COMPUTED_VALUE"""),41.0)</f>
        <v>41</v>
      </c>
      <c r="R41" s="171">
        <f>IFERROR(__xludf.DUMMYFUNCTION("""COMPUTED_VALUE"""),1024.0)</f>
        <v>1024</v>
      </c>
      <c r="S41" s="171">
        <f>IFERROR(__xludf.DUMMYFUNCTION("""COMPUTED_VALUE"""),5.0)</f>
        <v>5</v>
      </c>
      <c r="T41" s="171">
        <f>IFERROR(__xludf.DUMMYFUNCTION("""COMPUTED_VALUE"""),194.0)</f>
        <v>194</v>
      </c>
      <c r="U41" s="171">
        <f>IFERROR(__xludf.DUMMYFUNCTION("""COMPUTED_VALUE"""),259.0)</f>
        <v>259</v>
      </c>
      <c r="V41" s="171">
        <f>IFERROR(__xludf.DUMMYFUNCTION("""COMPUTED_VALUE"""),277.0)</f>
        <v>277</v>
      </c>
      <c r="W41" s="171">
        <f>IFERROR(__xludf.DUMMYFUNCTION("""COMPUTED_VALUE"""),62.0)</f>
        <v>62</v>
      </c>
      <c r="X41" s="171">
        <f>IFERROR(__xludf.DUMMYFUNCTION("""COMPUTED_VALUE"""),45.0)</f>
        <v>45</v>
      </c>
      <c r="Y41" s="171">
        <f>IFERROR(__xludf.DUMMYFUNCTION("""COMPUTED_VALUE"""),14.0)</f>
        <v>14</v>
      </c>
      <c r="Z41" s="171">
        <f>IFERROR(__xludf.DUMMYFUNCTION("""COMPUTED_VALUE"""),628.0)</f>
        <v>628</v>
      </c>
    </row>
    <row r="42">
      <c r="A42" s="232">
        <f>IFERROR(__xludf.DUMMYFUNCTION("""COMPUTED_VALUE"""),43967.0)</f>
        <v>43967</v>
      </c>
      <c r="B42" s="171">
        <f>IFERROR(__xludf.DUMMYFUNCTION("""COMPUTED_VALUE"""),449.0)</f>
        <v>449</v>
      </c>
      <c r="C42" s="171">
        <f>IFERROR(__xludf.DUMMYFUNCTION("""COMPUTED_VALUE"""),386.0)</f>
        <v>386</v>
      </c>
      <c r="D42" s="171">
        <f>IFERROR(__xludf.DUMMYFUNCTION("""COMPUTED_VALUE"""),15968.0)</f>
        <v>15968</v>
      </c>
      <c r="E42" s="171">
        <f>IFERROR(__xludf.DUMMYFUNCTION("""COMPUTED_VALUE"""),4156.0)</f>
        <v>4156</v>
      </c>
      <c r="F42" s="171">
        <f>IFERROR(__xludf.DUMMYFUNCTION("""COMPUTED_VALUE"""),104694.0)</f>
        <v>104694</v>
      </c>
      <c r="G42" s="171">
        <f>IFERROR(__xludf.DUMMYFUNCTION("""COMPUTED_VALUE"""),4605.0)</f>
        <v>4605</v>
      </c>
      <c r="H42" s="171">
        <f>IFERROR(__xludf.DUMMYFUNCTION("""COMPUTED_VALUE"""),120662.0)</f>
        <v>120662</v>
      </c>
      <c r="I42" s="171">
        <f>IFERROR(__xludf.DUMMYFUNCTION("""COMPUTED_VALUE"""),247.0)</f>
        <v>247</v>
      </c>
      <c r="J42" s="171">
        <f>IFERROR(__xludf.DUMMYFUNCTION("""COMPUTED_VALUE"""),237.0)</f>
        <v>237</v>
      </c>
      <c r="K42" s="171">
        <f>IFERROR(__xludf.DUMMYFUNCTION("""COMPUTED_VALUE"""),12888.0)</f>
        <v>12888</v>
      </c>
      <c r="L42" s="171">
        <f>IFERROR(__xludf.DUMMYFUNCTION("""COMPUTED_VALUE"""),1949.0)</f>
        <v>1949</v>
      </c>
      <c r="M42" s="171">
        <f>IFERROR(__xludf.DUMMYFUNCTION("""COMPUTED_VALUE"""),77854.0)</f>
        <v>77854</v>
      </c>
      <c r="N42" s="171">
        <f>IFERROR(__xludf.DUMMYFUNCTION("""COMPUTED_VALUE"""),90742.0)</f>
        <v>90742</v>
      </c>
      <c r="O42" s="171">
        <f>IFERROR(__xludf.DUMMYFUNCTION("""COMPUTED_VALUE"""),25.0)</f>
        <v>25</v>
      </c>
      <c r="P42" s="171">
        <f>IFERROR(__xludf.DUMMYFUNCTION("""COMPUTED_VALUE"""),1502.0)</f>
        <v>1502</v>
      </c>
      <c r="Q42" s="171">
        <f>IFERROR(__xludf.DUMMYFUNCTION("""COMPUTED_VALUE"""),13.0)</f>
        <v>13</v>
      </c>
      <c r="R42" s="171">
        <f>IFERROR(__xludf.DUMMYFUNCTION("""COMPUTED_VALUE"""),1037.0)</f>
        <v>1037</v>
      </c>
      <c r="S42" s="171">
        <f>IFERROR(__xludf.DUMMYFUNCTION("""COMPUTED_VALUE"""),5.0)</f>
        <v>5</v>
      </c>
      <c r="T42" s="171">
        <f>IFERROR(__xludf.DUMMYFUNCTION("""COMPUTED_VALUE"""),199.0)</f>
        <v>199</v>
      </c>
      <c r="U42" s="171">
        <f>IFERROR(__xludf.DUMMYFUNCTION("""COMPUTED_VALUE"""),266.0)</f>
        <v>266</v>
      </c>
      <c r="V42" s="171">
        <f>IFERROR(__xludf.DUMMYFUNCTION("""COMPUTED_VALUE"""),269.0)</f>
        <v>269</v>
      </c>
      <c r="W42" s="171">
        <f>IFERROR(__xludf.DUMMYFUNCTION("""COMPUTED_VALUE"""),61.0)</f>
        <v>61</v>
      </c>
      <c r="X42" s="171">
        <f>IFERROR(__xludf.DUMMYFUNCTION("""COMPUTED_VALUE"""),46.0)</f>
        <v>46</v>
      </c>
      <c r="Y42" s="171">
        <f>IFERROR(__xludf.DUMMYFUNCTION("""COMPUTED_VALUE"""),15.0)</f>
        <v>15</v>
      </c>
      <c r="Z42" s="171">
        <f>IFERROR(__xludf.DUMMYFUNCTION("""COMPUTED_VALUE"""),643.0)</f>
        <v>643</v>
      </c>
    </row>
    <row r="43">
      <c r="A43" s="232">
        <f>IFERROR(__xludf.DUMMYFUNCTION("""COMPUTED_VALUE"""),43968.0)</f>
        <v>43968</v>
      </c>
      <c r="B43" s="171">
        <f>IFERROR(__xludf.DUMMYFUNCTION("""COMPUTED_VALUE"""),240.0)</f>
        <v>240</v>
      </c>
      <c r="C43" s="171">
        <f>IFERROR(__xludf.DUMMYFUNCTION("""COMPUTED_VALUE"""),357.0)</f>
        <v>357</v>
      </c>
      <c r="D43" s="171">
        <f>IFERROR(__xludf.DUMMYFUNCTION("""COMPUTED_VALUE"""),16208.0)</f>
        <v>16208</v>
      </c>
      <c r="E43" s="171">
        <f>IFERROR(__xludf.DUMMYFUNCTION("""COMPUTED_VALUE"""),2768.0)</f>
        <v>2768</v>
      </c>
      <c r="F43" s="171">
        <f>IFERROR(__xludf.DUMMYFUNCTION("""COMPUTED_VALUE"""),107462.0)</f>
        <v>107462</v>
      </c>
      <c r="G43" s="171">
        <f>IFERROR(__xludf.DUMMYFUNCTION("""COMPUTED_VALUE"""),3008.0)</f>
        <v>3008</v>
      </c>
      <c r="H43" s="171">
        <f>IFERROR(__xludf.DUMMYFUNCTION("""COMPUTED_VALUE"""),123670.0)</f>
        <v>123670</v>
      </c>
      <c r="I43" s="171">
        <f>IFERROR(__xludf.DUMMYFUNCTION("""COMPUTED_VALUE"""),126.0)</f>
        <v>126</v>
      </c>
      <c r="J43" s="171">
        <f>IFERROR(__xludf.DUMMYFUNCTION("""COMPUTED_VALUE"""),202.0)</f>
        <v>202</v>
      </c>
      <c r="K43" s="171">
        <f>IFERROR(__xludf.DUMMYFUNCTION("""COMPUTED_VALUE"""),13014.0)</f>
        <v>13014</v>
      </c>
      <c r="L43" s="171">
        <f>IFERROR(__xludf.DUMMYFUNCTION("""COMPUTED_VALUE"""),1537.0)</f>
        <v>1537</v>
      </c>
      <c r="M43" s="171">
        <f>IFERROR(__xludf.DUMMYFUNCTION("""COMPUTED_VALUE"""),79391.0)</f>
        <v>79391</v>
      </c>
      <c r="N43" s="171">
        <f>IFERROR(__xludf.DUMMYFUNCTION("""COMPUTED_VALUE"""),92405.0)</f>
        <v>92405</v>
      </c>
      <c r="O43" s="171">
        <f>IFERROR(__xludf.DUMMYFUNCTION("""COMPUTED_VALUE"""),17.0)</f>
        <v>17</v>
      </c>
      <c r="P43" s="171">
        <f>IFERROR(__xludf.DUMMYFUNCTION("""COMPUTED_VALUE"""),1519.0)</f>
        <v>1519</v>
      </c>
      <c r="Q43" s="171">
        <f>IFERROR(__xludf.DUMMYFUNCTION("""COMPUTED_VALUE"""),8.0)</f>
        <v>8</v>
      </c>
      <c r="R43" s="171">
        <f>IFERROR(__xludf.DUMMYFUNCTION("""COMPUTED_VALUE"""),1045.0)</f>
        <v>1045</v>
      </c>
      <c r="S43" s="171">
        <f>IFERROR(__xludf.DUMMYFUNCTION("""COMPUTED_VALUE"""),5.0)</f>
        <v>5</v>
      </c>
      <c r="T43" s="171">
        <f>IFERROR(__xludf.DUMMYFUNCTION("""COMPUTED_VALUE"""),204.0)</f>
        <v>204</v>
      </c>
      <c r="U43" s="171">
        <f>IFERROR(__xludf.DUMMYFUNCTION("""COMPUTED_VALUE"""),270.0)</f>
        <v>270</v>
      </c>
      <c r="V43" s="171">
        <f>IFERROR(__xludf.DUMMYFUNCTION("""COMPUTED_VALUE"""),265.0)</f>
        <v>265</v>
      </c>
      <c r="W43" s="171">
        <f>IFERROR(__xludf.DUMMYFUNCTION("""COMPUTED_VALUE"""),59.0)</f>
        <v>59</v>
      </c>
      <c r="X43" s="171">
        <f>IFERROR(__xludf.DUMMYFUNCTION("""COMPUTED_VALUE"""),45.0)</f>
        <v>45</v>
      </c>
      <c r="Y43" s="171">
        <f>IFERROR(__xludf.DUMMYFUNCTION("""COMPUTED_VALUE"""),10.0)</f>
        <v>10</v>
      </c>
      <c r="Z43" s="171">
        <f>IFERROR(__xludf.DUMMYFUNCTION("""COMPUTED_VALUE"""),653.0)</f>
        <v>653</v>
      </c>
    </row>
    <row r="44">
      <c r="A44" s="232">
        <f>IFERROR(__xludf.DUMMYFUNCTION("""COMPUTED_VALUE"""),43969.0)</f>
        <v>43969</v>
      </c>
      <c r="B44" s="171">
        <f>IFERROR(__xludf.DUMMYFUNCTION("""COMPUTED_VALUE"""),250.0)</f>
        <v>250</v>
      </c>
      <c r="C44" s="171">
        <f>IFERROR(__xludf.DUMMYFUNCTION("""COMPUTED_VALUE"""),313.0)</f>
        <v>313</v>
      </c>
      <c r="D44" s="171">
        <f>IFERROR(__xludf.DUMMYFUNCTION("""COMPUTED_VALUE"""),16458.0)</f>
        <v>16458</v>
      </c>
      <c r="E44" s="171">
        <f>IFERROR(__xludf.DUMMYFUNCTION("""COMPUTED_VALUE"""),2001.0)</f>
        <v>2001</v>
      </c>
      <c r="F44" s="171">
        <f>IFERROR(__xludf.DUMMYFUNCTION("""COMPUTED_VALUE"""),109463.0)</f>
        <v>109463</v>
      </c>
      <c r="G44" s="171">
        <f>IFERROR(__xludf.DUMMYFUNCTION("""COMPUTED_VALUE"""),2251.0)</f>
        <v>2251</v>
      </c>
      <c r="H44" s="171">
        <f>IFERROR(__xludf.DUMMYFUNCTION("""COMPUTED_VALUE"""),125921.0)</f>
        <v>125921</v>
      </c>
      <c r="I44" s="171">
        <f>IFERROR(__xludf.DUMMYFUNCTION("""COMPUTED_VALUE"""),135.0)</f>
        <v>135</v>
      </c>
      <c r="J44" s="171">
        <f>IFERROR(__xludf.DUMMYFUNCTION("""COMPUTED_VALUE"""),169.0)</f>
        <v>169</v>
      </c>
      <c r="K44" s="171">
        <f>IFERROR(__xludf.DUMMYFUNCTION("""COMPUTED_VALUE"""),13149.0)</f>
        <v>13149</v>
      </c>
      <c r="L44" s="171">
        <f>IFERROR(__xludf.DUMMYFUNCTION("""COMPUTED_VALUE"""),1365.0)</f>
        <v>1365</v>
      </c>
      <c r="M44" s="171">
        <f>IFERROR(__xludf.DUMMYFUNCTION("""COMPUTED_VALUE"""),80756.0)</f>
        <v>80756</v>
      </c>
      <c r="N44" s="171">
        <f>IFERROR(__xludf.DUMMYFUNCTION("""COMPUTED_VALUE"""),93905.0)</f>
        <v>93905</v>
      </c>
      <c r="O44" s="171">
        <f>IFERROR(__xludf.DUMMYFUNCTION("""COMPUTED_VALUE"""),19.0)</f>
        <v>19</v>
      </c>
      <c r="P44" s="171">
        <f>IFERROR(__xludf.DUMMYFUNCTION("""COMPUTED_VALUE"""),1538.0)</f>
        <v>1538</v>
      </c>
      <c r="Q44" s="171">
        <f>IFERROR(__xludf.DUMMYFUNCTION("""COMPUTED_VALUE"""),15.0)</f>
        <v>15</v>
      </c>
      <c r="R44" s="171">
        <f>IFERROR(__xludf.DUMMYFUNCTION("""COMPUTED_VALUE"""),1060.0)</f>
        <v>1060</v>
      </c>
      <c r="S44" s="171">
        <f>IFERROR(__xludf.DUMMYFUNCTION("""COMPUTED_VALUE"""),5.0)</f>
        <v>5</v>
      </c>
      <c r="T44" s="171">
        <f>IFERROR(__xludf.DUMMYFUNCTION("""COMPUTED_VALUE"""),209.0)</f>
        <v>209</v>
      </c>
      <c r="U44" s="171">
        <f>IFERROR(__xludf.DUMMYFUNCTION("""COMPUTED_VALUE"""),269.0)</f>
        <v>269</v>
      </c>
      <c r="V44" s="171">
        <f>IFERROR(__xludf.DUMMYFUNCTION("""COMPUTED_VALUE"""),268.0)</f>
        <v>268</v>
      </c>
      <c r="W44" s="171">
        <f>IFERROR(__xludf.DUMMYFUNCTION("""COMPUTED_VALUE"""),57.0)</f>
        <v>57</v>
      </c>
      <c r="X44" s="171">
        <f>IFERROR(__xludf.DUMMYFUNCTION("""COMPUTED_VALUE"""),40.0)</f>
        <v>40</v>
      </c>
      <c r="Y44" s="171">
        <f>IFERROR(__xludf.DUMMYFUNCTION("""COMPUTED_VALUE"""),18.0)</f>
        <v>18</v>
      </c>
      <c r="Z44" s="171">
        <f>IFERROR(__xludf.DUMMYFUNCTION("""COMPUTED_VALUE"""),671.0)</f>
        <v>671</v>
      </c>
    </row>
    <row r="45">
      <c r="A45" s="232">
        <f>IFERROR(__xludf.DUMMYFUNCTION("""COMPUTED_VALUE"""),43970.0)</f>
        <v>43970</v>
      </c>
      <c r="B45" s="171">
        <f>IFERROR(__xludf.DUMMYFUNCTION("""COMPUTED_VALUE"""),415.0)</f>
        <v>415</v>
      </c>
      <c r="C45" s="171">
        <f>IFERROR(__xludf.DUMMYFUNCTION("""COMPUTED_VALUE"""),302.0)</f>
        <v>302</v>
      </c>
      <c r="D45" s="171">
        <f>IFERROR(__xludf.DUMMYFUNCTION("""COMPUTED_VALUE"""),16873.0)</f>
        <v>16873</v>
      </c>
      <c r="E45" s="171">
        <f>IFERROR(__xludf.DUMMYFUNCTION("""COMPUTED_VALUE"""),3168.0)</f>
        <v>3168</v>
      </c>
      <c r="F45" s="171">
        <f>IFERROR(__xludf.DUMMYFUNCTION("""COMPUTED_VALUE"""),112631.0)</f>
        <v>112631</v>
      </c>
      <c r="G45" s="171">
        <f>IFERROR(__xludf.DUMMYFUNCTION("""COMPUTED_VALUE"""),3583.0)</f>
        <v>3583</v>
      </c>
      <c r="H45" s="171">
        <f>IFERROR(__xludf.DUMMYFUNCTION("""COMPUTED_VALUE"""),129504.0)</f>
        <v>129504</v>
      </c>
      <c r="I45" s="171">
        <f>IFERROR(__xludf.DUMMYFUNCTION("""COMPUTED_VALUE"""),215.0)</f>
        <v>215</v>
      </c>
      <c r="J45" s="171">
        <f>IFERROR(__xludf.DUMMYFUNCTION("""COMPUTED_VALUE"""),159.0)</f>
        <v>159</v>
      </c>
      <c r="K45" s="171">
        <f>IFERROR(__xludf.DUMMYFUNCTION("""COMPUTED_VALUE"""),13364.0)</f>
        <v>13364</v>
      </c>
      <c r="L45" s="171">
        <f>IFERROR(__xludf.DUMMYFUNCTION("""COMPUTED_VALUE"""),1917.0)</f>
        <v>1917</v>
      </c>
      <c r="M45" s="171">
        <f>IFERROR(__xludf.DUMMYFUNCTION("""COMPUTED_VALUE"""),82673.0)</f>
        <v>82673</v>
      </c>
      <c r="N45" s="171">
        <f>IFERROR(__xludf.DUMMYFUNCTION("""COMPUTED_VALUE"""),96037.0)</f>
        <v>96037</v>
      </c>
      <c r="O45" s="171">
        <f>IFERROR(__xludf.DUMMYFUNCTION("""COMPUTED_VALUE"""),23.0)</f>
        <v>23</v>
      </c>
      <c r="P45" s="171">
        <f>IFERROR(__xludf.DUMMYFUNCTION("""COMPUTED_VALUE"""),1561.0)</f>
        <v>1561</v>
      </c>
      <c r="Q45" s="171">
        <f>IFERROR(__xludf.DUMMYFUNCTION("""COMPUTED_VALUE"""),32.0)</f>
        <v>32</v>
      </c>
      <c r="R45" s="171">
        <f>IFERROR(__xludf.DUMMYFUNCTION("""COMPUTED_VALUE"""),1092.0)</f>
        <v>1092</v>
      </c>
      <c r="S45" s="171">
        <f>IFERROR(__xludf.DUMMYFUNCTION("""COMPUTED_VALUE"""),5.0)</f>
        <v>5</v>
      </c>
      <c r="T45" s="171">
        <f>IFERROR(__xludf.DUMMYFUNCTION("""COMPUTED_VALUE"""),214.0)</f>
        <v>214</v>
      </c>
      <c r="U45" s="171">
        <f>IFERROR(__xludf.DUMMYFUNCTION("""COMPUTED_VALUE"""),255.0)</f>
        <v>255</v>
      </c>
      <c r="V45" s="171">
        <f>IFERROR(__xludf.DUMMYFUNCTION("""COMPUTED_VALUE"""),265.0)</f>
        <v>265</v>
      </c>
      <c r="W45" s="171">
        <f>IFERROR(__xludf.DUMMYFUNCTION("""COMPUTED_VALUE"""),56.0)</f>
        <v>56</v>
      </c>
      <c r="X45" s="171">
        <f>IFERROR(__xludf.DUMMYFUNCTION("""COMPUTED_VALUE"""),38.0)</f>
        <v>38</v>
      </c>
      <c r="Y45" s="171">
        <f>IFERROR(__xludf.DUMMYFUNCTION("""COMPUTED_VALUE"""),11.0)</f>
        <v>11</v>
      </c>
      <c r="Z45" s="171">
        <f>IFERROR(__xludf.DUMMYFUNCTION("""COMPUTED_VALUE"""),682.0)</f>
        <v>682</v>
      </c>
    </row>
    <row r="46">
      <c r="A46" s="232">
        <f>IFERROR(__xludf.DUMMYFUNCTION("""COMPUTED_VALUE"""),43971.0)</f>
        <v>43971</v>
      </c>
      <c r="B46" s="171">
        <f>IFERROR(__xludf.DUMMYFUNCTION("""COMPUTED_VALUE"""),326.0)</f>
        <v>326</v>
      </c>
      <c r="C46" s="171">
        <f>IFERROR(__xludf.DUMMYFUNCTION("""COMPUTED_VALUE"""),330.0)</f>
        <v>330</v>
      </c>
      <c r="D46" s="171">
        <f>IFERROR(__xludf.DUMMYFUNCTION("""COMPUTED_VALUE"""),17199.0)</f>
        <v>17199</v>
      </c>
      <c r="E46" s="171">
        <f>IFERROR(__xludf.DUMMYFUNCTION("""COMPUTED_VALUE"""),2771.0)</f>
        <v>2771</v>
      </c>
      <c r="F46" s="171">
        <f>IFERROR(__xludf.DUMMYFUNCTION("""COMPUTED_VALUE"""),115402.0)</f>
        <v>115402</v>
      </c>
      <c r="G46" s="171">
        <f>IFERROR(__xludf.DUMMYFUNCTION("""COMPUTED_VALUE"""),3097.0)</f>
        <v>3097</v>
      </c>
      <c r="H46" s="171">
        <f>IFERROR(__xludf.DUMMYFUNCTION("""COMPUTED_VALUE"""),132601.0)</f>
        <v>132601</v>
      </c>
      <c r="I46" s="171">
        <f>IFERROR(__xludf.DUMMYFUNCTION("""COMPUTED_VALUE"""),183.0)</f>
        <v>183</v>
      </c>
      <c r="J46" s="171">
        <f>IFERROR(__xludf.DUMMYFUNCTION("""COMPUTED_VALUE"""),178.0)</f>
        <v>178</v>
      </c>
      <c r="K46" s="171">
        <f>IFERROR(__xludf.DUMMYFUNCTION("""COMPUTED_VALUE"""),13547.0)</f>
        <v>13547</v>
      </c>
      <c r="L46" s="171">
        <f>IFERROR(__xludf.DUMMYFUNCTION("""COMPUTED_VALUE"""),1509.0)</f>
        <v>1509</v>
      </c>
      <c r="M46" s="171">
        <f>IFERROR(__xludf.DUMMYFUNCTION("""COMPUTED_VALUE"""),84182.0)</f>
        <v>84182</v>
      </c>
      <c r="N46" s="171">
        <f>IFERROR(__xludf.DUMMYFUNCTION("""COMPUTED_VALUE"""),97729.0)</f>
        <v>97729</v>
      </c>
      <c r="O46" s="171">
        <f>IFERROR(__xludf.DUMMYFUNCTION("""COMPUTED_VALUE"""),19.0)</f>
        <v>19</v>
      </c>
      <c r="P46" s="171">
        <f>IFERROR(__xludf.DUMMYFUNCTION("""COMPUTED_VALUE"""),1580.0)</f>
        <v>1580</v>
      </c>
      <c r="Q46" s="171">
        <f>IFERROR(__xludf.DUMMYFUNCTION("""COMPUTED_VALUE"""),23.0)</f>
        <v>23</v>
      </c>
      <c r="R46" s="171">
        <f>IFERROR(__xludf.DUMMYFUNCTION("""COMPUTED_VALUE"""),1115.0)</f>
        <v>1115</v>
      </c>
      <c r="S46" s="171">
        <f>IFERROR(__xludf.DUMMYFUNCTION("""COMPUTED_VALUE"""),7.0)</f>
        <v>7</v>
      </c>
      <c r="T46" s="171">
        <f>IFERROR(__xludf.DUMMYFUNCTION("""COMPUTED_VALUE"""),221.0)</f>
        <v>221</v>
      </c>
      <c r="U46" s="171">
        <f>IFERROR(__xludf.DUMMYFUNCTION("""COMPUTED_VALUE"""),244.0)</f>
        <v>244</v>
      </c>
      <c r="V46" s="171">
        <f>IFERROR(__xludf.DUMMYFUNCTION("""COMPUTED_VALUE"""),256.0)</f>
        <v>256</v>
      </c>
      <c r="W46" s="171">
        <f>IFERROR(__xludf.DUMMYFUNCTION("""COMPUTED_VALUE"""),52.0)</f>
        <v>52</v>
      </c>
      <c r="X46" s="171">
        <f>IFERROR(__xludf.DUMMYFUNCTION("""COMPUTED_VALUE"""),33.0)</f>
        <v>33</v>
      </c>
      <c r="Y46" s="171">
        <f>IFERROR(__xludf.DUMMYFUNCTION("""COMPUTED_VALUE"""),22.0)</f>
        <v>22</v>
      </c>
      <c r="Z46" s="171">
        <f>IFERROR(__xludf.DUMMYFUNCTION("""COMPUTED_VALUE"""),704.0)</f>
        <v>704</v>
      </c>
    </row>
    <row r="47">
      <c r="A47" s="232">
        <f>IFERROR(__xludf.DUMMYFUNCTION("""COMPUTED_VALUE"""),43972.0)</f>
        <v>43972</v>
      </c>
      <c r="B47" s="171">
        <f>IFERROR(__xludf.DUMMYFUNCTION("""COMPUTED_VALUE"""),374.0)</f>
        <v>374</v>
      </c>
      <c r="C47" s="171">
        <f>IFERROR(__xludf.DUMMYFUNCTION("""COMPUTED_VALUE"""),372.0)</f>
        <v>372</v>
      </c>
      <c r="D47" s="171">
        <f>IFERROR(__xludf.DUMMYFUNCTION("""COMPUTED_VALUE"""),17573.0)</f>
        <v>17573</v>
      </c>
      <c r="E47" s="171">
        <f>IFERROR(__xludf.DUMMYFUNCTION("""COMPUTED_VALUE"""),3757.0)</f>
        <v>3757</v>
      </c>
      <c r="F47" s="171">
        <f>IFERROR(__xludf.DUMMYFUNCTION("""COMPUTED_VALUE"""),119159.0)</f>
        <v>119159</v>
      </c>
      <c r="G47" s="171">
        <f>IFERROR(__xludf.DUMMYFUNCTION("""COMPUTED_VALUE"""),4131.0)</f>
        <v>4131</v>
      </c>
      <c r="H47" s="171">
        <f>IFERROR(__xludf.DUMMYFUNCTION("""COMPUTED_VALUE"""),136732.0)</f>
        <v>136732</v>
      </c>
      <c r="I47" s="171">
        <f>IFERROR(__xludf.DUMMYFUNCTION("""COMPUTED_VALUE"""),168.0)</f>
        <v>168</v>
      </c>
      <c r="J47" s="171">
        <f>IFERROR(__xludf.DUMMYFUNCTION("""COMPUTED_VALUE"""),189.0)</f>
        <v>189</v>
      </c>
      <c r="K47" s="171">
        <f>IFERROR(__xludf.DUMMYFUNCTION("""COMPUTED_VALUE"""),13715.0)</f>
        <v>13715</v>
      </c>
      <c r="L47" s="171">
        <f>IFERROR(__xludf.DUMMYFUNCTION("""COMPUTED_VALUE"""),1932.0)</f>
        <v>1932</v>
      </c>
      <c r="M47" s="171">
        <f>IFERROR(__xludf.DUMMYFUNCTION("""COMPUTED_VALUE"""),86114.0)</f>
        <v>86114</v>
      </c>
      <c r="N47" s="171">
        <f>IFERROR(__xludf.DUMMYFUNCTION("""COMPUTED_VALUE"""),99829.0)</f>
        <v>99829</v>
      </c>
      <c r="O47" s="171">
        <f>IFERROR(__xludf.DUMMYFUNCTION("""COMPUTED_VALUE"""),26.0)</f>
        <v>26</v>
      </c>
      <c r="P47" s="171">
        <f>IFERROR(__xludf.DUMMYFUNCTION("""COMPUTED_VALUE"""),1606.0)</f>
        <v>1606</v>
      </c>
      <c r="Q47" s="171">
        <f>IFERROR(__xludf.DUMMYFUNCTION("""COMPUTED_VALUE"""),15.0)</f>
        <v>15</v>
      </c>
      <c r="R47" s="171">
        <f>IFERROR(__xludf.DUMMYFUNCTION("""COMPUTED_VALUE"""),1130.0)</f>
        <v>1130</v>
      </c>
      <c r="S47" s="171">
        <f>IFERROR(__xludf.DUMMYFUNCTION("""COMPUTED_VALUE"""),3.0)</f>
        <v>3</v>
      </c>
      <c r="T47" s="171">
        <f>IFERROR(__xludf.DUMMYFUNCTION("""COMPUTED_VALUE"""),224.0)</f>
        <v>224</v>
      </c>
      <c r="U47" s="171">
        <f>IFERROR(__xludf.DUMMYFUNCTION("""COMPUTED_VALUE"""),252.0)</f>
        <v>252</v>
      </c>
      <c r="V47" s="171">
        <f>IFERROR(__xludf.DUMMYFUNCTION("""COMPUTED_VALUE"""),250.0)</f>
        <v>250</v>
      </c>
      <c r="W47" s="171">
        <f>IFERROR(__xludf.DUMMYFUNCTION("""COMPUTED_VALUE"""),53.0)</f>
        <v>53</v>
      </c>
      <c r="X47" s="171">
        <f>IFERROR(__xludf.DUMMYFUNCTION("""COMPUTED_VALUE"""),29.0)</f>
        <v>29</v>
      </c>
      <c r="Y47" s="171">
        <f>IFERROR(__xludf.DUMMYFUNCTION("""COMPUTED_VALUE"""),20.0)</f>
        <v>20</v>
      </c>
      <c r="Z47" s="171">
        <f>IFERROR(__xludf.DUMMYFUNCTION("""COMPUTED_VALUE"""),724.0)</f>
        <v>724</v>
      </c>
    </row>
    <row r="48">
      <c r="A48" s="232">
        <f>IFERROR(__xludf.DUMMYFUNCTION("""COMPUTED_VALUE"""),43973.0)</f>
        <v>43973</v>
      </c>
      <c r="B48" s="171">
        <f>IFERROR(__xludf.DUMMYFUNCTION("""COMPUTED_VALUE"""),351.0)</f>
        <v>351</v>
      </c>
      <c r="C48" s="171">
        <f>IFERROR(__xludf.DUMMYFUNCTION("""COMPUTED_VALUE"""),350.0)</f>
        <v>350</v>
      </c>
      <c r="D48" s="171">
        <f>IFERROR(__xludf.DUMMYFUNCTION("""COMPUTED_VALUE"""),17924.0)</f>
        <v>17924</v>
      </c>
      <c r="E48" s="171">
        <f>IFERROR(__xludf.DUMMYFUNCTION("""COMPUTED_VALUE"""),3161.0)</f>
        <v>3161</v>
      </c>
      <c r="F48" s="171">
        <f>IFERROR(__xludf.DUMMYFUNCTION("""COMPUTED_VALUE"""),122320.0)</f>
        <v>122320</v>
      </c>
      <c r="G48" s="171">
        <f>IFERROR(__xludf.DUMMYFUNCTION("""COMPUTED_VALUE"""),3512.0)</f>
        <v>3512</v>
      </c>
      <c r="H48" s="171">
        <f>IFERROR(__xludf.DUMMYFUNCTION("""COMPUTED_VALUE"""),140244.0)</f>
        <v>140244</v>
      </c>
      <c r="I48" s="171">
        <f>IFERROR(__xludf.DUMMYFUNCTION("""COMPUTED_VALUE"""),206.0)</f>
        <v>206</v>
      </c>
      <c r="J48" s="171">
        <f>IFERROR(__xludf.DUMMYFUNCTION("""COMPUTED_VALUE"""),186.0)</f>
        <v>186</v>
      </c>
      <c r="K48" s="171">
        <f>IFERROR(__xludf.DUMMYFUNCTION("""COMPUTED_VALUE"""),13921.0)</f>
        <v>13921</v>
      </c>
      <c r="L48" s="171">
        <f>IFERROR(__xludf.DUMMYFUNCTION("""COMPUTED_VALUE"""),1604.0)</f>
        <v>1604</v>
      </c>
      <c r="M48" s="171">
        <f>IFERROR(__xludf.DUMMYFUNCTION("""COMPUTED_VALUE"""),87718.0)</f>
        <v>87718</v>
      </c>
      <c r="N48" s="171">
        <f>IFERROR(__xludf.DUMMYFUNCTION("""COMPUTED_VALUE"""),101639.0)</f>
        <v>101639</v>
      </c>
      <c r="O48" s="171">
        <f>IFERROR(__xludf.DUMMYFUNCTION("""COMPUTED_VALUE"""),20.0)</f>
        <v>20</v>
      </c>
      <c r="P48" s="171">
        <f>IFERROR(__xludf.DUMMYFUNCTION("""COMPUTED_VALUE"""),1626.0)</f>
        <v>1626</v>
      </c>
      <c r="Q48" s="171">
        <f>IFERROR(__xludf.DUMMYFUNCTION("""COMPUTED_VALUE"""),29.0)</f>
        <v>29</v>
      </c>
      <c r="R48" s="171">
        <f>IFERROR(__xludf.DUMMYFUNCTION("""COMPUTED_VALUE"""),1159.0)</f>
        <v>1159</v>
      </c>
      <c r="S48" s="171">
        <f>IFERROR(__xludf.DUMMYFUNCTION("""COMPUTED_VALUE"""),5.0)</f>
        <v>5</v>
      </c>
      <c r="T48" s="171">
        <f>IFERROR(__xludf.DUMMYFUNCTION("""COMPUTED_VALUE"""),229.0)</f>
        <v>229</v>
      </c>
      <c r="U48" s="171">
        <f>IFERROR(__xludf.DUMMYFUNCTION("""COMPUTED_VALUE"""),238.0)</f>
        <v>238</v>
      </c>
      <c r="V48" s="171">
        <f>IFERROR(__xludf.DUMMYFUNCTION("""COMPUTED_VALUE"""),245.0)</f>
        <v>245</v>
      </c>
      <c r="W48" s="171">
        <f>IFERROR(__xludf.DUMMYFUNCTION("""COMPUTED_VALUE"""),52.0)</f>
        <v>52</v>
      </c>
      <c r="X48" s="171">
        <f>IFERROR(__xludf.DUMMYFUNCTION("""COMPUTED_VALUE"""),29.0)</f>
        <v>29</v>
      </c>
      <c r="Y48" s="171">
        <f>IFERROR(__xludf.DUMMYFUNCTION("""COMPUTED_VALUE"""),11.0)</f>
        <v>11</v>
      </c>
      <c r="Z48" s="171">
        <f>IFERROR(__xludf.DUMMYFUNCTION("""COMPUTED_VALUE"""),735.0)</f>
        <v>735</v>
      </c>
    </row>
    <row r="49">
      <c r="A49" s="232">
        <f>IFERROR(__xludf.DUMMYFUNCTION("""COMPUTED_VALUE"""),43974.0)</f>
        <v>43974</v>
      </c>
      <c r="B49" s="171">
        <f>IFERROR(__xludf.DUMMYFUNCTION("""COMPUTED_VALUE"""),253.0)</f>
        <v>253</v>
      </c>
      <c r="C49" s="171">
        <f>IFERROR(__xludf.DUMMYFUNCTION("""COMPUTED_VALUE"""),326.0)</f>
        <v>326</v>
      </c>
      <c r="D49" s="171">
        <f>IFERROR(__xludf.DUMMYFUNCTION("""COMPUTED_VALUE"""),18177.0)</f>
        <v>18177</v>
      </c>
      <c r="E49" s="171">
        <f>IFERROR(__xludf.DUMMYFUNCTION("""COMPUTED_VALUE"""),2742.0)</f>
        <v>2742</v>
      </c>
      <c r="F49" s="171">
        <f>IFERROR(__xludf.DUMMYFUNCTION("""COMPUTED_VALUE"""),125062.0)</f>
        <v>125062</v>
      </c>
      <c r="G49" s="171">
        <f>IFERROR(__xludf.DUMMYFUNCTION("""COMPUTED_VALUE"""),2995.0)</f>
        <v>2995</v>
      </c>
      <c r="H49" s="171">
        <f>IFERROR(__xludf.DUMMYFUNCTION("""COMPUTED_VALUE"""),143239.0)</f>
        <v>143239</v>
      </c>
      <c r="I49" s="171">
        <f>IFERROR(__xludf.DUMMYFUNCTION("""COMPUTED_VALUE"""),109.0)</f>
        <v>109</v>
      </c>
      <c r="J49" s="171">
        <f>IFERROR(__xludf.DUMMYFUNCTION("""COMPUTED_VALUE"""),161.0)</f>
        <v>161</v>
      </c>
      <c r="K49" s="171">
        <f>IFERROR(__xludf.DUMMYFUNCTION("""COMPUTED_VALUE"""),14030.0)</f>
        <v>14030</v>
      </c>
      <c r="L49" s="171">
        <f>IFERROR(__xludf.DUMMYFUNCTION("""COMPUTED_VALUE"""),1267.0)</f>
        <v>1267</v>
      </c>
      <c r="M49" s="171">
        <f>IFERROR(__xludf.DUMMYFUNCTION("""COMPUTED_VALUE"""),88985.0)</f>
        <v>88985</v>
      </c>
      <c r="N49" s="171">
        <f>IFERROR(__xludf.DUMMYFUNCTION("""COMPUTED_VALUE"""),103015.0)</f>
        <v>103015</v>
      </c>
      <c r="O49" s="171">
        <f>IFERROR(__xludf.DUMMYFUNCTION("""COMPUTED_VALUE"""),19.0)</f>
        <v>19</v>
      </c>
      <c r="P49" s="171">
        <f>IFERROR(__xludf.DUMMYFUNCTION("""COMPUTED_VALUE"""),1645.0)</f>
        <v>1645</v>
      </c>
      <c r="Q49" s="171">
        <f>IFERROR(__xludf.DUMMYFUNCTION("""COMPUTED_VALUE"""),11.0)</f>
        <v>11</v>
      </c>
      <c r="R49" s="171">
        <f>IFERROR(__xludf.DUMMYFUNCTION("""COMPUTED_VALUE"""),1170.0)</f>
        <v>1170</v>
      </c>
      <c r="S49" s="171">
        <f>IFERROR(__xludf.DUMMYFUNCTION("""COMPUTED_VALUE"""),3.0)</f>
        <v>3</v>
      </c>
      <c r="T49" s="171">
        <f>IFERROR(__xludf.DUMMYFUNCTION("""COMPUTED_VALUE"""),232.0)</f>
        <v>232</v>
      </c>
      <c r="U49" s="171">
        <f>IFERROR(__xludf.DUMMYFUNCTION("""COMPUTED_VALUE"""),243.0)</f>
        <v>243</v>
      </c>
      <c r="V49" s="171">
        <f>IFERROR(__xludf.DUMMYFUNCTION("""COMPUTED_VALUE"""),244.0)</f>
        <v>244</v>
      </c>
      <c r="W49" s="171">
        <f>IFERROR(__xludf.DUMMYFUNCTION("""COMPUTED_VALUE"""),52.0)</f>
        <v>52</v>
      </c>
      <c r="X49" s="171">
        <f>IFERROR(__xludf.DUMMYFUNCTION("""COMPUTED_VALUE"""),32.0)</f>
        <v>32</v>
      </c>
      <c r="Y49" s="171">
        <f>IFERROR(__xludf.DUMMYFUNCTION("""COMPUTED_VALUE"""),13.0)</f>
        <v>13</v>
      </c>
      <c r="Z49" s="171">
        <f>IFERROR(__xludf.DUMMYFUNCTION("""COMPUTED_VALUE"""),748.0)</f>
        <v>748</v>
      </c>
    </row>
    <row r="50">
      <c r="A50" s="232">
        <f>IFERROR(__xludf.DUMMYFUNCTION("""COMPUTED_VALUE"""),43975.0)</f>
        <v>43975</v>
      </c>
      <c r="B50" s="171">
        <f>IFERROR(__xludf.DUMMYFUNCTION("""COMPUTED_VALUE"""),163.0)</f>
        <v>163</v>
      </c>
      <c r="C50" s="171">
        <f>IFERROR(__xludf.DUMMYFUNCTION("""COMPUTED_VALUE"""),256.0)</f>
        <v>256</v>
      </c>
      <c r="D50" s="171">
        <f>IFERROR(__xludf.DUMMYFUNCTION("""COMPUTED_VALUE"""),18340.0)</f>
        <v>18340</v>
      </c>
      <c r="E50" s="171">
        <f>IFERROR(__xludf.DUMMYFUNCTION("""COMPUTED_VALUE"""),1370.0)</f>
        <v>1370</v>
      </c>
      <c r="F50" s="171">
        <f>IFERROR(__xludf.DUMMYFUNCTION("""COMPUTED_VALUE"""),126432.0)</f>
        <v>126432</v>
      </c>
      <c r="G50" s="171">
        <f>IFERROR(__xludf.DUMMYFUNCTION("""COMPUTED_VALUE"""),1533.0)</f>
        <v>1533</v>
      </c>
      <c r="H50" s="171">
        <f>IFERROR(__xludf.DUMMYFUNCTION("""COMPUTED_VALUE"""),144772.0)</f>
        <v>144772</v>
      </c>
      <c r="I50" s="171">
        <f>IFERROR(__xludf.DUMMYFUNCTION("""COMPUTED_VALUE"""),83.0)</f>
        <v>83</v>
      </c>
      <c r="J50" s="171">
        <f>IFERROR(__xludf.DUMMYFUNCTION("""COMPUTED_VALUE"""),133.0)</f>
        <v>133</v>
      </c>
      <c r="K50" s="171">
        <f>IFERROR(__xludf.DUMMYFUNCTION("""COMPUTED_VALUE"""),14113.0)</f>
        <v>14113</v>
      </c>
      <c r="L50" s="171">
        <f>IFERROR(__xludf.DUMMYFUNCTION("""COMPUTED_VALUE"""),772.0)</f>
        <v>772</v>
      </c>
      <c r="M50" s="171">
        <f>IFERROR(__xludf.DUMMYFUNCTION("""COMPUTED_VALUE"""),89757.0)</f>
        <v>89757</v>
      </c>
      <c r="N50" s="171">
        <f>IFERROR(__xludf.DUMMYFUNCTION("""COMPUTED_VALUE"""),103870.0)</f>
        <v>103870</v>
      </c>
      <c r="O50" s="171">
        <f>IFERROR(__xludf.DUMMYFUNCTION("""COMPUTED_VALUE"""),13.0)</f>
        <v>13</v>
      </c>
      <c r="P50" s="171">
        <f>IFERROR(__xludf.DUMMYFUNCTION("""COMPUTED_VALUE"""),1658.0)</f>
        <v>1658</v>
      </c>
      <c r="Q50" s="171">
        <f>IFERROR(__xludf.DUMMYFUNCTION("""COMPUTED_VALUE"""),14.0)</f>
        <v>14</v>
      </c>
      <c r="R50" s="171">
        <f>IFERROR(__xludf.DUMMYFUNCTION("""COMPUTED_VALUE"""),1184.0)</f>
        <v>1184</v>
      </c>
      <c r="S50" s="171">
        <f>IFERROR(__xludf.DUMMYFUNCTION("""COMPUTED_VALUE"""),2.0)</f>
        <v>2</v>
      </c>
      <c r="T50" s="171">
        <f>IFERROR(__xludf.DUMMYFUNCTION("""COMPUTED_VALUE"""),234.0)</f>
        <v>234</v>
      </c>
      <c r="U50" s="171">
        <f>IFERROR(__xludf.DUMMYFUNCTION("""COMPUTED_VALUE"""),240.0)</f>
        <v>240</v>
      </c>
      <c r="V50" s="171">
        <f>IFERROR(__xludf.DUMMYFUNCTION("""COMPUTED_VALUE"""),240.0)</f>
        <v>240</v>
      </c>
      <c r="W50" s="171">
        <f>IFERROR(__xludf.DUMMYFUNCTION("""COMPUTED_VALUE"""),53.0)</f>
        <v>53</v>
      </c>
      <c r="X50" s="171">
        <f>IFERROR(__xludf.DUMMYFUNCTION("""COMPUTED_VALUE"""),36.0)</f>
        <v>36</v>
      </c>
      <c r="Y50" s="171">
        <f>IFERROR(__xludf.DUMMYFUNCTION("""COMPUTED_VALUE"""),8.0)</f>
        <v>8</v>
      </c>
      <c r="Z50" s="171">
        <f>IFERROR(__xludf.DUMMYFUNCTION("""COMPUTED_VALUE"""),756.0)</f>
        <v>756</v>
      </c>
    </row>
    <row r="51">
      <c r="A51" s="232">
        <f>IFERROR(__xludf.DUMMYFUNCTION("""COMPUTED_VALUE"""),43976.0)</f>
        <v>43976</v>
      </c>
      <c r="B51" s="171">
        <f>IFERROR(__xludf.DUMMYFUNCTION("""COMPUTED_VALUE"""),147.0)</f>
        <v>147</v>
      </c>
      <c r="C51" s="171">
        <f>IFERROR(__xludf.DUMMYFUNCTION("""COMPUTED_VALUE"""),188.0)</f>
        <v>188</v>
      </c>
      <c r="D51" s="171">
        <f>IFERROR(__xludf.DUMMYFUNCTION("""COMPUTED_VALUE"""),18487.0)</f>
        <v>18487</v>
      </c>
      <c r="E51" s="171">
        <f>IFERROR(__xludf.DUMMYFUNCTION("""COMPUTED_VALUE"""),1385.0)</f>
        <v>1385</v>
      </c>
      <c r="F51" s="171">
        <f>IFERROR(__xludf.DUMMYFUNCTION("""COMPUTED_VALUE"""),127817.0)</f>
        <v>127817</v>
      </c>
      <c r="G51" s="171">
        <f>IFERROR(__xludf.DUMMYFUNCTION("""COMPUTED_VALUE"""),1532.0)</f>
        <v>1532</v>
      </c>
      <c r="H51" s="171">
        <f>IFERROR(__xludf.DUMMYFUNCTION("""COMPUTED_VALUE"""),146304.0)</f>
        <v>146304</v>
      </c>
      <c r="I51" s="171">
        <f>IFERROR(__xludf.DUMMYFUNCTION("""COMPUTED_VALUE"""),76.0)</f>
        <v>76</v>
      </c>
      <c r="J51" s="171">
        <f>IFERROR(__xludf.DUMMYFUNCTION("""COMPUTED_VALUE"""),89.0)</f>
        <v>89</v>
      </c>
      <c r="K51" s="171">
        <f>IFERROR(__xludf.DUMMYFUNCTION("""COMPUTED_VALUE"""),14189.0)</f>
        <v>14189</v>
      </c>
      <c r="L51" s="171">
        <f>IFERROR(__xludf.DUMMYFUNCTION("""COMPUTED_VALUE"""),761.0)</f>
        <v>761</v>
      </c>
      <c r="M51" s="171">
        <f>IFERROR(__xludf.DUMMYFUNCTION("""COMPUTED_VALUE"""),90518.0)</f>
        <v>90518</v>
      </c>
      <c r="N51" s="171">
        <f>IFERROR(__xludf.DUMMYFUNCTION("""COMPUTED_VALUE"""),104707.0)</f>
        <v>104707</v>
      </c>
      <c r="O51" s="171">
        <f>IFERROR(__xludf.DUMMYFUNCTION("""COMPUTED_VALUE"""),14.0)</f>
        <v>14</v>
      </c>
      <c r="P51" s="171">
        <f>IFERROR(__xludf.DUMMYFUNCTION("""COMPUTED_VALUE"""),1672.0)</f>
        <v>1672</v>
      </c>
      <c r="Q51" s="171">
        <f>IFERROR(__xludf.DUMMYFUNCTION("""COMPUTED_VALUE"""),14.0)</f>
        <v>14</v>
      </c>
      <c r="R51" s="171">
        <f>IFERROR(__xludf.DUMMYFUNCTION("""COMPUTED_VALUE"""),1198.0)</f>
        <v>1198</v>
      </c>
      <c r="S51" s="171">
        <f>IFERROR(__xludf.DUMMYFUNCTION("""COMPUTED_VALUE"""),0.0)</f>
        <v>0</v>
      </c>
      <c r="T51" s="171">
        <f>IFERROR(__xludf.DUMMYFUNCTION("""COMPUTED_VALUE"""),234.0)</f>
        <v>234</v>
      </c>
      <c r="U51" s="171">
        <f>IFERROR(__xludf.DUMMYFUNCTION("""COMPUTED_VALUE"""),240.0)</f>
        <v>240</v>
      </c>
      <c r="V51" s="171">
        <f>IFERROR(__xludf.DUMMYFUNCTION("""COMPUTED_VALUE"""),241.0)</f>
        <v>241</v>
      </c>
      <c r="W51" s="171">
        <f>IFERROR(__xludf.DUMMYFUNCTION("""COMPUTED_VALUE"""),53.0)</f>
        <v>53</v>
      </c>
      <c r="X51" s="171">
        <f>IFERROR(__xludf.DUMMYFUNCTION("""COMPUTED_VALUE"""),34.0)</f>
        <v>34</v>
      </c>
      <c r="Y51" s="171">
        <f>IFERROR(__xludf.DUMMYFUNCTION("""COMPUTED_VALUE"""),10.0)</f>
        <v>10</v>
      </c>
      <c r="Z51" s="171">
        <f>IFERROR(__xludf.DUMMYFUNCTION("""COMPUTED_VALUE"""),766.0)</f>
        <v>766</v>
      </c>
    </row>
    <row r="52">
      <c r="A52" s="232">
        <f>IFERROR(__xludf.DUMMYFUNCTION("""COMPUTED_VALUE"""),43977.0)</f>
        <v>43977</v>
      </c>
      <c r="B52" s="171">
        <f>IFERROR(__xludf.DUMMYFUNCTION("""COMPUTED_VALUE"""),285.0)</f>
        <v>285</v>
      </c>
      <c r="C52" s="171">
        <f>IFERROR(__xludf.DUMMYFUNCTION("""COMPUTED_VALUE"""),198.0)</f>
        <v>198</v>
      </c>
      <c r="D52" s="171">
        <f>IFERROR(__xludf.DUMMYFUNCTION("""COMPUTED_VALUE"""),18772.0)</f>
        <v>18772</v>
      </c>
      <c r="E52" s="171">
        <f>IFERROR(__xludf.DUMMYFUNCTION("""COMPUTED_VALUE"""),2620.0)</f>
        <v>2620</v>
      </c>
      <c r="F52" s="171">
        <f>IFERROR(__xludf.DUMMYFUNCTION("""COMPUTED_VALUE"""),130437.0)</f>
        <v>130437</v>
      </c>
      <c r="G52" s="171">
        <f>IFERROR(__xludf.DUMMYFUNCTION("""COMPUTED_VALUE"""),2905.0)</f>
        <v>2905</v>
      </c>
      <c r="H52" s="171">
        <f>IFERROR(__xludf.DUMMYFUNCTION("""COMPUTED_VALUE"""),149209.0)</f>
        <v>149209</v>
      </c>
      <c r="I52" s="171">
        <f>IFERROR(__xludf.DUMMYFUNCTION("""COMPUTED_VALUE"""),158.0)</f>
        <v>158</v>
      </c>
      <c r="J52" s="171">
        <f>IFERROR(__xludf.DUMMYFUNCTION("""COMPUTED_VALUE"""),106.0)</f>
        <v>106</v>
      </c>
      <c r="K52" s="171">
        <f>IFERROR(__xludf.DUMMYFUNCTION("""COMPUTED_VALUE"""),14347.0)</f>
        <v>14347</v>
      </c>
      <c r="L52" s="171">
        <f>IFERROR(__xludf.DUMMYFUNCTION("""COMPUTED_VALUE"""),1777.0)</f>
        <v>1777</v>
      </c>
      <c r="M52" s="171">
        <f>IFERROR(__xludf.DUMMYFUNCTION("""COMPUTED_VALUE"""),92295.0)</f>
        <v>92295</v>
      </c>
      <c r="N52" s="171">
        <f>IFERROR(__xludf.DUMMYFUNCTION("""COMPUTED_VALUE"""),106642.0)</f>
        <v>106642</v>
      </c>
      <c r="O52" s="171">
        <f>IFERROR(__xludf.DUMMYFUNCTION("""COMPUTED_VALUE"""),24.0)</f>
        <v>24</v>
      </c>
      <c r="P52" s="171">
        <f>IFERROR(__xludf.DUMMYFUNCTION("""COMPUTED_VALUE"""),1696.0)</f>
        <v>1696</v>
      </c>
      <c r="Q52" s="171">
        <f>IFERROR(__xludf.DUMMYFUNCTION("""COMPUTED_VALUE"""),22.0)</f>
        <v>22</v>
      </c>
      <c r="R52" s="171">
        <f>IFERROR(__xludf.DUMMYFUNCTION("""COMPUTED_VALUE"""),1220.0)</f>
        <v>1220</v>
      </c>
      <c r="S52" s="171">
        <f>IFERROR(__xludf.DUMMYFUNCTION("""COMPUTED_VALUE"""),5.0)</f>
        <v>5</v>
      </c>
      <c r="T52" s="171">
        <f>IFERROR(__xludf.DUMMYFUNCTION("""COMPUTED_VALUE"""),239.0)</f>
        <v>239</v>
      </c>
      <c r="U52" s="171">
        <f>IFERROR(__xludf.DUMMYFUNCTION("""COMPUTED_VALUE"""),237.0)</f>
        <v>237</v>
      </c>
      <c r="V52" s="171">
        <f>IFERROR(__xludf.DUMMYFUNCTION("""COMPUTED_VALUE"""),239.0)</f>
        <v>239</v>
      </c>
      <c r="W52" s="171">
        <f>IFERROR(__xludf.DUMMYFUNCTION("""COMPUTED_VALUE"""),48.0)</f>
        <v>48</v>
      </c>
      <c r="X52" s="171">
        <f>IFERROR(__xludf.DUMMYFUNCTION("""COMPUTED_VALUE"""),33.0)</f>
        <v>33</v>
      </c>
      <c r="Y52" s="171">
        <f>IFERROR(__xludf.DUMMYFUNCTION("""COMPUTED_VALUE"""),15.0)</f>
        <v>15</v>
      </c>
      <c r="Z52" s="171">
        <f>IFERROR(__xludf.DUMMYFUNCTION("""COMPUTED_VALUE"""),781.0)</f>
        <v>781</v>
      </c>
    </row>
    <row r="53">
      <c r="A53" s="232">
        <f>IFERROR(__xludf.DUMMYFUNCTION("""COMPUTED_VALUE"""),43978.0)</f>
        <v>43978</v>
      </c>
      <c r="B53" s="171">
        <f>IFERROR(__xludf.DUMMYFUNCTION("""COMPUTED_VALUE"""),276.0)</f>
        <v>276</v>
      </c>
      <c r="C53" s="171">
        <f>IFERROR(__xludf.DUMMYFUNCTION("""COMPUTED_VALUE"""),236.0)</f>
        <v>236</v>
      </c>
      <c r="D53" s="171">
        <f>IFERROR(__xludf.DUMMYFUNCTION("""COMPUTED_VALUE"""),19048.0)</f>
        <v>19048</v>
      </c>
      <c r="E53" s="171">
        <f>IFERROR(__xludf.DUMMYFUNCTION("""COMPUTED_VALUE"""),2057.0)</f>
        <v>2057</v>
      </c>
      <c r="F53" s="171">
        <f>IFERROR(__xludf.DUMMYFUNCTION("""COMPUTED_VALUE"""),132494.0)</f>
        <v>132494</v>
      </c>
      <c r="G53" s="171">
        <f>IFERROR(__xludf.DUMMYFUNCTION("""COMPUTED_VALUE"""),2333.0)</f>
        <v>2333</v>
      </c>
      <c r="H53" s="171">
        <f>IFERROR(__xludf.DUMMYFUNCTION("""COMPUTED_VALUE"""),151542.0)</f>
        <v>151542</v>
      </c>
      <c r="I53" s="171">
        <f>IFERROR(__xludf.DUMMYFUNCTION("""COMPUTED_VALUE"""),132.0)</f>
        <v>132</v>
      </c>
      <c r="J53" s="171">
        <f>IFERROR(__xludf.DUMMYFUNCTION("""COMPUTED_VALUE"""),122.0)</f>
        <v>122</v>
      </c>
      <c r="K53" s="171">
        <f>IFERROR(__xludf.DUMMYFUNCTION("""COMPUTED_VALUE"""),14479.0)</f>
        <v>14479</v>
      </c>
      <c r="L53" s="171">
        <f>IFERROR(__xludf.DUMMYFUNCTION("""COMPUTED_VALUE"""),1130.0)</f>
        <v>1130</v>
      </c>
      <c r="M53" s="171">
        <f>IFERROR(__xludf.DUMMYFUNCTION("""COMPUTED_VALUE"""),93425.0)</f>
        <v>93425</v>
      </c>
      <c r="N53" s="171">
        <f>IFERROR(__xludf.DUMMYFUNCTION("""COMPUTED_VALUE"""),107904.0)</f>
        <v>107904</v>
      </c>
      <c r="O53" s="171">
        <f>IFERROR(__xludf.DUMMYFUNCTION("""COMPUTED_VALUE"""),20.0)</f>
        <v>20</v>
      </c>
      <c r="P53" s="171">
        <f>IFERROR(__xludf.DUMMYFUNCTION("""COMPUTED_VALUE"""),1716.0)</f>
        <v>1716</v>
      </c>
      <c r="Q53" s="171">
        <f>IFERROR(__xludf.DUMMYFUNCTION("""COMPUTED_VALUE"""),18.0)</f>
        <v>18</v>
      </c>
      <c r="R53" s="171">
        <f>IFERROR(__xludf.DUMMYFUNCTION("""COMPUTED_VALUE"""),1238.0)</f>
        <v>1238</v>
      </c>
      <c r="S53" s="171">
        <f>IFERROR(__xludf.DUMMYFUNCTION("""COMPUTED_VALUE"""),3.0)</f>
        <v>3</v>
      </c>
      <c r="T53" s="171">
        <f>IFERROR(__xludf.DUMMYFUNCTION("""COMPUTED_VALUE"""),242.0)</f>
        <v>242</v>
      </c>
      <c r="U53" s="171">
        <f>IFERROR(__xludf.DUMMYFUNCTION("""COMPUTED_VALUE"""),236.0)</f>
        <v>236</v>
      </c>
      <c r="V53" s="171">
        <f>IFERROR(__xludf.DUMMYFUNCTION("""COMPUTED_VALUE"""),238.0)</f>
        <v>238</v>
      </c>
      <c r="W53" s="171">
        <f>IFERROR(__xludf.DUMMYFUNCTION("""COMPUTED_VALUE"""),50.0)</f>
        <v>50</v>
      </c>
      <c r="X53" s="171">
        <f>IFERROR(__xludf.DUMMYFUNCTION("""COMPUTED_VALUE"""),33.0)</f>
        <v>33</v>
      </c>
      <c r="Y53" s="171">
        <f>IFERROR(__xludf.DUMMYFUNCTION("""COMPUTED_VALUE"""),10.0)</f>
        <v>10</v>
      </c>
      <c r="Z53" s="171">
        <f>IFERROR(__xludf.DUMMYFUNCTION("""COMPUTED_VALUE"""),791.0)</f>
        <v>791</v>
      </c>
    </row>
    <row r="54">
      <c r="A54" s="232">
        <f>IFERROR(__xludf.DUMMYFUNCTION("""COMPUTED_VALUE"""),43979.0)</f>
        <v>43979</v>
      </c>
      <c r="B54" s="171">
        <f>IFERROR(__xludf.DUMMYFUNCTION("""COMPUTED_VALUE"""),348.0)</f>
        <v>348</v>
      </c>
      <c r="C54" s="171">
        <f>IFERROR(__xludf.DUMMYFUNCTION("""COMPUTED_VALUE"""),303.0)</f>
        <v>303</v>
      </c>
      <c r="D54" s="171">
        <f>IFERROR(__xludf.DUMMYFUNCTION("""COMPUTED_VALUE"""),19396.0)</f>
        <v>19396</v>
      </c>
      <c r="E54" s="171">
        <f>IFERROR(__xludf.DUMMYFUNCTION("""COMPUTED_VALUE"""),3359.0)</f>
        <v>3359</v>
      </c>
      <c r="F54" s="171">
        <f>IFERROR(__xludf.DUMMYFUNCTION("""COMPUTED_VALUE"""),135853.0)</f>
        <v>135853</v>
      </c>
      <c r="G54" s="171">
        <f>IFERROR(__xludf.DUMMYFUNCTION("""COMPUTED_VALUE"""),3707.0)</f>
        <v>3707</v>
      </c>
      <c r="H54" s="171">
        <f>IFERROR(__xludf.DUMMYFUNCTION("""COMPUTED_VALUE"""),155249.0)</f>
        <v>155249</v>
      </c>
      <c r="I54" s="171">
        <f>IFERROR(__xludf.DUMMYFUNCTION("""COMPUTED_VALUE"""),130.0)</f>
        <v>130</v>
      </c>
      <c r="J54" s="171">
        <f>IFERROR(__xludf.DUMMYFUNCTION("""COMPUTED_VALUE"""),140.0)</f>
        <v>140</v>
      </c>
      <c r="K54" s="171">
        <f>IFERROR(__xludf.DUMMYFUNCTION("""COMPUTED_VALUE"""),14609.0)</f>
        <v>14609</v>
      </c>
      <c r="L54" s="171">
        <f>IFERROR(__xludf.DUMMYFUNCTION("""COMPUTED_VALUE"""),1114.0)</f>
        <v>1114</v>
      </c>
      <c r="M54" s="171">
        <f>IFERROR(__xludf.DUMMYFUNCTION("""COMPUTED_VALUE"""),94539.0)</f>
        <v>94539</v>
      </c>
      <c r="N54" s="171">
        <f>IFERROR(__xludf.DUMMYFUNCTION("""COMPUTED_VALUE"""),109148.0)</f>
        <v>109148</v>
      </c>
      <c r="O54" s="171">
        <f>IFERROR(__xludf.DUMMYFUNCTION("""COMPUTED_VALUE"""),17.0)</f>
        <v>17</v>
      </c>
      <c r="P54" s="171">
        <f>IFERROR(__xludf.DUMMYFUNCTION("""COMPUTED_VALUE"""),1733.0)</f>
        <v>1733</v>
      </c>
      <c r="Q54" s="171">
        <f>IFERROR(__xludf.DUMMYFUNCTION("""COMPUTED_VALUE"""),29.0)</f>
        <v>29</v>
      </c>
      <c r="R54" s="171">
        <f>IFERROR(__xludf.DUMMYFUNCTION("""COMPUTED_VALUE"""),1267.0)</f>
        <v>1267</v>
      </c>
      <c r="S54" s="171">
        <f>IFERROR(__xludf.DUMMYFUNCTION("""COMPUTED_VALUE"""),4.0)</f>
        <v>4</v>
      </c>
      <c r="T54" s="171">
        <f>IFERROR(__xludf.DUMMYFUNCTION("""COMPUTED_VALUE"""),246.0)</f>
        <v>246</v>
      </c>
      <c r="U54" s="171">
        <f>IFERROR(__xludf.DUMMYFUNCTION("""COMPUTED_VALUE"""),220.0)</f>
        <v>220</v>
      </c>
      <c r="V54" s="171">
        <f>IFERROR(__xludf.DUMMYFUNCTION("""COMPUTED_VALUE"""),231.0)</f>
        <v>231</v>
      </c>
      <c r="W54" s="171">
        <f>IFERROR(__xludf.DUMMYFUNCTION("""COMPUTED_VALUE"""),47.0)</f>
        <v>47</v>
      </c>
      <c r="X54" s="171">
        <f>IFERROR(__xludf.DUMMYFUNCTION("""COMPUTED_VALUE"""),32.0)</f>
        <v>32</v>
      </c>
      <c r="Y54" s="171">
        <f>IFERROR(__xludf.DUMMYFUNCTION("""COMPUTED_VALUE"""),8.0)</f>
        <v>8</v>
      </c>
      <c r="Z54" s="171">
        <f>IFERROR(__xludf.DUMMYFUNCTION("""COMPUTED_VALUE"""),799.0)</f>
        <v>799</v>
      </c>
    </row>
    <row r="55">
      <c r="A55" s="232">
        <f>IFERROR(__xludf.DUMMYFUNCTION("""COMPUTED_VALUE"""),43980.0)</f>
        <v>43980</v>
      </c>
      <c r="B55" s="171">
        <f>IFERROR(__xludf.DUMMYFUNCTION("""COMPUTED_VALUE"""),410.0)</f>
        <v>410</v>
      </c>
      <c r="C55" s="171">
        <f>IFERROR(__xludf.DUMMYFUNCTION("""COMPUTED_VALUE"""),345.0)</f>
        <v>345</v>
      </c>
      <c r="D55" s="171">
        <f>IFERROR(__xludf.DUMMYFUNCTION("""COMPUTED_VALUE"""),19806.0)</f>
        <v>19806</v>
      </c>
      <c r="E55" s="171">
        <f>IFERROR(__xludf.DUMMYFUNCTION("""COMPUTED_VALUE"""),3915.0)</f>
        <v>3915</v>
      </c>
      <c r="F55" s="171">
        <f>IFERROR(__xludf.DUMMYFUNCTION("""COMPUTED_VALUE"""),139768.0)</f>
        <v>139768</v>
      </c>
      <c r="G55" s="171">
        <f>IFERROR(__xludf.DUMMYFUNCTION("""COMPUTED_VALUE"""),4325.0)</f>
        <v>4325</v>
      </c>
      <c r="H55" s="171">
        <f>IFERROR(__xludf.DUMMYFUNCTION("""COMPUTED_VALUE"""),159574.0)</f>
        <v>159574</v>
      </c>
      <c r="I55" s="171">
        <f>IFERROR(__xludf.DUMMYFUNCTION("""COMPUTED_VALUE"""),174.0)</f>
        <v>174</v>
      </c>
      <c r="J55" s="171">
        <f>IFERROR(__xludf.DUMMYFUNCTION("""COMPUTED_VALUE"""),145.0)</f>
        <v>145</v>
      </c>
      <c r="K55" s="171">
        <f>IFERROR(__xludf.DUMMYFUNCTION("""COMPUTED_VALUE"""),14783.0)</f>
        <v>14783</v>
      </c>
      <c r="L55" s="171">
        <f>IFERROR(__xludf.DUMMYFUNCTION("""COMPUTED_VALUE"""),1570.0)</f>
        <v>1570</v>
      </c>
      <c r="M55" s="171">
        <f>IFERROR(__xludf.DUMMYFUNCTION("""COMPUTED_VALUE"""),96109.0)</f>
        <v>96109</v>
      </c>
      <c r="N55" s="171">
        <f>IFERROR(__xludf.DUMMYFUNCTION("""COMPUTED_VALUE"""),110892.0)</f>
        <v>110892</v>
      </c>
      <c r="O55" s="171">
        <f>IFERROR(__xludf.DUMMYFUNCTION("""COMPUTED_VALUE"""),19.0)</f>
        <v>19</v>
      </c>
      <c r="P55" s="171">
        <f>IFERROR(__xludf.DUMMYFUNCTION("""COMPUTED_VALUE"""),1752.0)</f>
        <v>1752</v>
      </c>
      <c r="Q55" s="171">
        <f>IFERROR(__xludf.DUMMYFUNCTION("""COMPUTED_VALUE"""),27.0)</f>
        <v>27</v>
      </c>
      <c r="R55" s="171">
        <f>IFERROR(__xludf.DUMMYFUNCTION("""COMPUTED_VALUE"""),1294.0)</f>
        <v>1294</v>
      </c>
      <c r="S55" s="171">
        <f>IFERROR(__xludf.DUMMYFUNCTION("""COMPUTED_VALUE"""),6.0)</f>
        <v>6</v>
      </c>
      <c r="T55" s="171">
        <f>IFERROR(__xludf.DUMMYFUNCTION("""COMPUTED_VALUE"""),252.0)</f>
        <v>252</v>
      </c>
      <c r="U55" s="171">
        <f>IFERROR(__xludf.DUMMYFUNCTION("""COMPUTED_VALUE"""),206.0)</f>
        <v>206</v>
      </c>
      <c r="V55" s="171">
        <f>IFERROR(__xludf.DUMMYFUNCTION("""COMPUTED_VALUE"""),221.0)</f>
        <v>221</v>
      </c>
      <c r="W55" s="171">
        <f>IFERROR(__xludf.DUMMYFUNCTION("""COMPUTED_VALUE"""),43.0)</f>
        <v>43</v>
      </c>
      <c r="X55" s="171">
        <f>IFERROR(__xludf.DUMMYFUNCTION("""COMPUTED_VALUE"""),31.0)</f>
        <v>31</v>
      </c>
      <c r="Y55" s="171">
        <f>IFERROR(__xludf.DUMMYFUNCTION("""COMPUTED_VALUE"""),12.0)</f>
        <v>12</v>
      </c>
      <c r="Z55" s="171">
        <f>IFERROR(__xludf.DUMMYFUNCTION("""COMPUTED_VALUE"""),811.0)</f>
        <v>811</v>
      </c>
    </row>
    <row r="56">
      <c r="A56" s="232">
        <f>IFERROR(__xludf.DUMMYFUNCTION("""COMPUTED_VALUE"""),43981.0)</f>
        <v>43981</v>
      </c>
      <c r="B56" s="171">
        <f>IFERROR(__xludf.DUMMYFUNCTION("""COMPUTED_VALUE"""),225.0)</f>
        <v>225</v>
      </c>
      <c r="C56" s="171">
        <f>IFERROR(__xludf.DUMMYFUNCTION("""COMPUTED_VALUE"""),328.0)</f>
        <v>328</v>
      </c>
      <c r="D56" s="171">
        <f>IFERROR(__xludf.DUMMYFUNCTION("""COMPUTED_VALUE"""),20031.0)</f>
        <v>20031</v>
      </c>
      <c r="E56" s="171">
        <f>IFERROR(__xludf.DUMMYFUNCTION("""COMPUTED_VALUE"""),3915.0)</f>
        <v>3915</v>
      </c>
      <c r="F56" s="171">
        <f>IFERROR(__xludf.DUMMYFUNCTION("""COMPUTED_VALUE"""),143683.0)</f>
        <v>143683</v>
      </c>
      <c r="G56" s="171">
        <f>IFERROR(__xludf.DUMMYFUNCTION("""COMPUTED_VALUE"""),4140.0)</f>
        <v>4140</v>
      </c>
      <c r="H56" s="171">
        <f>IFERROR(__xludf.DUMMYFUNCTION("""COMPUTED_VALUE"""),163714.0)</f>
        <v>163714</v>
      </c>
      <c r="I56" s="171">
        <f>IFERROR(__xludf.DUMMYFUNCTION("""COMPUTED_VALUE"""),109.0)</f>
        <v>109</v>
      </c>
      <c r="J56" s="171">
        <f>IFERROR(__xludf.DUMMYFUNCTION("""COMPUTED_VALUE"""),138.0)</f>
        <v>138</v>
      </c>
      <c r="K56" s="171">
        <f>IFERROR(__xludf.DUMMYFUNCTION("""COMPUTED_VALUE"""),14892.0)</f>
        <v>14892</v>
      </c>
      <c r="L56" s="171">
        <f>IFERROR(__xludf.DUMMYFUNCTION("""COMPUTED_VALUE"""),1817.0)</f>
        <v>1817</v>
      </c>
      <c r="M56" s="171">
        <f>IFERROR(__xludf.DUMMYFUNCTION("""COMPUTED_VALUE"""),97926.0)</f>
        <v>97926</v>
      </c>
      <c r="N56" s="171">
        <f>IFERROR(__xludf.DUMMYFUNCTION("""COMPUTED_VALUE"""),112818.0)</f>
        <v>112818</v>
      </c>
      <c r="O56" s="171">
        <f>IFERROR(__xludf.DUMMYFUNCTION("""COMPUTED_VALUE"""),16.0)</f>
        <v>16</v>
      </c>
      <c r="P56" s="171">
        <f>IFERROR(__xludf.DUMMYFUNCTION("""COMPUTED_VALUE"""),1768.0)</f>
        <v>1768</v>
      </c>
      <c r="Q56" s="171">
        <f>IFERROR(__xludf.DUMMYFUNCTION("""COMPUTED_VALUE"""),19.0)</f>
        <v>19</v>
      </c>
      <c r="R56" s="171">
        <f>IFERROR(__xludf.DUMMYFUNCTION("""COMPUTED_VALUE"""),1313.0)</f>
        <v>1313</v>
      </c>
      <c r="S56" s="171">
        <f>IFERROR(__xludf.DUMMYFUNCTION("""COMPUTED_VALUE"""),4.0)</f>
        <v>4</v>
      </c>
      <c r="T56" s="171">
        <f>IFERROR(__xludf.DUMMYFUNCTION("""COMPUTED_VALUE"""),256.0)</f>
        <v>256</v>
      </c>
      <c r="U56" s="171">
        <f>IFERROR(__xludf.DUMMYFUNCTION("""COMPUTED_VALUE"""),199.0)</f>
        <v>199</v>
      </c>
      <c r="V56" s="171">
        <f>IFERROR(__xludf.DUMMYFUNCTION("""COMPUTED_VALUE"""),208.0)</f>
        <v>208</v>
      </c>
      <c r="W56" s="171">
        <f>IFERROR(__xludf.DUMMYFUNCTION("""COMPUTED_VALUE"""),41.0)</f>
        <v>41</v>
      </c>
      <c r="X56" s="171">
        <f>IFERROR(__xludf.DUMMYFUNCTION("""COMPUTED_VALUE"""),29.0)</f>
        <v>29</v>
      </c>
      <c r="Y56" s="171">
        <f>IFERROR(__xludf.DUMMYFUNCTION("""COMPUTED_VALUE"""),12.0)</f>
        <v>12</v>
      </c>
      <c r="Z56" s="171">
        <f>IFERROR(__xludf.DUMMYFUNCTION("""COMPUTED_VALUE"""),823.0)</f>
        <v>823</v>
      </c>
    </row>
    <row r="57">
      <c r="A57" s="232">
        <f>IFERROR(__xludf.DUMMYFUNCTION("""COMPUTED_VALUE"""),43982.0)</f>
        <v>43982</v>
      </c>
      <c r="B57" s="171">
        <f>IFERROR(__xludf.DUMMYFUNCTION("""COMPUTED_VALUE"""),155.0)</f>
        <v>155</v>
      </c>
      <c r="C57" s="171">
        <f>IFERROR(__xludf.DUMMYFUNCTION("""COMPUTED_VALUE"""),263.0)</f>
        <v>263</v>
      </c>
      <c r="D57" s="171">
        <f>IFERROR(__xludf.DUMMYFUNCTION("""COMPUTED_VALUE"""),20186.0)</f>
        <v>20186</v>
      </c>
      <c r="E57" s="171">
        <f>IFERROR(__xludf.DUMMYFUNCTION("""COMPUTED_VALUE"""),1688.0)</f>
        <v>1688</v>
      </c>
      <c r="F57" s="171">
        <f>IFERROR(__xludf.DUMMYFUNCTION("""COMPUTED_VALUE"""),145371.0)</f>
        <v>145371</v>
      </c>
      <c r="G57" s="171">
        <f>IFERROR(__xludf.DUMMYFUNCTION("""COMPUTED_VALUE"""),1843.0)</f>
        <v>1843</v>
      </c>
      <c r="H57" s="171">
        <f>IFERROR(__xludf.DUMMYFUNCTION("""COMPUTED_VALUE"""),165557.0)</f>
        <v>165557</v>
      </c>
      <c r="I57" s="171">
        <f>IFERROR(__xludf.DUMMYFUNCTION("""COMPUTED_VALUE"""),78.0)</f>
        <v>78</v>
      </c>
      <c r="J57" s="171">
        <f>IFERROR(__xludf.DUMMYFUNCTION("""COMPUTED_VALUE"""),120.0)</f>
        <v>120</v>
      </c>
      <c r="K57" s="171">
        <f>IFERROR(__xludf.DUMMYFUNCTION("""COMPUTED_VALUE"""),14970.0)</f>
        <v>14970</v>
      </c>
      <c r="L57" s="171">
        <f>IFERROR(__xludf.DUMMYFUNCTION("""COMPUTED_VALUE"""),854.0)</f>
        <v>854</v>
      </c>
      <c r="M57" s="171">
        <f>IFERROR(__xludf.DUMMYFUNCTION("""COMPUTED_VALUE"""),98780.0)</f>
        <v>98780</v>
      </c>
      <c r="N57" s="171">
        <f>IFERROR(__xludf.DUMMYFUNCTION("""COMPUTED_VALUE"""),113750.0)</f>
        <v>113750</v>
      </c>
      <c r="O57" s="171">
        <f>IFERROR(__xludf.DUMMYFUNCTION("""COMPUTED_VALUE"""),11.0)</f>
        <v>11</v>
      </c>
      <c r="P57" s="171">
        <f>IFERROR(__xludf.DUMMYFUNCTION("""COMPUTED_VALUE"""),1779.0)</f>
        <v>1779</v>
      </c>
      <c r="Q57" s="171">
        <f>IFERROR(__xludf.DUMMYFUNCTION("""COMPUTED_VALUE"""),10.0)</f>
        <v>10</v>
      </c>
      <c r="R57" s="171">
        <f>IFERROR(__xludf.DUMMYFUNCTION("""COMPUTED_VALUE"""),1323.0)</f>
        <v>1323</v>
      </c>
      <c r="S57" s="171">
        <f>IFERROR(__xludf.DUMMYFUNCTION("""COMPUTED_VALUE"""),1.0)</f>
        <v>1</v>
      </c>
      <c r="T57" s="171">
        <f>IFERROR(__xludf.DUMMYFUNCTION("""COMPUTED_VALUE"""),257.0)</f>
        <v>257</v>
      </c>
      <c r="U57" s="171">
        <f>IFERROR(__xludf.DUMMYFUNCTION("""COMPUTED_VALUE"""),199.0)</f>
        <v>199</v>
      </c>
      <c r="V57" s="171">
        <f>IFERROR(__xludf.DUMMYFUNCTION("""COMPUTED_VALUE"""),201.0)</f>
        <v>201</v>
      </c>
      <c r="W57" s="171">
        <f>IFERROR(__xludf.DUMMYFUNCTION("""COMPUTED_VALUE"""),44.0)</f>
        <v>44</v>
      </c>
      <c r="X57" s="171">
        <f>IFERROR(__xludf.DUMMYFUNCTION("""COMPUTED_VALUE"""),26.0)</f>
        <v>26</v>
      </c>
      <c r="Y57" s="171">
        <f>IFERROR(__xludf.DUMMYFUNCTION("""COMPUTED_VALUE"""),3.0)</f>
        <v>3</v>
      </c>
      <c r="Z57" s="171">
        <f>IFERROR(__xludf.DUMMYFUNCTION("""COMPUTED_VALUE"""),826.0)</f>
        <v>826</v>
      </c>
    </row>
    <row r="58">
      <c r="A58" s="232">
        <f>IFERROR(__xludf.DUMMYFUNCTION("""COMPUTED_VALUE"""),43983.0)</f>
        <v>43983</v>
      </c>
      <c r="B58" s="171">
        <f>IFERROR(__xludf.DUMMYFUNCTION("""COMPUTED_VALUE"""),212.0)</f>
        <v>212</v>
      </c>
      <c r="C58" s="171">
        <f>IFERROR(__xludf.DUMMYFUNCTION("""COMPUTED_VALUE"""),197.0)</f>
        <v>197</v>
      </c>
      <c r="D58" s="171">
        <f>IFERROR(__xludf.DUMMYFUNCTION("""COMPUTED_VALUE"""),20398.0)</f>
        <v>20398</v>
      </c>
      <c r="E58" s="171">
        <f>IFERROR(__xludf.DUMMYFUNCTION("""COMPUTED_VALUE"""),2792.0)</f>
        <v>2792</v>
      </c>
      <c r="F58" s="171">
        <f>IFERROR(__xludf.DUMMYFUNCTION("""COMPUTED_VALUE"""),148163.0)</f>
        <v>148163</v>
      </c>
      <c r="G58" s="171">
        <f>IFERROR(__xludf.DUMMYFUNCTION("""COMPUTED_VALUE"""),3004.0)</f>
        <v>3004</v>
      </c>
      <c r="H58" s="171">
        <f>IFERROR(__xludf.DUMMYFUNCTION("""COMPUTED_VALUE"""),168561.0)</f>
        <v>168561</v>
      </c>
      <c r="I58" s="171">
        <f>IFERROR(__xludf.DUMMYFUNCTION("""COMPUTED_VALUE"""),93.0)</f>
        <v>93</v>
      </c>
      <c r="J58" s="171">
        <f>IFERROR(__xludf.DUMMYFUNCTION("""COMPUTED_VALUE"""),93.0)</f>
        <v>93</v>
      </c>
      <c r="K58" s="171">
        <f>IFERROR(__xludf.DUMMYFUNCTION("""COMPUTED_VALUE"""),15063.0)</f>
        <v>15063</v>
      </c>
      <c r="L58" s="171">
        <f>IFERROR(__xludf.DUMMYFUNCTION("""COMPUTED_VALUE"""),1380.0)</f>
        <v>1380</v>
      </c>
      <c r="M58" s="171">
        <f>IFERROR(__xludf.DUMMYFUNCTION("""COMPUTED_VALUE"""),100160.0)</f>
        <v>100160</v>
      </c>
      <c r="N58" s="171">
        <f>IFERROR(__xludf.DUMMYFUNCTION("""COMPUTED_VALUE"""),115223.0)</f>
        <v>115223</v>
      </c>
      <c r="O58" s="171">
        <f>IFERROR(__xludf.DUMMYFUNCTION("""COMPUTED_VALUE"""),8.0)</f>
        <v>8</v>
      </c>
      <c r="P58" s="171">
        <f>IFERROR(__xludf.DUMMYFUNCTION("""COMPUTED_VALUE"""),1787.0)</f>
        <v>1787</v>
      </c>
      <c r="Q58" s="171">
        <f>IFERROR(__xludf.DUMMYFUNCTION("""COMPUTED_VALUE"""),14.0)</f>
        <v>14</v>
      </c>
      <c r="R58" s="171">
        <f>IFERROR(__xludf.DUMMYFUNCTION("""COMPUTED_VALUE"""),1337.0)</f>
        <v>1337</v>
      </c>
      <c r="S58" s="171">
        <f>IFERROR(__xludf.DUMMYFUNCTION("""COMPUTED_VALUE"""),1.0)</f>
        <v>1</v>
      </c>
      <c r="T58" s="171">
        <f>IFERROR(__xludf.DUMMYFUNCTION("""COMPUTED_VALUE"""),258.0)</f>
        <v>258</v>
      </c>
      <c r="U58" s="171">
        <f>IFERROR(__xludf.DUMMYFUNCTION("""COMPUTED_VALUE"""),192.0)</f>
        <v>192</v>
      </c>
      <c r="V58" s="171">
        <f>IFERROR(__xludf.DUMMYFUNCTION("""COMPUTED_VALUE"""),197.0)</f>
        <v>197</v>
      </c>
      <c r="W58" s="171">
        <f>IFERROR(__xludf.DUMMYFUNCTION("""COMPUTED_VALUE"""),45.0)</f>
        <v>45</v>
      </c>
      <c r="X58" s="171">
        <f>IFERROR(__xludf.DUMMYFUNCTION("""COMPUTED_VALUE"""),29.0)</f>
        <v>29</v>
      </c>
      <c r="Y58" s="171">
        <f>IFERROR(__xludf.DUMMYFUNCTION("""COMPUTED_VALUE"""),5.0)</f>
        <v>5</v>
      </c>
      <c r="Z58" s="171">
        <f>IFERROR(__xludf.DUMMYFUNCTION("""COMPUTED_VALUE"""),831.0)</f>
        <v>831</v>
      </c>
    </row>
    <row r="59">
      <c r="A59" s="232">
        <f>IFERROR(__xludf.DUMMYFUNCTION("""COMPUTED_VALUE"""),43984.0)</f>
        <v>43984</v>
      </c>
      <c r="B59" s="171">
        <f>IFERROR(__xludf.DUMMYFUNCTION("""COMPUTED_VALUE"""),273.0)</f>
        <v>273</v>
      </c>
      <c r="C59" s="171">
        <f>IFERROR(__xludf.DUMMYFUNCTION("""COMPUTED_VALUE"""),213.0)</f>
        <v>213</v>
      </c>
      <c r="D59" s="171">
        <f>IFERROR(__xludf.DUMMYFUNCTION("""COMPUTED_VALUE"""),20671.0)</f>
        <v>20671</v>
      </c>
      <c r="E59" s="171">
        <f>IFERROR(__xludf.DUMMYFUNCTION("""COMPUTED_VALUE"""),3022.0)</f>
        <v>3022</v>
      </c>
      <c r="F59" s="171">
        <f>IFERROR(__xludf.DUMMYFUNCTION("""COMPUTED_VALUE"""),151185.0)</f>
        <v>151185</v>
      </c>
      <c r="G59" s="171">
        <f>IFERROR(__xludf.DUMMYFUNCTION("""COMPUTED_VALUE"""),3295.0)</f>
        <v>3295</v>
      </c>
      <c r="H59" s="171">
        <f>IFERROR(__xludf.DUMMYFUNCTION("""COMPUTED_VALUE"""),171856.0)</f>
        <v>171856</v>
      </c>
      <c r="I59" s="171">
        <f>IFERROR(__xludf.DUMMYFUNCTION("""COMPUTED_VALUE"""),98.0)</f>
        <v>98</v>
      </c>
      <c r="J59" s="171">
        <f>IFERROR(__xludf.DUMMYFUNCTION("""COMPUTED_VALUE"""),90.0)</f>
        <v>90</v>
      </c>
      <c r="K59" s="171">
        <f>IFERROR(__xludf.DUMMYFUNCTION("""COMPUTED_VALUE"""),15161.0)</f>
        <v>15161</v>
      </c>
      <c r="L59" s="171">
        <f>IFERROR(__xludf.DUMMYFUNCTION("""COMPUTED_VALUE"""),1442.0)</f>
        <v>1442</v>
      </c>
      <c r="M59" s="171">
        <f>IFERROR(__xludf.DUMMYFUNCTION("""COMPUTED_VALUE"""),101602.0)</f>
        <v>101602</v>
      </c>
      <c r="N59" s="171">
        <f>IFERROR(__xludf.DUMMYFUNCTION("""COMPUTED_VALUE"""),116763.0)</f>
        <v>116763</v>
      </c>
      <c r="O59" s="171">
        <f>IFERROR(__xludf.DUMMYFUNCTION("""COMPUTED_VALUE"""),8.0)</f>
        <v>8</v>
      </c>
      <c r="P59" s="171">
        <f>IFERROR(__xludf.DUMMYFUNCTION("""COMPUTED_VALUE"""),1795.0)</f>
        <v>1795</v>
      </c>
      <c r="Q59" s="171">
        <f>IFERROR(__xludf.DUMMYFUNCTION("""COMPUTED_VALUE"""),9.0)</f>
        <v>9</v>
      </c>
      <c r="R59" s="171">
        <f>IFERROR(__xludf.DUMMYFUNCTION("""COMPUTED_VALUE"""),1346.0)</f>
        <v>1346</v>
      </c>
      <c r="S59" s="171">
        <f>IFERROR(__xludf.DUMMYFUNCTION("""COMPUTED_VALUE"""),3.0)</f>
        <v>3</v>
      </c>
      <c r="T59" s="171">
        <f>IFERROR(__xludf.DUMMYFUNCTION("""COMPUTED_VALUE"""),261.0)</f>
        <v>261</v>
      </c>
      <c r="U59" s="171">
        <f>IFERROR(__xludf.DUMMYFUNCTION("""COMPUTED_VALUE"""),188.0)</f>
        <v>188</v>
      </c>
      <c r="V59" s="171">
        <f>IFERROR(__xludf.DUMMYFUNCTION("""COMPUTED_VALUE"""),193.0)</f>
        <v>193</v>
      </c>
      <c r="W59" s="171">
        <f>IFERROR(__xludf.DUMMYFUNCTION("""COMPUTED_VALUE"""),38.0)</f>
        <v>38</v>
      </c>
      <c r="X59" s="171">
        <f>IFERROR(__xludf.DUMMYFUNCTION("""COMPUTED_VALUE"""),25.0)</f>
        <v>25</v>
      </c>
      <c r="Y59" s="171">
        <f>IFERROR(__xludf.DUMMYFUNCTION("""COMPUTED_VALUE"""),10.0)</f>
        <v>10</v>
      </c>
      <c r="Z59" s="171">
        <f>IFERROR(__xludf.DUMMYFUNCTION("""COMPUTED_VALUE"""),841.0)</f>
        <v>841</v>
      </c>
    </row>
    <row r="60">
      <c r="A60" s="232">
        <f>IFERROR(__xludf.DUMMYFUNCTION("""COMPUTED_VALUE"""),43985.0)</f>
        <v>43985</v>
      </c>
      <c r="B60" s="171">
        <f>IFERROR(__xludf.DUMMYFUNCTION("""COMPUTED_VALUE"""),254.0)</f>
        <v>254</v>
      </c>
      <c r="C60" s="171">
        <f>IFERROR(__xludf.DUMMYFUNCTION("""COMPUTED_VALUE"""),246.0)</f>
        <v>246</v>
      </c>
      <c r="D60" s="171">
        <f>IFERROR(__xludf.DUMMYFUNCTION("""COMPUTED_VALUE"""),20925.0)</f>
        <v>20925</v>
      </c>
      <c r="E60" s="171">
        <f>IFERROR(__xludf.DUMMYFUNCTION("""COMPUTED_VALUE"""),3486.0)</f>
        <v>3486</v>
      </c>
      <c r="F60" s="171">
        <f>IFERROR(__xludf.DUMMYFUNCTION("""COMPUTED_VALUE"""),154671.0)</f>
        <v>154671</v>
      </c>
      <c r="G60" s="171">
        <f>IFERROR(__xludf.DUMMYFUNCTION("""COMPUTED_VALUE"""),3740.0)</f>
        <v>3740</v>
      </c>
      <c r="H60" s="171">
        <f>IFERROR(__xludf.DUMMYFUNCTION("""COMPUTED_VALUE"""),175596.0)</f>
        <v>175596</v>
      </c>
      <c r="I60" s="171">
        <f>IFERROR(__xludf.DUMMYFUNCTION("""COMPUTED_VALUE"""),99.0)</f>
        <v>99</v>
      </c>
      <c r="J60" s="171">
        <f>IFERROR(__xludf.DUMMYFUNCTION("""COMPUTED_VALUE"""),97.0)</f>
        <v>97</v>
      </c>
      <c r="K60" s="171">
        <f>IFERROR(__xludf.DUMMYFUNCTION("""COMPUTED_VALUE"""),15260.0)</f>
        <v>15260</v>
      </c>
      <c r="L60" s="171">
        <f>IFERROR(__xludf.DUMMYFUNCTION("""COMPUTED_VALUE"""),1655.0)</f>
        <v>1655</v>
      </c>
      <c r="M60" s="171">
        <f>IFERROR(__xludf.DUMMYFUNCTION("""COMPUTED_VALUE"""),103257.0)</f>
        <v>103257</v>
      </c>
      <c r="N60" s="171">
        <f>IFERROR(__xludf.DUMMYFUNCTION("""COMPUTED_VALUE"""),118517.0)</f>
        <v>118517</v>
      </c>
      <c r="O60" s="171">
        <f>IFERROR(__xludf.DUMMYFUNCTION("""COMPUTED_VALUE"""),14.0)</f>
        <v>14</v>
      </c>
      <c r="P60" s="171">
        <f>IFERROR(__xludf.DUMMYFUNCTION("""COMPUTED_VALUE"""),1809.0)</f>
        <v>1809</v>
      </c>
      <c r="Q60" s="171">
        <f>IFERROR(__xludf.DUMMYFUNCTION("""COMPUTED_VALUE"""),18.0)</f>
        <v>18</v>
      </c>
      <c r="R60" s="171">
        <f>IFERROR(__xludf.DUMMYFUNCTION("""COMPUTED_VALUE"""),1364.0)</f>
        <v>1364</v>
      </c>
      <c r="S60" s="171">
        <f>IFERROR(__xludf.DUMMYFUNCTION("""COMPUTED_VALUE"""),6.0)</f>
        <v>6</v>
      </c>
      <c r="T60" s="171">
        <f>IFERROR(__xludf.DUMMYFUNCTION("""COMPUTED_VALUE"""),267.0)</f>
        <v>267</v>
      </c>
      <c r="U60" s="171">
        <f>IFERROR(__xludf.DUMMYFUNCTION("""COMPUTED_VALUE"""),178.0)</f>
        <v>178</v>
      </c>
      <c r="V60" s="171">
        <f>IFERROR(__xludf.DUMMYFUNCTION("""COMPUTED_VALUE"""),186.0)</f>
        <v>186</v>
      </c>
      <c r="W60" s="171">
        <f>IFERROR(__xludf.DUMMYFUNCTION("""COMPUTED_VALUE"""),34.0)</f>
        <v>34</v>
      </c>
      <c r="X60" s="171">
        <f>IFERROR(__xludf.DUMMYFUNCTION("""COMPUTED_VALUE"""),25.0)</f>
        <v>25</v>
      </c>
      <c r="Y60" s="171">
        <f>IFERROR(__xludf.DUMMYFUNCTION("""COMPUTED_VALUE"""),11.0)</f>
        <v>11</v>
      </c>
      <c r="Z60" s="171">
        <f>IFERROR(__xludf.DUMMYFUNCTION("""COMPUTED_VALUE"""),852.0)</f>
        <v>852</v>
      </c>
    </row>
    <row r="61">
      <c r="A61" s="232">
        <f>IFERROR(__xludf.DUMMYFUNCTION("""COMPUTED_VALUE"""),43986.0)</f>
        <v>43986</v>
      </c>
      <c r="B61" s="171">
        <f>IFERROR(__xludf.DUMMYFUNCTION("""COMPUTED_VALUE"""),276.0)</f>
        <v>276</v>
      </c>
      <c r="C61" s="171">
        <f>IFERROR(__xludf.DUMMYFUNCTION("""COMPUTED_VALUE"""),268.0)</f>
        <v>268</v>
      </c>
      <c r="D61" s="171">
        <f>IFERROR(__xludf.DUMMYFUNCTION("""COMPUTED_VALUE"""),21201.0)</f>
        <v>21201</v>
      </c>
      <c r="E61" s="171">
        <f>IFERROR(__xludf.DUMMYFUNCTION("""COMPUTED_VALUE"""),4471.0)</f>
        <v>4471</v>
      </c>
      <c r="F61" s="171">
        <f>IFERROR(__xludf.DUMMYFUNCTION("""COMPUTED_VALUE"""),159142.0)</f>
        <v>159142</v>
      </c>
      <c r="G61" s="171">
        <f>IFERROR(__xludf.DUMMYFUNCTION("""COMPUTED_VALUE"""),4747.0)</f>
        <v>4747</v>
      </c>
      <c r="H61" s="171">
        <f>IFERROR(__xludf.DUMMYFUNCTION("""COMPUTED_VALUE"""),180343.0)</f>
        <v>180343</v>
      </c>
      <c r="I61" s="171">
        <f>IFERROR(__xludf.DUMMYFUNCTION("""COMPUTED_VALUE"""),107.0)</f>
        <v>107</v>
      </c>
      <c r="J61" s="171">
        <f>IFERROR(__xludf.DUMMYFUNCTION("""COMPUTED_VALUE"""),101.0)</f>
        <v>101</v>
      </c>
      <c r="K61" s="171">
        <f>IFERROR(__xludf.DUMMYFUNCTION("""COMPUTED_VALUE"""),15367.0)</f>
        <v>15367</v>
      </c>
      <c r="L61" s="171">
        <f>IFERROR(__xludf.DUMMYFUNCTION("""COMPUTED_VALUE"""),2032.0)</f>
        <v>2032</v>
      </c>
      <c r="M61" s="171">
        <f>IFERROR(__xludf.DUMMYFUNCTION("""COMPUTED_VALUE"""),105289.0)</f>
        <v>105289</v>
      </c>
      <c r="N61" s="171">
        <f>IFERROR(__xludf.DUMMYFUNCTION("""COMPUTED_VALUE"""),120656.0)</f>
        <v>120656</v>
      </c>
      <c r="O61" s="171">
        <f>IFERROR(__xludf.DUMMYFUNCTION("""COMPUTED_VALUE"""),7.0)</f>
        <v>7</v>
      </c>
      <c r="P61" s="171">
        <f>IFERROR(__xludf.DUMMYFUNCTION("""COMPUTED_VALUE"""),1816.0)</f>
        <v>1816</v>
      </c>
      <c r="Q61" s="171">
        <f>IFERROR(__xludf.DUMMYFUNCTION("""COMPUTED_VALUE"""),25.0)</f>
        <v>25</v>
      </c>
      <c r="R61" s="171">
        <f>IFERROR(__xludf.DUMMYFUNCTION("""COMPUTED_VALUE"""),1389.0)</f>
        <v>1389</v>
      </c>
      <c r="S61" s="171">
        <f>IFERROR(__xludf.DUMMYFUNCTION("""COMPUTED_VALUE"""),4.0)</f>
        <v>4</v>
      </c>
      <c r="T61" s="171">
        <f>IFERROR(__xludf.DUMMYFUNCTION("""COMPUTED_VALUE"""),271.0)</f>
        <v>271</v>
      </c>
      <c r="U61" s="171">
        <f>IFERROR(__xludf.DUMMYFUNCTION("""COMPUTED_VALUE"""),156.0)</f>
        <v>156</v>
      </c>
      <c r="V61" s="171">
        <f>IFERROR(__xludf.DUMMYFUNCTION("""COMPUTED_VALUE"""),174.0)</f>
        <v>174</v>
      </c>
      <c r="W61" s="171">
        <f>IFERROR(__xludf.DUMMYFUNCTION("""COMPUTED_VALUE"""),31.0)</f>
        <v>31</v>
      </c>
      <c r="X61" s="171">
        <f>IFERROR(__xludf.DUMMYFUNCTION("""COMPUTED_VALUE"""),24.0)</f>
        <v>24</v>
      </c>
      <c r="Y61" s="171">
        <f>IFERROR(__xludf.DUMMYFUNCTION("""COMPUTED_VALUE"""),12.0)</f>
        <v>12</v>
      </c>
      <c r="Z61" s="171">
        <f>IFERROR(__xludf.DUMMYFUNCTION("""COMPUTED_VALUE"""),864.0)</f>
        <v>864</v>
      </c>
    </row>
    <row r="62">
      <c r="A62" s="232">
        <f>IFERROR(__xludf.DUMMYFUNCTION("""COMPUTED_VALUE"""),43987.0)</f>
        <v>43987</v>
      </c>
      <c r="B62" s="171">
        <f>IFERROR(__xludf.DUMMYFUNCTION("""COMPUTED_VALUE"""),215.0)</f>
        <v>215</v>
      </c>
      <c r="C62" s="171">
        <f>IFERROR(__xludf.DUMMYFUNCTION("""COMPUTED_VALUE"""),248.0)</f>
        <v>248</v>
      </c>
      <c r="D62" s="171">
        <f>IFERROR(__xludf.DUMMYFUNCTION("""COMPUTED_VALUE"""),21416.0)</f>
        <v>21416</v>
      </c>
      <c r="E62" s="171">
        <f>IFERROR(__xludf.DUMMYFUNCTION("""COMPUTED_VALUE"""),3513.0)</f>
        <v>3513</v>
      </c>
      <c r="F62" s="171">
        <f>IFERROR(__xludf.DUMMYFUNCTION("""COMPUTED_VALUE"""),162655.0)</f>
        <v>162655</v>
      </c>
      <c r="G62" s="171">
        <f>IFERROR(__xludf.DUMMYFUNCTION("""COMPUTED_VALUE"""),3728.0)</f>
        <v>3728</v>
      </c>
      <c r="H62" s="171">
        <f>IFERROR(__xludf.DUMMYFUNCTION("""COMPUTED_VALUE"""),184071.0)</f>
        <v>184071</v>
      </c>
      <c r="I62" s="171">
        <f>IFERROR(__xludf.DUMMYFUNCTION("""COMPUTED_VALUE"""),99.0)</f>
        <v>99</v>
      </c>
      <c r="J62" s="171">
        <f>IFERROR(__xludf.DUMMYFUNCTION("""COMPUTED_VALUE"""),102.0)</f>
        <v>102</v>
      </c>
      <c r="K62" s="171">
        <f>IFERROR(__xludf.DUMMYFUNCTION("""COMPUTED_VALUE"""),15466.0)</f>
        <v>15466</v>
      </c>
      <c r="L62" s="171">
        <f>IFERROR(__xludf.DUMMYFUNCTION("""COMPUTED_VALUE"""),1570.0)</f>
        <v>1570</v>
      </c>
      <c r="M62" s="171">
        <f>IFERROR(__xludf.DUMMYFUNCTION("""COMPUTED_VALUE"""),106859.0)</f>
        <v>106859</v>
      </c>
      <c r="N62" s="171">
        <f>IFERROR(__xludf.DUMMYFUNCTION("""COMPUTED_VALUE"""),122325.0)</f>
        <v>122325</v>
      </c>
      <c r="O62" s="171">
        <f>IFERROR(__xludf.DUMMYFUNCTION("""COMPUTED_VALUE"""),15.0)</f>
        <v>15</v>
      </c>
      <c r="P62" s="171">
        <f>IFERROR(__xludf.DUMMYFUNCTION("""COMPUTED_VALUE"""),1831.0)</f>
        <v>1831</v>
      </c>
      <c r="Q62" s="171">
        <f>IFERROR(__xludf.DUMMYFUNCTION("""COMPUTED_VALUE"""),13.0)</f>
        <v>13</v>
      </c>
      <c r="R62" s="171">
        <f>IFERROR(__xludf.DUMMYFUNCTION("""COMPUTED_VALUE"""),1402.0)</f>
        <v>1402</v>
      </c>
      <c r="S62" s="171">
        <f>IFERROR(__xludf.DUMMYFUNCTION("""COMPUTED_VALUE"""),6.0)</f>
        <v>6</v>
      </c>
      <c r="T62" s="171">
        <f>IFERROR(__xludf.DUMMYFUNCTION("""COMPUTED_VALUE"""),277.0)</f>
        <v>277</v>
      </c>
      <c r="U62" s="171">
        <f>IFERROR(__xludf.DUMMYFUNCTION("""COMPUTED_VALUE"""),152.0)</f>
        <v>152</v>
      </c>
      <c r="V62" s="171">
        <f>IFERROR(__xludf.DUMMYFUNCTION("""COMPUTED_VALUE"""),162.0)</f>
        <v>162</v>
      </c>
      <c r="W62" s="171">
        <f>IFERROR(__xludf.DUMMYFUNCTION("""COMPUTED_VALUE"""),27.0)</f>
        <v>27</v>
      </c>
      <c r="X62" s="171">
        <f>IFERROR(__xludf.DUMMYFUNCTION("""COMPUTED_VALUE"""),21.0)</f>
        <v>21</v>
      </c>
      <c r="Y62" s="171">
        <f>IFERROR(__xludf.DUMMYFUNCTION("""COMPUTED_VALUE"""),11.0)</f>
        <v>11</v>
      </c>
      <c r="Z62" s="171">
        <f>IFERROR(__xludf.DUMMYFUNCTION("""COMPUTED_VALUE"""),875.0)</f>
        <v>875</v>
      </c>
    </row>
    <row r="63">
      <c r="A63" s="232">
        <f>IFERROR(__xludf.DUMMYFUNCTION("""COMPUTED_VALUE"""),43988.0)</f>
        <v>43988</v>
      </c>
      <c r="B63" s="171">
        <f>IFERROR(__xludf.DUMMYFUNCTION("""COMPUTED_VALUE"""),201.0)</f>
        <v>201</v>
      </c>
      <c r="C63" s="171">
        <f>IFERROR(__xludf.DUMMYFUNCTION("""COMPUTED_VALUE"""),231.0)</f>
        <v>231</v>
      </c>
      <c r="D63" s="171">
        <f>IFERROR(__xludf.DUMMYFUNCTION("""COMPUTED_VALUE"""),21617.0)</f>
        <v>21617</v>
      </c>
      <c r="E63" s="171">
        <f>IFERROR(__xludf.DUMMYFUNCTION("""COMPUTED_VALUE"""),2616.0)</f>
        <v>2616</v>
      </c>
      <c r="F63" s="171">
        <f>IFERROR(__xludf.DUMMYFUNCTION("""COMPUTED_VALUE"""),165271.0)</f>
        <v>165271</v>
      </c>
      <c r="G63" s="171">
        <f>IFERROR(__xludf.DUMMYFUNCTION("""COMPUTED_VALUE"""),2817.0)</f>
        <v>2817</v>
      </c>
      <c r="H63" s="171">
        <f>IFERROR(__xludf.DUMMYFUNCTION("""COMPUTED_VALUE"""),186888.0)</f>
        <v>186888</v>
      </c>
      <c r="I63" s="171">
        <f>IFERROR(__xludf.DUMMYFUNCTION("""COMPUTED_VALUE"""),67.0)</f>
        <v>67</v>
      </c>
      <c r="J63" s="171">
        <f>IFERROR(__xludf.DUMMYFUNCTION("""COMPUTED_VALUE"""),91.0)</f>
        <v>91</v>
      </c>
      <c r="K63" s="171">
        <f>IFERROR(__xludf.DUMMYFUNCTION("""COMPUTED_VALUE"""),15533.0)</f>
        <v>15533</v>
      </c>
      <c r="L63" s="171">
        <f>IFERROR(__xludf.DUMMYFUNCTION("""COMPUTED_VALUE"""),1128.0)</f>
        <v>1128</v>
      </c>
      <c r="M63" s="171">
        <f>IFERROR(__xludf.DUMMYFUNCTION("""COMPUTED_VALUE"""),107987.0)</f>
        <v>107987</v>
      </c>
      <c r="N63" s="171">
        <f>IFERROR(__xludf.DUMMYFUNCTION("""COMPUTED_VALUE"""),123520.0)</f>
        <v>123520</v>
      </c>
      <c r="O63" s="171">
        <f>IFERROR(__xludf.DUMMYFUNCTION("""COMPUTED_VALUE"""),10.0)</f>
        <v>10</v>
      </c>
      <c r="P63" s="171">
        <f>IFERROR(__xludf.DUMMYFUNCTION("""COMPUTED_VALUE"""),1841.0)</f>
        <v>1841</v>
      </c>
      <c r="Q63" s="171">
        <f>IFERROR(__xludf.DUMMYFUNCTION("""COMPUTED_VALUE"""),7.0)</f>
        <v>7</v>
      </c>
      <c r="R63" s="171">
        <f>IFERROR(__xludf.DUMMYFUNCTION("""COMPUTED_VALUE"""),1409.0)</f>
        <v>1409</v>
      </c>
      <c r="S63" s="171">
        <f>IFERROR(__xludf.DUMMYFUNCTION("""COMPUTED_VALUE"""),2.0)</f>
        <v>2</v>
      </c>
      <c r="T63" s="171">
        <f>IFERROR(__xludf.DUMMYFUNCTION("""COMPUTED_VALUE"""),279.0)</f>
        <v>279</v>
      </c>
      <c r="U63" s="171">
        <f>IFERROR(__xludf.DUMMYFUNCTION("""COMPUTED_VALUE"""),153.0)</f>
        <v>153</v>
      </c>
      <c r="V63" s="171">
        <f>IFERROR(__xludf.DUMMYFUNCTION("""COMPUTED_VALUE"""),154.0)</f>
        <v>154</v>
      </c>
      <c r="W63" s="171">
        <f>IFERROR(__xludf.DUMMYFUNCTION("""COMPUTED_VALUE"""),29.0)</f>
        <v>29</v>
      </c>
      <c r="X63" s="171">
        <f>IFERROR(__xludf.DUMMYFUNCTION("""COMPUTED_VALUE"""),19.0)</f>
        <v>19</v>
      </c>
      <c r="Y63" s="171">
        <f>IFERROR(__xludf.DUMMYFUNCTION("""COMPUTED_VALUE"""),6.0)</f>
        <v>6</v>
      </c>
      <c r="Z63" s="171">
        <f>IFERROR(__xludf.DUMMYFUNCTION("""COMPUTED_VALUE"""),881.0)</f>
        <v>881</v>
      </c>
    </row>
    <row r="64">
      <c r="A64" s="232">
        <f>IFERROR(__xludf.DUMMYFUNCTION("""COMPUTED_VALUE"""),43989.0)</f>
        <v>43989</v>
      </c>
      <c r="B64" s="171">
        <f>IFERROR(__xludf.DUMMYFUNCTION("""COMPUTED_VALUE"""),83.0)</f>
        <v>83</v>
      </c>
      <c r="C64" s="171">
        <f>IFERROR(__xludf.DUMMYFUNCTION("""COMPUTED_VALUE"""),166.0)</f>
        <v>166</v>
      </c>
      <c r="D64" s="171">
        <f>IFERROR(__xludf.DUMMYFUNCTION("""COMPUTED_VALUE"""),21700.0)</f>
        <v>21700</v>
      </c>
      <c r="E64" s="171">
        <f>IFERROR(__xludf.DUMMYFUNCTION("""COMPUTED_VALUE"""),1625.0)</f>
        <v>1625</v>
      </c>
      <c r="F64" s="171">
        <f>IFERROR(__xludf.DUMMYFUNCTION("""COMPUTED_VALUE"""),166896.0)</f>
        <v>166896</v>
      </c>
      <c r="G64" s="171">
        <f>IFERROR(__xludf.DUMMYFUNCTION("""COMPUTED_VALUE"""),1708.0)</f>
        <v>1708</v>
      </c>
      <c r="H64" s="171">
        <f>IFERROR(__xludf.DUMMYFUNCTION("""COMPUTED_VALUE"""),188596.0)</f>
        <v>188596</v>
      </c>
      <c r="I64" s="171">
        <f>IFERROR(__xludf.DUMMYFUNCTION("""COMPUTED_VALUE"""),51.0)</f>
        <v>51</v>
      </c>
      <c r="J64" s="171">
        <f>IFERROR(__xludf.DUMMYFUNCTION("""COMPUTED_VALUE"""),72.0)</f>
        <v>72</v>
      </c>
      <c r="K64" s="171">
        <f>IFERROR(__xludf.DUMMYFUNCTION("""COMPUTED_VALUE"""),15584.0)</f>
        <v>15584</v>
      </c>
      <c r="L64" s="171">
        <f>IFERROR(__xludf.DUMMYFUNCTION("""COMPUTED_VALUE"""),781.0)</f>
        <v>781</v>
      </c>
      <c r="M64" s="171">
        <f>IFERROR(__xludf.DUMMYFUNCTION("""COMPUTED_VALUE"""),108768.0)</f>
        <v>108768</v>
      </c>
      <c r="N64" s="171">
        <f>IFERROR(__xludf.DUMMYFUNCTION("""COMPUTED_VALUE"""),124352.0)</f>
        <v>124352</v>
      </c>
      <c r="O64" s="171">
        <f>IFERROR(__xludf.DUMMYFUNCTION("""COMPUTED_VALUE"""),11.0)</f>
        <v>11</v>
      </c>
      <c r="P64" s="171">
        <f>IFERROR(__xludf.DUMMYFUNCTION("""COMPUTED_VALUE"""),1852.0)</f>
        <v>1852</v>
      </c>
      <c r="Q64" s="171">
        <f>IFERROR(__xludf.DUMMYFUNCTION("""COMPUTED_VALUE"""),7.0)</f>
        <v>7</v>
      </c>
      <c r="R64" s="171">
        <f>IFERROR(__xludf.DUMMYFUNCTION("""COMPUTED_VALUE"""),1416.0)</f>
        <v>1416</v>
      </c>
      <c r="S64" s="171">
        <f>IFERROR(__xludf.DUMMYFUNCTION("""COMPUTED_VALUE"""),1.0)</f>
        <v>1</v>
      </c>
      <c r="T64" s="171">
        <f>IFERROR(__xludf.DUMMYFUNCTION("""COMPUTED_VALUE"""),280.0)</f>
        <v>280</v>
      </c>
      <c r="U64" s="171">
        <f>IFERROR(__xludf.DUMMYFUNCTION("""COMPUTED_VALUE"""),156.0)</f>
        <v>156</v>
      </c>
      <c r="V64" s="171">
        <f>IFERROR(__xludf.DUMMYFUNCTION("""COMPUTED_VALUE"""),154.0)</f>
        <v>154</v>
      </c>
      <c r="W64" s="171">
        <f>IFERROR(__xludf.DUMMYFUNCTION("""COMPUTED_VALUE"""),25.0)</f>
        <v>25</v>
      </c>
      <c r="X64" s="171">
        <f>IFERROR(__xludf.DUMMYFUNCTION("""COMPUTED_VALUE"""),17.0)</f>
        <v>17</v>
      </c>
      <c r="Y64" s="171">
        <f>IFERROR(__xludf.DUMMYFUNCTION("""COMPUTED_VALUE"""),4.0)</f>
        <v>4</v>
      </c>
      <c r="Z64" s="171">
        <f>IFERROR(__xludf.DUMMYFUNCTION("""COMPUTED_VALUE"""),885.0)</f>
        <v>885</v>
      </c>
    </row>
    <row r="65">
      <c r="A65" s="232">
        <f>IFERROR(__xludf.DUMMYFUNCTION("""COMPUTED_VALUE"""),43990.0)</f>
        <v>43990</v>
      </c>
      <c r="B65" s="233">
        <f>IFERROR(__xludf.DUMMYFUNCTION("""COMPUTED_VALUE"""),119.0)</f>
        <v>119</v>
      </c>
      <c r="C65" s="233">
        <f>IFERROR(__xludf.DUMMYFUNCTION("""COMPUTED_VALUE"""),134.0)</f>
        <v>134</v>
      </c>
      <c r="D65" s="233">
        <f>IFERROR(__xludf.DUMMYFUNCTION("""COMPUTED_VALUE"""),21819.0)</f>
        <v>21819</v>
      </c>
      <c r="E65" s="233">
        <f>IFERROR(__xludf.DUMMYFUNCTION("""COMPUTED_VALUE"""),1849.0)</f>
        <v>1849</v>
      </c>
      <c r="F65" s="171">
        <f>IFERROR(__xludf.DUMMYFUNCTION("""COMPUTED_VALUE"""),168745.0)</f>
        <v>168745</v>
      </c>
      <c r="G65" s="171">
        <f>IFERROR(__xludf.DUMMYFUNCTION("""COMPUTED_VALUE"""),1968.0)</f>
        <v>1968</v>
      </c>
      <c r="H65" s="171">
        <f>IFERROR(__xludf.DUMMYFUNCTION("""COMPUTED_VALUE"""),190564.0)</f>
        <v>190564</v>
      </c>
      <c r="I65" s="233">
        <f>IFERROR(__xludf.DUMMYFUNCTION("""COMPUTED_VALUE"""),45.0)</f>
        <v>45</v>
      </c>
      <c r="J65" s="233">
        <f>IFERROR(__xludf.DUMMYFUNCTION("""COMPUTED_VALUE"""),54.0)</f>
        <v>54</v>
      </c>
      <c r="K65" s="233">
        <f>IFERROR(__xludf.DUMMYFUNCTION("""COMPUTED_VALUE"""),15629.0)</f>
        <v>15629</v>
      </c>
      <c r="L65" s="233">
        <f>IFERROR(__xludf.DUMMYFUNCTION("""COMPUTED_VALUE"""),954.0)</f>
        <v>954</v>
      </c>
      <c r="M65" s="233">
        <f>IFERROR(__xludf.DUMMYFUNCTION("""COMPUTED_VALUE"""),109722.0)</f>
        <v>109722</v>
      </c>
      <c r="N65" s="233">
        <f>IFERROR(__xludf.DUMMYFUNCTION("""COMPUTED_VALUE"""),125351.0)</f>
        <v>125351</v>
      </c>
      <c r="O65" s="233">
        <f>IFERROR(__xludf.DUMMYFUNCTION("""COMPUTED_VALUE"""),15.0)</f>
        <v>15</v>
      </c>
      <c r="P65" s="233">
        <f>IFERROR(__xludf.DUMMYFUNCTION("""COMPUTED_VALUE"""),1867.0)</f>
        <v>1867</v>
      </c>
      <c r="Q65" s="233">
        <f>IFERROR(__xludf.DUMMYFUNCTION("""COMPUTED_VALUE"""),12.0)</f>
        <v>12</v>
      </c>
      <c r="R65" s="233">
        <f>IFERROR(__xludf.DUMMYFUNCTION("""COMPUTED_VALUE"""),1428.0)</f>
        <v>1428</v>
      </c>
      <c r="S65" s="233">
        <f>IFERROR(__xludf.DUMMYFUNCTION("""COMPUTED_VALUE"""),2.0)</f>
        <v>2</v>
      </c>
      <c r="T65" s="233">
        <f>IFERROR(__xludf.DUMMYFUNCTION("""COMPUTED_VALUE"""),282.0)</f>
        <v>282</v>
      </c>
      <c r="U65" s="233">
        <f>IFERROR(__xludf.DUMMYFUNCTION("""COMPUTED_VALUE"""),157.0)</f>
        <v>157</v>
      </c>
      <c r="V65" s="233">
        <f>IFERROR(__xludf.DUMMYFUNCTION("""COMPUTED_VALUE"""),155.0)</f>
        <v>155</v>
      </c>
      <c r="W65" s="233">
        <f>IFERROR(__xludf.DUMMYFUNCTION("""COMPUTED_VALUE"""),27.0)</f>
        <v>27</v>
      </c>
      <c r="X65" s="233">
        <f>IFERROR(__xludf.DUMMYFUNCTION("""COMPUTED_VALUE"""),18.0)</f>
        <v>18</v>
      </c>
      <c r="Y65" s="233">
        <f>IFERROR(__xludf.DUMMYFUNCTION("""COMPUTED_VALUE"""),4.0)</f>
        <v>4</v>
      </c>
      <c r="Z65" s="233">
        <f>IFERROR(__xludf.DUMMYFUNCTION("""COMPUTED_VALUE"""),889.0)</f>
        <v>889</v>
      </c>
    </row>
    <row r="66">
      <c r="A66" s="232">
        <f>IFERROR(__xludf.DUMMYFUNCTION("""COMPUTED_VALUE"""),43991.0)</f>
        <v>43991</v>
      </c>
      <c r="B66" s="233">
        <f>IFERROR(__xludf.DUMMYFUNCTION("""COMPUTED_VALUE"""),223.0)</f>
        <v>223</v>
      </c>
      <c r="C66" s="233">
        <f>IFERROR(__xludf.DUMMYFUNCTION("""COMPUTED_VALUE"""),142.0)</f>
        <v>142</v>
      </c>
      <c r="D66" s="233">
        <f>IFERROR(__xludf.DUMMYFUNCTION("""COMPUTED_VALUE"""),22042.0)</f>
        <v>22042</v>
      </c>
      <c r="E66" s="233">
        <f>IFERROR(__xludf.DUMMYFUNCTION("""COMPUTED_VALUE"""),2673.0)</f>
        <v>2673</v>
      </c>
      <c r="F66" s="171">
        <f>IFERROR(__xludf.DUMMYFUNCTION("""COMPUTED_VALUE"""),171418.0)</f>
        <v>171418</v>
      </c>
      <c r="G66" s="171">
        <f>IFERROR(__xludf.DUMMYFUNCTION("""COMPUTED_VALUE"""),2896.0)</f>
        <v>2896</v>
      </c>
      <c r="H66" s="171">
        <f>IFERROR(__xludf.DUMMYFUNCTION("""COMPUTED_VALUE"""),193460.0)</f>
        <v>193460</v>
      </c>
      <c r="I66" s="233">
        <f>IFERROR(__xludf.DUMMYFUNCTION("""COMPUTED_VALUE"""),64.0)</f>
        <v>64</v>
      </c>
      <c r="J66" s="233">
        <f>IFERROR(__xludf.DUMMYFUNCTION("""COMPUTED_VALUE"""),53.0)</f>
        <v>53</v>
      </c>
      <c r="K66" s="233">
        <f>IFERROR(__xludf.DUMMYFUNCTION("""COMPUTED_VALUE"""),15693.0)</f>
        <v>15693</v>
      </c>
      <c r="L66" s="233">
        <f>IFERROR(__xludf.DUMMYFUNCTION("""COMPUTED_VALUE"""),1252.0)</f>
        <v>1252</v>
      </c>
      <c r="M66" s="233">
        <f>IFERROR(__xludf.DUMMYFUNCTION("""COMPUTED_VALUE"""),110974.0)</f>
        <v>110974</v>
      </c>
      <c r="N66" s="233">
        <f>IFERROR(__xludf.DUMMYFUNCTION("""COMPUTED_VALUE"""),126667.0)</f>
        <v>126667</v>
      </c>
      <c r="O66" s="233">
        <f>IFERROR(__xludf.DUMMYFUNCTION("""COMPUTED_VALUE"""),10.0)</f>
        <v>10</v>
      </c>
      <c r="P66" s="233">
        <f>IFERROR(__xludf.DUMMYFUNCTION("""COMPUTED_VALUE"""),1877.0)</f>
        <v>1877</v>
      </c>
      <c r="Q66" s="233">
        <f>IFERROR(__xludf.DUMMYFUNCTION("""COMPUTED_VALUE"""),18.0)</f>
        <v>18</v>
      </c>
      <c r="R66" s="233">
        <f>IFERROR(__xludf.DUMMYFUNCTION("""COMPUTED_VALUE"""),1446.0)</f>
        <v>1446</v>
      </c>
      <c r="S66" s="233">
        <f>IFERROR(__xludf.DUMMYFUNCTION("""COMPUTED_VALUE"""),0.0)</f>
        <v>0</v>
      </c>
      <c r="T66" s="233">
        <f>IFERROR(__xludf.DUMMYFUNCTION("""COMPUTED_VALUE"""),282.0)</f>
        <v>282</v>
      </c>
      <c r="U66" s="233">
        <f>IFERROR(__xludf.DUMMYFUNCTION("""COMPUTED_VALUE"""),149.0)</f>
        <v>149</v>
      </c>
      <c r="V66" s="233">
        <f>IFERROR(__xludf.DUMMYFUNCTION("""COMPUTED_VALUE"""),154.0)</f>
        <v>154</v>
      </c>
      <c r="W66" s="233">
        <f>IFERROR(__xludf.DUMMYFUNCTION("""COMPUTED_VALUE"""),28.0)</f>
        <v>28</v>
      </c>
      <c r="X66" s="233">
        <f>IFERROR(__xludf.DUMMYFUNCTION("""COMPUTED_VALUE"""),21.0)</f>
        <v>21</v>
      </c>
      <c r="Y66" s="233">
        <f>IFERROR(__xludf.DUMMYFUNCTION("""COMPUTED_VALUE"""),1.0)</f>
        <v>1</v>
      </c>
      <c r="Z66" s="233">
        <f>IFERROR(__xludf.DUMMYFUNCTION("""COMPUTED_VALUE"""),890.0)</f>
        <v>890</v>
      </c>
    </row>
    <row r="67">
      <c r="A67" s="232">
        <f>IFERROR(__xludf.DUMMYFUNCTION("""COMPUTED_VALUE"""),43992.0)</f>
        <v>43992</v>
      </c>
      <c r="B67" s="233">
        <f>IFERROR(__xludf.DUMMYFUNCTION("""COMPUTED_VALUE"""),209.0)</f>
        <v>209</v>
      </c>
      <c r="C67" s="233">
        <f>IFERROR(__xludf.DUMMYFUNCTION("""COMPUTED_VALUE"""),184.0)</f>
        <v>184</v>
      </c>
      <c r="D67" s="233">
        <f>IFERROR(__xludf.DUMMYFUNCTION("""COMPUTED_VALUE"""),22251.0)</f>
        <v>22251</v>
      </c>
      <c r="E67" s="233">
        <f>IFERROR(__xludf.DUMMYFUNCTION("""COMPUTED_VALUE"""),2987.0)</f>
        <v>2987</v>
      </c>
      <c r="F67" s="171">
        <f>IFERROR(__xludf.DUMMYFUNCTION("""COMPUTED_VALUE"""),174405.0)</f>
        <v>174405</v>
      </c>
      <c r="G67" s="171">
        <f>IFERROR(__xludf.DUMMYFUNCTION("""COMPUTED_VALUE"""),3196.0)</f>
        <v>3196</v>
      </c>
      <c r="H67" s="171">
        <f>IFERROR(__xludf.DUMMYFUNCTION("""COMPUTED_VALUE"""),196656.0)</f>
        <v>196656</v>
      </c>
      <c r="I67" s="233">
        <f>IFERROR(__xludf.DUMMYFUNCTION("""COMPUTED_VALUE"""),101.0)</f>
        <v>101</v>
      </c>
      <c r="J67" s="233">
        <f>IFERROR(__xludf.DUMMYFUNCTION("""COMPUTED_VALUE"""),70.0)</f>
        <v>70</v>
      </c>
      <c r="K67" s="233">
        <f>IFERROR(__xludf.DUMMYFUNCTION("""COMPUTED_VALUE"""),15794.0)</f>
        <v>15794</v>
      </c>
      <c r="L67" s="233">
        <f>IFERROR(__xludf.DUMMYFUNCTION("""COMPUTED_VALUE"""),1463.0)</f>
        <v>1463</v>
      </c>
      <c r="M67" s="233">
        <f>IFERROR(__xludf.DUMMYFUNCTION("""COMPUTED_VALUE"""),112437.0)</f>
        <v>112437</v>
      </c>
      <c r="N67" s="233">
        <f>IFERROR(__xludf.DUMMYFUNCTION("""COMPUTED_VALUE"""),128231.0)</f>
        <v>128231</v>
      </c>
      <c r="O67" s="233">
        <f>IFERROR(__xludf.DUMMYFUNCTION("""COMPUTED_VALUE"""),13.0)</f>
        <v>13</v>
      </c>
      <c r="P67" s="233">
        <f>IFERROR(__xludf.DUMMYFUNCTION("""COMPUTED_VALUE"""),1890.0)</f>
        <v>1890</v>
      </c>
      <c r="Q67" s="233">
        <f>IFERROR(__xludf.DUMMYFUNCTION("""COMPUTED_VALUE"""),12.0)</f>
        <v>12</v>
      </c>
      <c r="R67" s="233">
        <f>IFERROR(__xludf.DUMMYFUNCTION("""COMPUTED_VALUE"""),1458.0)</f>
        <v>1458</v>
      </c>
      <c r="S67" s="233">
        <f>IFERROR(__xludf.DUMMYFUNCTION("""COMPUTED_VALUE"""),2.0)</f>
        <v>2</v>
      </c>
      <c r="T67" s="233">
        <f>IFERROR(__xludf.DUMMYFUNCTION("""COMPUTED_VALUE"""),284.0)</f>
        <v>284</v>
      </c>
      <c r="U67" s="233">
        <f>IFERROR(__xludf.DUMMYFUNCTION("""COMPUTED_VALUE"""),148.0)</f>
        <v>148</v>
      </c>
      <c r="V67" s="233">
        <f>IFERROR(__xludf.DUMMYFUNCTION("""COMPUTED_VALUE"""),151.0)</f>
        <v>151</v>
      </c>
      <c r="W67" s="233">
        <f>IFERROR(__xludf.DUMMYFUNCTION("""COMPUTED_VALUE"""),24.0)</f>
        <v>24</v>
      </c>
      <c r="X67" s="233">
        <f>IFERROR(__xludf.DUMMYFUNCTION("""COMPUTED_VALUE"""),17.0)</f>
        <v>17</v>
      </c>
      <c r="Y67" s="233">
        <f>IFERROR(__xludf.DUMMYFUNCTION("""COMPUTED_VALUE"""),4.0)</f>
        <v>4</v>
      </c>
      <c r="Z67" s="233">
        <f>IFERROR(__xludf.DUMMYFUNCTION("""COMPUTED_VALUE"""),894.0)</f>
        <v>894</v>
      </c>
    </row>
    <row r="68">
      <c r="A68" s="232">
        <f>IFERROR(__xludf.DUMMYFUNCTION("""COMPUTED_VALUE"""),43993.0)</f>
        <v>43993</v>
      </c>
      <c r="B68" s="233">
        <f>IFERROR(__xludf.DUMMYFUNCTION("""COMPUTED_VALUE"""),195.0)</f>
        <v>195</v>
      </c>
      <c r="C68" s="233">
        <f>IFERROR(__xludf.DUMMYFUNCTION("""COMPUTED_VALUE"""),209.0)</f>
        <v>209</v>
      </c>
      <c r="D68" s="233">
        <f>IFERROR(__xludf.DUMMYFUNCTION("""COMPUTED_VALUE"""),22446.0)</f>
        <v>22446</v>
      </c>
      <c r="E68" s="233">
        <f>IFERROR(__xludf.DUMMYFUNCTION("""COMPUTED_VALUE"""),3513.0)</f>
        <v>3513</v>
      </c>
      <c r="F68" s="171">
        <f>IFERROR(__xludf.DUMMYFUNCTION("""COMPUTED_VALUE"""),177918.0)</f>
        <v>177918</v>
      </c>
      <c r="G68" s="171">
        <f>IFERROR(__xludf.DUMMYFUNCTION("""COMPUTED_VALUE"""),3708.0)</f>
        <v>3708</v>
      </c>
      <c r="H68" s="171">
        <f>IFERROR(__xludf.DUMMYFUNCTION("""COMPUTED_VALUE"""),200364.0)</f>
        <v>200364</v>
      </c>
      <c r="I68" s="233">
        <f>IFERROR(__xludf.DUMMYFUNCTION("""COMPUTED_VALUE"""),88.0)</f>
        <v>88</v>
      </c>
      <c r="J68" s="233">
        <f>IFERROR(__xludf.DUMMYFUNCTION("""COMPUTED_VALUE"""),84.0)</f>
        <v>84</v>
      </c>
      <c r="K68" s="233">
        <f>IFERROR(__xludf.DUMMYFUNCTION("""COMPUTED_VALUE"""),15882.0)</f>
        <v>15882</v>
      </c>
      <c r="L68" s="233">
        <f>IFERROR(__xludf.DUMMYFUNCTION("""COMPUTED_VALUE"""),1530.0)</f>
        <v>1530</v>
      </c>
      <c r="M68" s="233">
        <f>IFERROR(__xludf.DUMMYFUNCTION("""COMPUTED_VALUE"""),113967.0)</f>
        <v>113967</v>
      </c>
      <c r="N68" s="233">
        <f>IFERROR(__xludf.DUMMYFUNCTION("""COMPUTED_VALUE"""),129849.0)</f>
        <v>129849</v>
      </c>
      <c r="O68" s="233">
        <f>IFERROR(__xludf.DUMMYFUNCTION("""COMPUTED_VALUE"""),7.0)</f>
        <v>7</v>
      </c>
      <c r="P68" s="233">
        <f>IFERROR(__xludf.DUMMYFUNCTION("""COMPUTED_VALUE"""),1897.0)</f>
        <v>1897</v>
      </c>
      <c r="Q68" s="233">
        <f>IFERROR(__xludf.DUMMYFUNCTION("""COMPUTED_VALUE"""),15.0)</f>
        <v>15</v>
      </c>
      <c r="R68" s="233">
        <f>IFERROR(__xludf.DUMMYFUNCTION("""COMPUTED_VALUE"""),1473.0)</f>
        <v>1473</v>
      </c>
      <c r="S68" s="233">
        <f>IFERROR(__xludf.DUMMYFUNCTION("""COMPUTED_VALUE"""),1.0)</f>
        <v>1</v>
      </c>
      <c r="T68" s="233">
        <f>IFERROR(__xludf.DUMMYFUNCTION("""COMPUTED_VALUE"""),285.0)</f>
        <v>285</v>
      </c>
      <c r="U68" s="233">
        <f>IFERROR(__xludf.DUMMYFUNCTION("""COMPUTED_VALUE"""),139.0)</f>
        <v>139</v>
      </c>
      <c r="V68" s="233">
        <f>IFERROR(__xludf.DUMMYFUNCTION("""COMPUTED_VALUE"""),145.0)</f>
        <v>145</v>
      </c>
      <c r="W68" s="233">
        <f>IFERROR(__xludf.DUMMYFUNCTION("""COMPUTED_VALUE"""),25.0)</f>
        <v>25</v>
      </c>
      <c r="X68" s="233">
        <f>IFERROR(__xludf.DUMMYFUNCTION("""COMPUTED_VALUE"""),16.0)</f>
        <v>16</v>
      </c>
      <c r="Y68" s="233">
        <f>IFERROR(__xludf.DUMMYFUNCTION("""COMPUTED_VALUE"""),6.0)</f>
        <v>6</v>
      </c>
      <c r="Z68" s="233">
        <f>IFERROR(__xludf.DUMMYFUNCTION("""COMPUTED_VALUE"""),900.0)</f>
        <v>900</v>
      </c>
    </row>
    <row r="69">
      <c r="A69" s="232">
        <f>IFERROR(__xludf.DUMMYFUNCTION("""COMPUTED_VALUE"""),43994.0)</f>
        <v>43994</v>
      </c>
      <c r="B69" s="233">
        <f>IFERROR(__xludf.DUMMYFUNCTION("""COMPUTED_VALUE"""),209.0)</f>
        <v>209</v>
      </c>
      <c r="C69" s="233">
        <f>IFERROR(__xludf.DUMMYFUNCTION("""COMPUTED_VALUE"""),204.0)</f>
        <v>204</v>
      </c>
      <c r="D69" s="233">
        <f>IFERROR(__xludf.DUMMYFUNCTION("""COMPUTED_VALUE"""),22655.0)</f>
        <v>22655</v>
      </c>
      <c r="E69" s="233">
        <f>IFERROR(__xludf.DUMMYFUNCTION("""COMPUTED_VALUE"""),4601.0)</f>
        <v>4601</v>
      </c>
      <c r="F69" s="171">
        <f>IFERROR(__xludf.DUMMYFUNCTION("""COMPUTED_VALUE"""),182519.0)</f>
        <v>182519</v>
      </c>
      <c r="G69" s="171">
        <f>IFERROR(__xludf.DUMMYFUNCTION("""COMPUTED_VALUE"""),4810.0)</f>
        <v>4810</v>
      </c>
      <c r="H69" s="171">
        <f>IFERROR(__xludf.DUMMYFUNCTION("""COMPUTED_VALUE"""),205174.0)</f>
        <v>205174</v>
      </c>
      <c r="I69" s="233">
        <f>IFERROR(__xludf.DUMMYFUNCTION("""COMPUTED_VALUE"""),78.0)</f>
        <v>78</v>
      </c>
      <c r="J69" s="233">
        <f>IFERROR(__xludf.DUMMYFUNCTION("""COMPUTED_VALUE"""),89.0)</f>
        <v>89</v>
      </c>
      <c r="K69" s="233">
        <f>IFERROR(__xludf.DUMMYFUNCTION("""COMPUTED_VALUE"""),15960.0)</f>
        <v>15960</v>
      </c>
      <c r="L69" s="233">
        <f>IFERROR(__xludf.DUMMYFUNCTION("""COMPUTED_VALUE"""),2170.0)</f>
        <v>2170</v>
      </c>
      <c r="M69" s="233">
        <f>IFERROR(__xludf.DUMMYFUNCTION("""COMPUTED_VALUE"""),116137.0)</f>
        <v>116137</v>
      </c>
      <c r="N69" s="233">
        <f>IFERROR(__xludf.DUMMYFUNCTION("""COMPUTED_VALUE"""),132097.0)</f>
        <v>132097</v>
      </c>
      <c r="O69" s="233">
        <f>IFERROR(__xludf.DUMMYFUNCTION("""COMPUTED_VALUE"""),9.0)</f>
        <v>9</v>
      </c>
      <c r="P69" s="233">
        <f>IFERROR(__xludf.DUMMYFUNCTION("""COMPUTED_VALUE"""),1906.0)</f>
        <v>1906</v>
      </c>
      <c r="Q69" s="233">
        <f>IFERROR(__xludf.DUMMYFUNCTION("""COMPUTED_VALUE"""),15.0)</f>
        <v>15</v>
      </c>
      <c r="R69" s="233">
        <f>IFERROR(__xludf.DUMMYFUNCTION("""COMPUTED_VALUE"""),1488.0)</f>
        <v>1488</v>
      </c>
      <c r="S69" s="233">
        <f>IFERROR(__xludf.DUMMYFUNCTION("""COMPUTED_VALUE"""),1.0)</f>
        <v>1</v>
      </c>
      <c r="T69" s="233">
        <f>IFERROR(__xludf.DUMMYFUNCTION("""COMPUTED_VALUE"""),286.0)</f>
        <v>286</v>
      </c>
      <c r="U69" s="233">
        <f>IFERROR(__xludf.DUMMYFUNCTION("""COMPUTED_VALUE"""),132.0)</f>
        <v>132</v>
      </c>
      <c r="V69" s="233">
        <f>IFERROR(__xludf.DUMMYFUNCTION("""COMPUTED_VALUE"""),140.0)</f>
        <v>140</v>
      </c>
      <c r="W69" s="233">
        <f>IFERROR(__xludf.DUMMYFUNCTION("""COMPUTED_VALUE"""),24.0)</f>
        <v>24</v>
      </c>
      <c r="X69" s="233">
        <f>IFERROR(__xludf.DUMMYFUNCTION("""COMPUTED_VALUE"""),16.0)</f>
        <v>16</v>
      </c>
      <c r="Y69" s="233">
        <f>IFERROR(__xludf.DUMMYFUNCTION("""COMPUTED_VALUE"""),2.0)</f>
        <v>2</v>
      </c>
      <c r="Z69" s="233">
        <f>IFERROR(__xludf.DUMMYFUNCTION("""COMPUTED_VALUE"""),902.0)</f>
        <v>902</v>
      </c>
    </row>
    <row r="70">
      <c r="A70" s="232">
        <f>IFERROR(__xludf.DUMMYFUNCTION("""COMPUTED_VALUE"""),43995.0)</f>
        <v>43995</v>
      </c>
      <c r="B70" s="233">
        <f>IFERROR(__xludf.DUMMYFUNCTION("""COMPUTED_VALUE"""),113.0)</f>
        <v>113</v>
      </c>
      <c r="C70" s="233">
        <f>IFERROR(__xludf.DUMMYFUNCTION("""COMPUTED_VALUE"""),172.0)</f>
        <v>172</v>
      </c>
      <c r="D70" s="233">
        <f>IFERROR(__xludf.DUMMYFUNCTION("""COMPUTED_VALUE"""),22768.0)</f>
        <v>22768</v>
      </c>
      <c r="E70" s="233">
        <f>IFERROR(__xludf.DUMMYFUNCTION("""COMPUTED_VALUE"""),3036.0)</f>
        <v>3036</v>
      </c>
      <c r="F70" s="171">
        <f>IFERROR(__xludf.DUMMYFUNCTION("""COMPUTED_VALUE"""),185555.0)</f>
        <v>185555</v>
      </c>
      <c r="G70" s="171">
        <f>IFERROR(__xludf.DUMMYFUNCTION("""COMPUTED_VALUE"""),3149.0)</f>
        <v>3149</v>
      </c>
      <c r="H70" s="171">
        <f>IFERROR(__xludf.DUMMYFUNCTION("""COMPUTED_VALUE"""),208323.0)</f>
        <v>208323</v>
      </c>
      <c r="I70" s="233">
        <f>IFERROR(__xludf.DUMMYFUNCTION("""COMPUTED_VALUE"""),49.0)</f>
        <v>49</v>
      </c>
      <c r="J70" s="233">
        <f>IFERROR(__xludf.DUMMYFUNCTION("""COMPUTED_VALUE"""),72.0)</f>
        <v>72</v>
      </c>
      <c r="K70" s="233">
        <f>IFERROR(__xludf.DUMMYFUNCTION("""COMPUTED_VALUE"""),16009.0)</f>
        <v>16009</v>
      </c>
      <c r="L70" s="233">
        <f>IFERROR(__xludf.DUMMYFUNCTION("""COMPUTED_VALUE"""),1365.0)</f>
        <v>1365</v>
      </c>
      <c r="M70" s="233">
        <f>IFERROR(__xludf.DUMMYFUNCTION("""COMPUTED_VALUE"""),117502.0)</f>
        <v>117502</v>
      </c>
      <c r="N70" s="233">
        <f>IFERROR(__xludf.DUMMYFUNCTION("""COMPUTED_VALUE"""),133511.0)</f>
        <v>133511</v>
      </c>
      <c r="O70" s="233">
        <f>IFERROR(__xludf.DUMMYFUNCTION("""COMPUTED_VALUE"""),6.0)</f>
        <v>6</v>
      </c>
      <c r="P70" s="233">
        <f>IFERROR(__xludf.DUMMYFUNCTION("""COMPUTED_VALUE"""),1912.0)</f>
        <v>1912</v>
      </c>
      <c r="Q70" s="233">
        <f>IFERROR(__xludf.DUMMYFUNCTION("""COMPUTED_VALUE"""),5.0)</f>
        <v>5</v>
      </c>
      <c r="R70" s="233">
        <f>IFERROR(__xludf.DUMMYFUNCTION("""COMPUTED_VALUE"""),1493.0)</f>
        <v>1493</v>
      </c>
      <c r="S70" s="233">
        <f>IFERROR(__xludf.DUMMYFUNCTION("""COMPUTED_VALUE"""),0.0)</f>
        <v>0</v>
      </c>
      <c r="T70" s="233">
        <f>IFERROR(__xludf.DUMMYFUNCTION("""COMPUTED_VALUE"""),286.0)</f>
        <v>286</v>
      </c>
      <c r="U70" s="233">
        <f>IFERROR(__xludf.DUMMYFUNCTION("""COMPUTED_VALUE"""),133.0)</f>
        <v>133</v>
      </c>
      <c r="V70" s="233">
        <f>IFERROR(__xludf.DUMMYFUNCTION("""COMPUTED_VALUE"""),135.0)</f>
        <v>135</v>
      </c>
      <c r="W70" s="233">
        <f>IFERROR(__xludf.DUMMYFUNCTION("""COMPUTED_VALUE"""),20.0)</f>
        <v>20</v>
      </c>
      <c r="X70" s="233">
        <f>IFERROR(__xludf.DUMMYFUNCTION("""COMPUTED_VALUE"""),15.0)</f>
        <v>15</v>
      </c>
      <c r="Y70" s="233">
        <f>IFERROR(__xludf.DUMMYFUNCTION("""COMPUTED_VALUE"""),3.0)</f>
        <v>3</v>
      </c>
      <c r="Z70" s="233">
        <f>IFERROR(__xludf.DUMMYFUNCTION("""COMPUTED_VALUE"""),905.0)</f>
        <v>905</v>
      </c>
    </row>
    <row r="71">
      <c r="A71" s="232">
        <f>IFERROR(__xludf.DUMMYFUNCTION("""COMPUTED_VALUE"""),43996.0)</f>
        <v>43996</v>
      </c>
      <c r="B71" s="233">
        <f>IFERROR(__xludf.DUMMYFUNCTION("""COMPUTED_VALUE"""),81.0)</f>
        <v>81</v>
      </c>
      <c r="C71" s="233">
        <f>IFERROR(__xludf.DUMMYFUNCTION("""COMPUTED_VALUE"""),134.0)</f>
        <v>134</v>
      </c>
      <c r="D71" s="233">
        <f>IFERROR(__xludf.DUMMYFUNCTION("""COMPUTED_VALUE"""),22849.0)</f>
        <v>22849</v>
      </c>
      <c r="E71" s="233">
        <f>IFERROR(__xludf.DUMMYFUNCTION("""COMPUTED_VALUE"""),2046.0)</f>
        <v>2046</v>
      </c>
      <c r="F71" s="171">
        <f>IFERROR(__xludf.DUMMYFUNCTION("""COMPUTED_VALUE"""),187601.0)</f>
        <v>187601</v>
      </c>
      <c r="G71" s="171">
        <f>IFERROR(__xludf.DUMMYFUNCTION("""COMPUTED_VALUE"""),2127.0)</f>
        <v>2127</v>
      </c>
      <c r="H71" s="171">
        <f>IFERROR(__xludf.DUMMYFUNCTION("""COMPUTED_VALUE"""),210450.0)</f>
        <v>210450</v>
      </c>
      <c r="I71" s="233">
        <f>IFERROR(__xludf.DUMMYFUNCTION("""COMPUTED_VALUE"""),33.0)</f>
        <v>33</v>
      </c>
      <c r="J71" s="233">
        <f>IFERROR(__xludf.DUMMYFUNCTION("""COMPUTED_VALUE"""),53.0)</f>
        <v>53</v>
      </c>
      <c r="K71" s="233">
        <f>IFERROR(__xludf.DUMMYFUNCTION("""COMPUTED_VALUE"""),16042.0)</f>
        <v>16042</v>
      </c>
      <c r="L71" s="233">
        <f>IFERROR(__xludf.DUMMYFUNCTION("""COMPUTED_VALUE"""),964.0)</f>
        <v>964</v>
      </c>
      <c r="M71" s="233">
        <f>IFERROR(__xludf.DUMMYFUNCTION("""COMPUTED_VALUE"""),118466.0)</f>
        <v>118466</v>
      </c>
      <c r="N71" s="233">
        <f>IFERROR(__xludf.DUMMYFUNCTION("""COMPUTED_VALUE"""),134508.0)</f>
        <v>134508</v>
      </c>
      <c r="O71" s="233">
        <f>IFERROR(__xludf.DUMMYFUNCTION("""COMPUTED_VALUE"""),7.0)</f>
        <v>7</v>
      </c>
      <c r="P71" s="233">
        <f>IFERROR(__xludf.DUMMYFUNCTION("""COMPUTED_VALUE"""),1919.0)</f>
        <v>1919</v>
      </c>
      <c r="Q71" s="233">
        <f>IFERROR(__xludf.DUMMYFUNCTION("""COMPUTED_VALUE"""),8.0)</f>
        <v>8</v>
      </c>
      <c r="R71" s="233">
        <f>IFERROR(__xludf.DUMMYFUNCTION("""COMPUTED_VALUE"""),1501.0)</f>
        <v>1501</v>
      </c>
      <c r="S71" s="233">
        <f>IFERROR(__xludf.DUMMYFUNCTION("""COMPUTED_VALUE"""),1.0)</f>
        <v>1</v>
      </c>
      <c r="T71" s="233">
        <f>IFERROR(__xludf.DUMMYFUNCTION("""COMPUTED_VALUE"""),287.0)</f>
        <v>287</v>
      </c>
      <c r="U71" s="233">
        <f>IFERROR(__xludf.DUMMYFUNCTION("""COMPUTED_VALUE"""),131.0)</f>
        <v>131</v>
      </c>
      <c r="V71" s="233">
        <f>IFERROR(__xludf.DUMMYFUNCTION("""COMPUTED_VALUE"""),132.0)</f>
        <v>132</v>
      </c>
      <c r="W71" s="233">
        <f>IFERROR(__xludf.DUMMYFUNCTION("""COMPUTED_VALUE"""),20.0)</f>
        <v>20</v>
      </c>
      <c r="X71" s="233">
        <f>IFERROR(__xludf.DUMMYFUNCTION("""COMPUTED_VALUE"""),14.0)</f>
        <v>14</v>
      </c>
      <c r="Y71" s="233">
        <f>IFERROR(__xludf.DUMMYFUNCTION("""COMPUTED_VALUE"""),3.0)</f>
        <v>3</v>
      </c>
      <c r="Z71" s="233">
        <f>IFERROR(__xludf.DUMMYFUNCTION("""COMPUTED_VALUE"""),908.0)</f>
        <v>908</v>
      </c>
    </row>
    <row r="72">
      <c r="A72" s="232">
        <f>IFERROR(__xludf.DUMMYFUNCTION("""COMPUTED_VALUE"""),43997.0)</f>
        <v>43997</v>
      </c>
      <c r="B72" s="233">
        <f>IFERROR(__xludf.DUMMYFUNCTION("""COMPUTED_VALUE"""),188.0)</f>
        <v>188</v>
      </c>
      <c r="C72" s="233">
        <f>IFERROR(__xludf.DUMMYFUNCTION("""COMPUTED_VALUE"""),127.0)</f>
        <v>127</v>
      </c>
      <c r="D72" s="233">
        <f>IFERROR(__xludf.DUMMYFUNCTION("""COMPUTED_VALUE"""),23037.0)</f>
        <v>23037</v>
      </c>
      <c r="E72" s="233">
        <f>IFERROR(__xludf.DUMMYFUNCTION("""COMPUTED_VALUE"""),3108.0)</f>
        <v>3108</v>
      </c>
      <c r="F72" s="171">
        <f>IFERROR(__xludf.DUMMYFUNCTION("""COMPUTED_VALUE"""),190709.0)</f>
        <v>190709</v>
      </c>
      <c r="G72" s="171">
        <f>IFERROR(__xludf.DUMMYFUNCTION("""COMPUTED_VALUE"""),3296.0)</f>
        <v>3296</v>
      </c>
      <c r="H72" s="171">
        <f>IFERROR(__xludf.DUMMYFUNCTION("""COMPUTED_VALUE"""),213746.0)</f>
        <v>213746</v>
      </c>
      <c r="I72" s="233">
        <f>IFERROR(__xludf.DUMMYFUNCTION("""COMPUTED_VALUE"""),75.0)</f>
        <v>75</v>
      </c>
      <c r="J72" s="233">
        <f>IFERROR(__xludf.DUMMYFUNCTION("""COMPUTED_VALUE"""),52.0)</f>
        <v>52</v>
      </c>
      <c r="K72" s="233">
        <f>IFERROR(__xludf.DUMMYFUNCTION("""COMPUTED_VALUE"""),16117.0)</f>
        <v>16117</v>
      </c>
      <c r="L72" s="233">
        <f>IFERROR(__xludf.DUMMYFUNCTION("""COMPUTED_VALUE"""),1787.0)</f>
        <v>1787</v>
      </c>
      <c r="M72" s="233">
        <f>IFERROR(__xludf.DUMMYFUNCTION("""COMPUTED_VALUE"""),120253.0)</f>
        <v>120253</v>
      </c>
      <c r="N72" s="233">
        <f>IFERROR(__xludf.DUMMYFUNCTION("""COMPUTED_VALUE"""),136370.0)</f>
        <v>136370</v>
      </c>
      <c r="O72" s="233">
        <f>IFERROR(__xludf.DUMMYFUNCTION("""COMPUTED_VALUE"""),14.0)</f>
        <v>14</v>
      </c>
      <c r="P72" s="233">
        <f>IFERROR(__xludf.DUMMYFUNCTION("""COMPUTED_VALUE"""),1933.0)</f>
        <v>1933</v>
      </c>
      <c r="Q72" s="233">
        <f>IFERROR(__xludf.DUMMYFUNCTION("""COMPUTED_VALUE"""),14.0)</f>
        <v>14</v>
      </c>
      <c r="R72" s="233">
        <f>IFERROR(__xludf.DUMMYFUNCTION("""COMPUTED_VALUE"""),1515.0)</f>
        <v>1515</v>
      </c>
      <c r="S72" s="233">
        <f>IFERROR(__xludf.DUMMYFUNCTION("""COMPUTED_VALUE"""),0.0)</f>
        <v>0</v>
      </c>
      <c r="T72" s="233">
        <f>IFERROR(__xludf.DUMMYFUNCTION("""COMPUTED_VALUE"""),287.0)</f>
        <v>287</v>
      </c>
      <c r="U72" s="233">
        <f>IFERROR(__xludf.DUMMYFUNCTION("""COMPUTED_VALUE"""),131.0)</f>
        <v>131</v>
      </c>
      <c r="V72" s="233">
        <f>IFERROR(__xludf.DUMMYFUNCTION("""COMPUTED_VALUE"""),132.0)</f>
        <v>132</v>
      </c>
      <c r="W72" s="233">
        <f>IFERROR(__xludf.DUMMYFUNCTION("""COMPUTED_VALUE"""),20.0)</f>
        <v>20</v>
      </c>
      <c r="X72" s="233">
        <f>IFERROR(__xludf.DUMMYFUNCTION("""COMPUTED_VALUE"""),16.0)</f>
        <v>16</v>
      </c>
      <c r="Y72" s="233">
        <f>IFERROR(__xludf.DUMMYFUNCTION("""COMPUTED_VALUE"""),5.0)</f>
        <v>5</v>
      </c>
      <c r="Z72" s="233">
        <f>IFERROR(__xludf.DUMMYFUNCTION("""COMPUTED_VALUE"""),913.0)</f>
        <v>913</v>
      </c>
    </row>
    <row r="73">
      <c r="A73" s="232">
        <f>IFERROR(__xludf.DUMMYFUNCTION("""COMPUTED_VALUE"""),43998.0)</f>
        <v>43998</v>
      </c>
      <c r="B73" s="233">
        <f>IFERROR(__xludf.DUMMYFUNCTION("""COMPUTED_VALUE"""),110.0)</f>
        <v>110</v>
      </c>
      <c r="C73" s="233">
        <f>IFERROR(__xludf.DUMMYFUNCTION("""COMPUTED_VALUE"""),126.0)</f>
        <v>126</v>
      </c>
      <c r="D73" s="233">
        <f>IFERROR(__xludf.DUMMYFUNCTION("""COMPUTED_VALUE"""),23147.0)</f>
        <v>23147</v>
      </c>
      <c r="E73" s="233">
        <f>IFERROR(__xludf.DUMMYFUNCTION("""COMPUTED_VALUE"""),3017.0)</f>
        <v>3017</v>
      </c>
      <c r="F73" s="171">
        <f>IFERROR(__xludf.DUMMYFUNCTION("""COMPUTED_VALUE"""),193726.0)</f>
        <v>193726</v>
      </c>
      <c r="G73" s="171">
        <f>IFERROR(__xludf.DUMMYFUNCTION("""COMPUTED_VALUE"""),3127.0)</f>
        <v>3127</v>
      </c>
      <c r="H73" s="171">
        <f>IFERROR(__xludf.DUMMYFUNCTION("""COMPUTED_VALUE"""),216873.0)</f>
        <v>216873</v>
      </c>
      <c r="I73" s="233">
        <f>IFERROR(__xludf.DUMMYFUNCTION("""COMPUTED_VALUE"""),50.0)</f>
        <v>50</v>
      </c>
      <c r="J73" s="233">
        <f>IFERROR(__xludf.DUMMYFUNCTION("""COMPUTED_VALUE"""),53.0)</f>
        <v>53</v>
      </c>
      <c r="K73" s="233">
        <f>IFERROR(__xludf.DUMMYFUNCTION("""COMPUTED_VALUE"""),16167.0)</f>
        <v>16167</v>
      </c>
      <c r="L73" s="233">
        <f>IFERROR(__xludf.DUMMYFUNCTION("""COMPUTED_VALUE"""),1558.0)</f>
        <v>1558</v>
      </c>
      <c r="M73" s="233">
        <f>IFERROR(__xludf.DUMMYFUNCTION("""COMPUTED_VALUE"""),121811.0)</f>
        <v>121811</v>
      </c>
      <c r="N73" s="233">
        <f>IFERROR(__xludf.DUMMYFUNCTION("""COMPUTED_VALUE"""),137978.0)</f>
        <v>137978</v>
      </c>
      <c r="O73" s="233">
        <f>IFERROR(__xludf.DUMMYFUNCTION("""COMPUTED_VALUE"""),11.0)</f>
        <v>11</v>
      </c>
      <c r="P73" s="233">
        <f>IFERROR(__xludf.DUMMYFUNCTION("""COMPUTED_VALUE"""),1944.0)</f>
        <v>1944</v>
      </c>
      <c r="Q73" s="233">
        <f>IFERROR(__xludf.DUMMYFUNCTION("""COMPUTED_VALUE"""),9.0)</f>
        <v>9</v>
      </c>
      <c r="R73" s="233">
        <f>IFERROR(__xludf.DUMMYFUNCTION("""COMPUTED_VALUE"""),1524.0)</f>
        <v>1524</v>
      </c>
      <c r="S73" s="233">
        <f>IFERROR(__xludf.DUMMYFUNCTION("""COMPUTED_VALUE"""),1.0)</f>
        <v>1</v>
      </c>
      <c r="T73" s="233">
        <f>IFERROR(__xludf.DUMMYFUNCTION("""COMPUTED_VALUE"""),288.0)</f>
        <v>288</v>
      </c>
      <c r="U73" s="233">
        <f>IFERROR(__xludf.DUMMYFUNCTION("""COMPUTED_VALUE"""),132.0)</f>
        <v>132</v>
      </c>
      <c r="V73" s="233">
        <f>IFERROR(__xludf.DUMMYFUNCTION("""COMPUTED_VALUE"""),131.0)</f>
        <v>131</v>
      </c>
      <c r="W73" s="233">
        <f>IFERROR(__xludf.DUMMYFUNCTION("""COMPUTED_VALUE"""),22.0)</f>
        <v>22</v>
      </c>
      <c r="X73" s="233">
        <f>IFERROR(__xludf.DUMMYFUNCTION("""COMPUTED_VALUE"""),16.0)</f>
        <v>16</v>
      </c>
      <c r="Y73" s="233">
        <f>IFERROR(__xludf.DUMMYFUNCTION("""COMPUTED_VALUE"""),8.0)</f>
        <v>8</v>
      </c>
      <c r="Z73" s="233">
        <f>IFERROR(__xludf.DUMMYFUNCTION("""COMPUTED_VALUE"""),921.0)</f>
        <v>921</v>
      </c>
    </row>
    <row r="74">
      <c r="A74" s="232">
        <f>IFERROR(__xludf.DUMMYFUNCTION("""COMPUTED_VALUE"""),43999.0)</f>
        <v>43999</v>
      </c>
      <c r="B74" s="233">
        <f>IFERROR(__xludf.DUMMYFUNCTION("""COMPUTED_VALUE"""),127.0)</f>
        <v>127</v>
      </c>
      <c r="C74" s="233">
        <f>IFERROR(__xludf.DUMMYFUNCTION("""COMPUTED_VALUE"""),142.0)</f>
        <v>142</v>
      </c>
      <c r="D74" s="233">
        <f>IFERROR(__xludf.DUMMYFUNCTION("""COMPUTED_VALUE"""),23274.0)</f>
        <v>23274</v>
      </c>
      <c r="E74" s="233">
        <f>IFERROR(__xludf.DUMMYFUNCTION("""COMPUTED_VALUE"""),2835.0)</f>
        <v>2835</v>
      </c>
      <c r="F74" s="171">
        <f>IFERROR(__xludf.DUMMYFUNCTION("""COMPUTED_VALUE"""),196561.0)</f>
        <v>196561</v>
      </c>
      <c r="G74" s="171">
        <f>IFERROR(__xludf.DUMMYFUNCTION("""COMPUTED_VALUE"""),2962.0)</f>
        <v>2962</v>
      </c>
      <c r="H74" s="171">
        <f>IFERROR(__xludf.DUMMYFUNCTION("""COMPUTED_VALUE"""),219835.0)</f>
        <v>219835</v>
      </c>
      <c r="I74" s="233">
        <f>IFERROR(__xludf.DUMMYFUNCTION("""COMPUTED_VALUE"""),50.0)</f>
        <v>50</v>
      </c>
      <c r="J74" s="233">
        <f>IFERROR(__xludf.DUMMYFUNCTION("""COMPUTED_VALUE"""),58.0)</f>
        <v>58</v>
      </c>
      <c r="K74" s="233">
        <f>IFERROR(__xludf.DUMMYFUNCTION("""COMPUTED_VALUE"""),16217.0)</f>
        <v>16217</v>
      </c>
      <c r="L74" s="233">
        <f>IFERROR(__xludf.DUMMYFUNCTION("""COMPUTED_VALUE"""),1316.0)</f>
        <v>1316</v>
      </c>
      <c r="M74" s="233">
        <f>IFERROR(__xludf.DUMMYFUNCTION("""COMPUTED_VALUE"""),123127.0)</f>
        <v>123127</v>
      </c>
      <c r="N74" s="233">
        <f>IFERROR(__xludf.DUMMYFUNCTION("""COMPUTED_VALUE"""),139344.0)</f>
        <v>139344</v>
      </c>
      <c r="O74" s="233">
        <f>IFERROR(__xludf.DUMMYFUNCTION("""COMPUTED_VALUE"""),15.0)</f>
        <v>15</v>
      </c>
      <c r="P74" s="233">
        <f>IFERROR(__xludf.DUMMYFUNCTION("""COMPUTED_VALUE"""),1959.0)</f>
        <v>1959</v>
      </c>
      <c r="Q74" s="233">
        <f>IFERROR(__xludf.DUMMYFUNCTION("""COMPUTED_VALUE"""),20.0)</f>
        <v>20</v>
      </c>
      <c r="R74" s="233">
        <f>IFERROR(__xludf.DUMMYFUNCTION("""COMPUTED_VALUE"""),1544.0)</f>
        <v>1544</v>
      </c>
      <c r="S74" s="233">
        <f>IFERROR(__xludf.DUMMYFUNCTION("""COMPUTED_VALUE"""),4.0)</f>
        <v>4</v>
      </c>
      <c r="T74" s="233">
        <f>IFERROR(__xludf.DUMMYFUNCTION("""COMPUTED_VALUE"""),292.0)</f>
        <v>292</v>
      </c>
      <c r="U74" s="233">
        <f>IFERROR(__xludf.DUMMYFUNCTION("""COMPUTED_VALUE"""),123.0)</f>
        <v>123</v>
      </c>
      <c r="V74" s="233">
        <f>IFERROR(__xludf.DUMMYFUNCTION("""COMPUTED_VALUE"""),129.0)</f>
        <v>129</v>
      </c>
      <c r="W74" s="233">
        <f>IFERROR(__xludf.DUMMYFUNCTION("""COMPUTED_VALUE"""),18.0)</f>
        <v>18</v>
      </c>
      <c r="X74" s="233">
        <f>IFERROR(__xludf.DUMMYFUNCTION("""COMPUTED_VALUE"""),14.0)</f>
        <v>14</v>
      </c>
      <c r="Y74" s="233">
        <f>IFERROR(__xludf.DUMMYFUNCTION("""COMPUTED_VALUE"""),6.0)</f>
        <v>6</v>
      </c>
      <c r="Z74" s="233">
        <f>IFERROR(__xludf.DUMMYFUNCTION("""COMPUTED_VALUE"""),927.0)</f>
        <v>927</v>
      </c>
    </row>
    <row r="75">
      <c r="A75" s="232">
        <f>IFERROR(__xludf.DUMMYFUNCTION("""COMPUTED_VALUE"""),44000.0)</f>
        <v>44000</v>
      </c>
      <c r="B75" s="233">
        <f>IFERROR(__xludf.DUMMYFUNCTION("""COMPUTED_VALUE"""),149.0)</f>
        <v>149</v>
      </c>
      <c r="C75" s="233">
        <f>IFERROR(__xludf.DUMMYFUNCTION("""COMPUTED_VALUE"""),129.0)</f>
        <v>129</v>
      </c>
      <c r="D75" s="233">
        <f>IFERROR(__xludf.DUMMYFUNCTION("""COMPUTED_VALUE"""),23423.0)</f>
        <v>23423</v>
      </c>
      <c r="E75" s="233">
        <f>IFERROR(__xludf.DUMMYFUNCTION("""COMPUTED_VALUE"""),3048.0)</f>
        <v>3048</v>
      </c>
      <c r="F75" s="171">
        <f>IFERROR(__xludf.DUMMYFUNCTION("""COMPUTED_VALUE"""),199609.0)</f>
        <v>199609</v>
      </c>
      <c r="G75" s="171">
        <f>IFERROR(__xludf.DUMMYFUNCTION("""COMPUTED_VALUE"""),3197.0)</f>
        <v>3197</v>
      </c>
      <c r="H75" s="171">
        <f>IFERROR(__xludf.DUMMYFUNCTION("""COMPUTED_VALUE"""),223032.0)</f>
        <v>223032</v>
      </c>
      <c r="I75" s="233">
        <f>IFERROR(__xludf.DUMMYFUNCTION("""COMPUTED_VALUE"""),70.0)</f>
        <v>70</v>
      </c>
      <c r="J75" s="233">
        <f>IFERROR(__xludf.DUMMYFUNCTION("""COMPUTED_VALUE"""),57.0)</f>
        <v>57</v>
      </c>
      <c r="K75" s="233">
        <f>IFERROR(__xludf.DUMMYFUNCTION("""COMPUTED_VALUE"""),16287.0)</f>
        <v>16287</v>
      </c>
      <c r="L75" s="233">
        <f>IFERROR(__xludf.DUMMYFUNCTION("""COMPUTED_VALUE"""),1310.0)</f>
        <v>1310</v>
      </c>
      <c r="M75" s="233">
        <f>IFERROR(__xludf.DUMMYFUNCTION("""COMPUTED_VALUE"""),124437.0)</f>
        <v>124437</v>
      </c>
      <c r="N75" s="233">
        <f>IFERROR(__xludf.DUMMYFUNCTION("""COMPUTED_VALUE"""),140724.0)</f>
        <v>140724</v>
      </c>
      <c r="O75" s="233">
        <f>IFERROR(__xludf.DUMMYFUNCTION("""COMPUTED_VALUE"""),9.0)</f>
        <v>9</v>
      </c>
      <c r="P75" s="233">
        <f>IFERROR(__xludf.DUMMYFUNCTION("""COMPUTED_VALUE"""),1968.0)</f>
        <v>1968</v>
      </c>
      <c r="Q75" s="233">
        <f>IFERROR(__xludf.DUMMYFUNCTION("""COMPUTED_VALUE"""),13.0)</f>
        <v>13</v>
      </c>
      <c r="R75" s="233">
        <f>IFERROR(__xludf.DUMMYFUNCTION("""COMPUTED_VALUE"""),1557.0)</f>
        <v>1557</v>
      </c>
      <c r="S75" s="233">
        <f>IFERROR(__xludf.DUMMYFUNCTION("""COMPUTED_VALUE"""),1.0)</f>
        <v>1</v>
      </c>
      <c r="T75" s="233">
        <f>IFERROR(__xludf.DUMMYFUNCTION("""COMPUTED_VALUE"""),293.0)</f>
        <v>293</v>
      </c>
      <c r="U75" s="233">
        <f>IFERROR(__xludf.DUMMYFUNCTION("""COMPUTED_VALUE"""),118.0)</f>
        <v>118</v>
      </c>
      <c r="V75" s="233">
        <f>IFERROR(__xludf.DUMMYFUNCTION("""COMPUTED_VALUE"""),124.0)</f>
        <v>124</v>
      </c>
      <c r="W75" s="233">
        <f>IFERROR(__xludf.DUMMYFUNCTION("""COMPUTED_VALUE"""),19.0)</f>
        <v>19</v>
      </c>
      <c r="X75" s="233">
        <f>IFERROR(__xludf.DUMMYFUNCTION("""COMPUTED_VALUE"""),16.0)</f>
        <v>16</v>
      </c>
      <c r="Y75" s="233">
        <f>IFERROR(__xludf.DUMMYFUNCTION("""COMPUTED_VALUE"""),7.0)</f>
        <v>7</v>
      </c>
      <c r="Z75" s="233">
        <f>IFERROR(__xludf.DUMMYFUNCTION("""COMPUTED_VALUE"""),934.0)</f>
        <v>934</v>
      </c>
    </row>
    <row r="76">
      <c r="A76" s="232">
        <f>IFERROR(__xludf.DUMMYFUNCTION("""COMPUTED_VALUE"""),44001.0)</f>
        <v>44001</v>
      </c>
      <c r="B76" s="233">
        <f>IFERROR(__xludf.DUMMYFUNCTION("""COMPUTED_VALUE"""),141.0)</f>
        <v>141</v>
      </c>
      <c r="C76" s="233">
        <f>IFERROR(__xludf.DUMMYFUNCTION("""COMPUTED_VALUE"""),139.0)</f>
        <v>139</v>
      </c>
      <c r="D76" s="233">
        <f>IFERROR(__xludf.DUMMYFUNCTION("""COMPUTED_VALUE"""),23564.0)</f>
        <v>23564</v>
      </c>
      <c r="E76" s="233">
        <f>IFERROR(__xludf.DUMMYFUNCTION("""COMPUTED_VALUE"""),3769.0)</f>
        <v>3769</v>
      </c>
      <c r="F76" s="171">
        <f>IFERROR(__xludf.DUMMYFUNCTION("""COMPUTED_VALUE"""),203378.0)</f>
        <v>203378</v>
      </c>
      <c r="G76" s="171">
        <f>IFERROR(__xludf.DUMMYFUNCTION("""COMPUTED_VALUE"""),3910.0)</f>
        <v>3910</v>
      </c>
      <c r="H76" s="171">
        <f>IFERROR(__xludf.DUMMYFUNCTION("""COMPUTED_VALUE"""),226942.0)</f>
        <v>226942</v>
      </c>
      <c r="I76" s="233">
        <f>IFERROR(__xludf.DUMMYFUNCTION("""COMPUTED_VALUE"""),59.0)</f>
        <v>59</v>
      </c>
      <c r="J76" s="233">
        <f>IFERROR(__xludf.DUMMYFUNCTION("""COMPUTED_VALUE"""),60.0)</f>
        <v>60</v>
      </c>
      <c r="K76" s="233">
        <f>IFERROR(__xludf.DUMMYFUNCTION("""COMPUTED_VALUE"""),16346.0)</f>
        <v>16346</v>
      </c>
      <c r="L76" s="233">
        <f>IFERROR(__xludf.DUMMYFUNCTION("""COMPUTED_VALUE"""),1363.0)</f>
        <v>1363</v>
      </c>
      <c r="M76" s="233">
        <f>IFERROR(__xludf.DUMMYFUNCTION("""COMPUTED_VALUE"""),125800.0)</f>
        <v>125800</v>
      </c>
      <c r="N76" s="233">
        <f>IFERROR(__xludf.DUMMYFUNCTION("""COMPUTED_VALUE"""),142146.0)</f>
        <v>142146</v>
      </c>
      <c r="O76" s="233">
        <f>IFERROR(__xludf.DUMMYFUNCTION("""COMPUTED_VALUE"""),12.0)</f>
        <v>12</v>
      </c>
      <c r="P76" s="233">
        <f>IFERROR(__xludf.DUMMYFUNCTION("""COMPUTED_VALUE"""),1980.0)</f>
        <v>1980</v>
      </c>
      <c r="Q76" s="233">
        <f>IFERROR(__xludf.DUMMYFUNCTION("""COMPUTED_VALUE"""),11.0)</f>
        <v>11</v>
      </c>
      <c r="R76" s="233">
        <f>IFERROR(__xludf.DUMMYFUNCTION("""COMPUTED_VALUE"""),1568.0)</f>
        <v>1568</v>
      </c>
      <c r="S76" s="233">
        <f>IFERROR(__xludf.DUMMYFUNCTION("""COMPUTED_VALUE"""),1.0)</f>
        <v>1</v>
      </c>
      <c r="T76" s="233">
        <f>IFERROR(__xludf.DUMMYFUNCTION("""COMPUTED_VALUE"""),294.0)</f>
        <v>294</v>
      </c>
      <c r="U76" s="233">
        <f>IFERROR(__xludf.DUMMYFUNCTION("""COMPUTED_VALUE"""),118.0)</f>
        <v>118</v>
      </c>
      <c r="V76" s="233">
        <f>IFERROR(__xludf.DUMMYFUNCTION("""COMPUTED_VALUE"""),120.0)</f>
        <v>120</v>
      </c>
      <c r="W76" s="233">
        <f>IFERROR(__xludf.DUMMYFUNCTION("""COMPUTED_VALUE"""),20.0)</f>
        <v>20</v>
      </c>
      <c r="X76" s="233">
        <f>IFERROR(__xludf.DUMMYFUNCTION("""COMPUTED_VALUE"""),17.0)</f>
        <v>17</v>
      </c>
      <c r="Y76" s="233">
        <f>IFERROR(__xludf.DUMMYFUNCTION("""COMPUTED_VALUE"""),3.0)</f>
        <v>3</v>
      </c>
      <c r="Z76" s="233">
        <f>IFERROR(__xludf.DUMMYFUNCTION("""COMPUTED_VALUE"""),937.0)</f>
        <v>937</v>
      </c>
    </row>
    <row r="77">
      <c r="A77" s="232">
        <f>IFERROR(__xludf.DUMMYFUNCTION("""COMPUTED_VALUE"""),44002.0)</f>
        <v>44002</v>
      </c>
      <c r="B77" s="233">
        <f>IFERROR(__xludf.DUMMYFUNCTION("""COMPUTED_VALUE"""),84.0)</f>
        <v>84</v>
      </c>
      <c r="C77" s="233">
        <f>IFERROR(__xludf.DUMMYFUNCTION("""COMPUTED_VALUE"""),125.0)</f>
        <v>125</v>
      </c>
      <c r="D77" s="233">
        <f>IFERROR(__xludf.DUMMYFUNCTION("""COMPUTED_VALUE"""),23648.0)</f>
        <v>23648</v>
      </c>
      <c r="E77" s="233">
        <f>IFERROR(__xludf.DUMMYFUNCTION("""COMPUTED_VALUE"""),1891.0)</f>
        <v>1891</v>
      </c>
      <c r="F77" s="171">
        <f>IFERROR(__xludf.DUMMYFUNCTION("""COMPUTED_VALUE"""),205269.0)</f>
        <v>205269</v>
      </c>
      <c r="G77" s="171">
        <f>IFERROR(__xludf.DUMMYFUNCTION("""COMPUTED_VALUE"""),1975.0)</f>
        <v>1975</v>
      </c>
      <c r="H77" s="171">
        <f>IFERROR(__xludf.DUMMYFUNCTION("""COMPUTED_VALUE"""),228917.0)</f>
        <v>228917</v>
      </c>
      <c r="I77" s="233">
        <f>IFERROR(__xludf.DUMMYFUNCTION("""COMPUTED_VALUE"""),36.0)</f>
        <v>36</v>
      </c>
      <c r="J77" s="233">
        <f>IFERROR(__xludf.DUMMYFUNCTION("""COMPUTED_VALUE"""),55.0)</f>
        <v>55</v>
      </c>
      <c r="K77" s="233">
        <f>IFERROR(__xludf.DUMMYFUNCTION("""COMPUTED_VALUE"""),16382.0)</f>
        <v>16382</v>
      </c>
      <c r="L77" s="233">
        <f>IFERROR(__xludf.DUMMYFUNCTION("""COMPUTED_VALUE"""),812.0)</f>
        <v>812</v>
      </c>
      <c r="M77" s="233">
        <f>IFERROR(__xludf.DUMMYFUNCTION("""COMPUTED_VALUE"""),126612.0)</f>
        <v>126612</v>
      </c>
      <c r="N77" s="233">
        <f>IFERROR(__xludf.DUMMYFUNCTION("""COMPUTED_VALUE"""),142994.0)</f>
        <v>142994</v>
      </c>
      <c r="O77" s="233">
        <f>IFERROR(__xludf.DUMMYFUNCTION("""COMPUTED_VALUE"""),9.0)</f>
        <v>9</v>
      </c>
      <c r="P77" s="233">
        <f>IFERROR(__xludf.DUMMYFUNCTION("""COMPUTED_VALUE"""),1989.0)</f>
        <v>1989</v>
      </c>
      <c r="Q77" s="233">
        <f>IFERROR(__xludf.DUMMYFUNCTION("""COMPUTED_VALUE"""),12.0)</f>
        <v>12</v>
      </c>
      <c r="R77" s="233">
        <f>IFERROR(__xludf.DUMMYFUNCTION("""COMPUTED_VALUE"""),1580.0)</f>
        <v>1580</v>
      </c>
      <c r="S77" s="233">
        <f>IFERROR(__xludf.DUMMYFUNCTION("""COMPUTED_VALUE"""),0.0)</f>
        <v>0</v>
      </c>
      <c r="T77" s="233">
        <f>IFERROR(__xludf.DUMMYFUNCTION("""COMPUTED_VALUE"""),294.0)</f>
        <v>294</v>
      </c>
      <c r="U77" s="233">
        <f>IFERROR(__xludf.DUMMYFUNCTION("""COMPUTED_VALUE"""),115.0)</f>
        <v>115</v>
      </c>
      <c r="V77" s="233">
        <f>IFERROR(__xludf.DUMMYFUNCTION("""COMPUTED_VALUE"""),117.0)</f>
        <v>117</v>
      </c>
      <c r="W77" s="233">
        <f>IFERROR(__xludf.DUMMYFUNCTION("""COMPUTED_VALUE"""),20.0)</f>
        <v>20</v>
      </c>
      <c r="X77" s="233">
        <f>IFERROR(__xludf.DUMMYFUNCTION("""COMPUTED_VALUE"""),18.0)</f>
        <v>18</v>
      </c>
      <c r="Y77" s="233">
        <f>IFERROR(__xludf.DUMMYFUNCTION("""COMPUTED_VALUE"""),4.0)</f>
        <v>4</v>
      </c>
      <c r="Z77" s="233">
        <f>IFERROR(__xludf.DUMMYFUNCTION("""COMPUTED_VALUE"""),941.0)</f>
        <v>941</v>
      </c>
    </row>
    <row r="78">
      <c r="A78" s="232">
        <f>IFERROR(__xludf.DUMMYFUNCTION("""COMPUTED_VALUE"""),44003.0)</f>
        <v>44003</v>
      </c>
      <c r="B78" s="233">
        <f>IFERROR(__xludf.DUMMYFUNCTION("""COMPUTED_VALUE"""),37.0)</f>
        <v>37</v>
      </c>
      <c r="C78" s="233">
        <f>IFERROR(__xludf.DUMMYFUNCTION("""COMPUTED_VALUE"""),87.0)</f>
        <v>87</v>
      </c>
      <c r="D78" s="233">
        <f>IFERROR(__xludf.DUMMYFUNCTION("""COMPUTED_VALUE"""),23685.0)</f>
        <v>23685</v>
      </c>
      <c r="E78" s="233">
        <f>IFERROR(__xludf.DUMMYFUNCTION("""COMPUTED_VALUE"""),1064.0)</f>
        <v>1064</v>
      </c>
      <c r="F78" s="171">
        <f>IFERROR(__xludf.DUMMYFUNCTION("""COMPUTED_VALUE"""),206333.0)</f>
        <v>206333</v>
      </c>
      <c r="G78" s="171">
        <f>IFERROR(__xludf.DUMMYFUNCTION("""COMPUTED_VALUE"""),1101.0)</f>
        <v>1101</v>
      </c>
      <c r="H78" s="171">
        <f>IFERROR(__xludf.DUMMYFUNCTION("""COMPUTED_VALUE"""),230018.0)</f>
        <v>230018</v>
      </c>
      <c r="I78" s="233">
        <f>IFERROR(__xludf.DUMMYFUNCTION("""COMPUTED_VALUE"""),29.0)</f>
        <v>29</v>
      </c>
      <c r="J78" s="233">
        <f>IFERROR(__xludf.DUMMYFUNCTION("""COMPUTED_VALUE"""),41.0)</f>
        <v>41</v>
      </c>
      <c r="K78" s="233">
        <f>IFERROR(__xludf.DUMMYFUNCTION("""COMPUTED_VALUE"""),16411.0)</f>
        <v>16411</v>
      </c>
      <c r="L78" s="233">
        <f>IFERROR(__xludf.DUMMYFUNCTION("""COMPUTED_VALUE"""),690.0)</f>
        <v>690</v>
      </c>
      <c r="M78" s="233">
        <f>IFERROR(__xludf.DUMMYFUNCTION("""COMPUTED_VALUE"""),127302.0)</f>
        <v>127302</v>
      </c>
      <c r="N78" s="233">
        <f>IFERROR(__xludf.DUMMYFUNCTION("""COMPUTED_VALUE"""),143713.0)</f>
        <v>143713</v>
      </c>
      <c r="O78" s="233">
        <f>IFERROR(__xludf.DUMMYFUNCTION("""COMPUTED_VALUE"""),8.0)</f>
        <v>8</v>
      </c>
      <c r="P78" s="233">
        <f>IFERROR(__xludf.DUMMYFUNCTION("""COMPUTED_VALUE"""),1997.0)</f>
        <v>1997</v>
      </c>
      <c r="Q78" s="233">
        <f>IFERROR(__xludf.DUMMYFUNCTION("""COMPUTED_VALUE"""),5.0)</f>
        <v>5</v>
      </c>
      <c r="R78" s="233">
        <f>IFERROR(__xludf.DUMMYFUNCTION("""COMPUTED_VALUE"""),1585.0)</f>
        <v>1585</v>
      </c>
      <c r="S78" s="233">
        <f>IFERROR(__xludf.DUMMYFUNCTION("""COMPUTED_VALUE"""),0.0)</f>
        <v>0</v>
      </c>
      <c r="T78" s="233">
        <f>IFERROR(__xludf.DUMMYFUNCTION("""COMPUTED_VALUE"""),294.0)</f>
        <v>294</v>
      </c>
      <c r="U78" s="233">
        <f>IFERROR(__xludf.DUMMYFUNCTION("""COMPUTED_VALUE"""),118.0)</f>
        <v>118</v>
      </c>
      <c r="V78" s="233">
        <f>IFERROR(__xludf.DUMMYFUNCTION("""COMPUTED_VALUE"""),117.0)</f>
        <v>117</v>
      </c>
      <c r="W78" s="233">
        <f>IFERROR(__xludf.DUMMYFUNCTION("""COMPUTED_VALUE"""),20.0)</f>
        <v>20</v>
      </c>
      <c r="X78" s="233">
        <f>IFERROR(__xludf.DUMMYFUNCTION("""COMPUTED_VALUE"""),18.0)</f>
        <v>18</v>
      </c>
      <c r="Y78" s="233">
        <f>IFERROR(__xludf.DUMMYFUNCTION("""COMPUTED_VALUE"""),2.0)</f>
        <v>2</v>
      </c>
      <c r="Z78" s="233">
        <f>IFERROR(__xludf.DUMMYFUNCTION("""COMPUTED_VALUE"""),943.0)</f>
        <v>943</v>
      </c>
    </row>
    <row r="79">
      <c r="A79" s="232">
        <f>IFERROR(__xludf.DUMMYFUNCTION("""COMPUTED_VALUE"""),44004.0)</f>
        <v>44004</v>
      </c>
      <c r="B79" s="233">
        <f>IFERROR(__xludf.DUMMYFUNCTION("""COMPUTED_VALUE"""),138.0)</f>
        <v>138</v>
      </c>
      <c r="C79" s="233">
        <f>IFERROR(__xludf.DUMMYFUNCTION("""COMPUTED_VALUE"""),86.0)</f>
        <v>86</v>
      </c>
      <c r="D79" s="233">
        <f>IFERROR(__xludf.DUMMYFUNCTION("""COMPUTED_VALUE"""),23823.0)</f>
        <v>23823</v>
      </c>
      <c r="E79" s="233">
        <f>IFERROR(__xludf.DUMMYFUNCTION("""COMPUTED_VALUE"""),3730.0)</f>
        <v>3730</v>
      </c>
      <c r="F79" s="171">
        <f>IFERROR(__xludf.DUMMYFUNCTION("""COMPUTED_VALUE"""),210063.0)</f>
        <v>210063</v>
      </c>
      <c r="G79" s="171">
        <f>IFERROR(__xludf.DUMMYFUNCTION("""COMPUTED_VALUE"""),3868.0)</f>
        <v>3868</v>
      </c>
      <c r="H79" s="171">
        <f>IFERROR(__xludf.DUMMYFUNCTION("""COMPUTED_VALUE"""),233886.0)</f>
        <v>233886</v>
      </c>
      <c r="I79" s="233">
        <f>IFERROR(__xludf.DUMMYFUNCTION("""COMPUTED_VALUE"""),65.0)</f>
        <v>65</v>
      </c>
      <c r="J79" s="233">
        <f>IFERROR(__xludf.DUMMYFUNCTION("""COMPUTED_VALUE"""),43.0)</f>
        <v>43</v>
      </c>
      <c r="K79" s="233">
        <f>IFERROR(__xludf.DUMMYFUNCTION("""COMPUTED_VALUE"""),16476.0)</f>
        <v>16476</v>
      </c>
      <c r="L79" s="233">
        <f>IFERROR(__xludf.DUMMYFUNCTION("""COMPUTED_VALUE"""),1703.0)</f>
        <v>1703</v>
      </c>
      <c r="M79" s="233">
        <f>IFERROR(__xludf.DUMMYFUNCTION("""COMPUTED_VALUE"""),129005.0)</f>
        <v>129005</v>
      </c>
      <c r="N79" s="233">
        <f>IFERROR(__xludf.DUMMYFUNCTION("""COMPUTED_VALUE"""),145481.0)</f>
        <v>145481</v>
      </c>
      <c r="O79" s="233">
        <f>IFERROR(__xludf.DUMMYFUNCTION("""COMPUTED_VALUE"""),12.0)</f>
        <v>12</v>
      </c>
      <c r="P79" s="233">
        <f>IFERROR(__xludf.DUMMYFUNCTION("""COMPUTED_VALUE"""),2009.0)</f>
        <v>2009</v>
      </c>
      <c r="Q79" s="233">
        <f>IFERROR(__xludf.DUMMYFUNCTION("""COMPUTED_VALUE"""),16.0)</f>
        <v>16</v>
      </c>
      <c r="R79" s="233">
        <f>IFERROR(__xludf.DUMMYFUNCTION("""COMPUTED_VALUE"""),1601.0)</f>
        <v>1601</v>
      </c>
      <c r="S79" s="233">
        <f>IFERROR(__xludf.DUMMYFUNCTION("""COMPUTED_VALUE"""),0.0)</f>
        <v>0</v>
      </c>
      <c r="T79" s="233">
        <f>IFERROR(__xludf.DUMMYFUNCTION("""COMPUTED_VALUE"""),294.0)</f>
        <v>294</v>
      </c>
      <c r="U79" s="233">
        <f>IFERROR(__xludf.DUMMYFUNCTION("""COMPUTED_VALUE"""),114.0)</f>
        <v>114</v>
      </c>
      <c r="V79" s="233">
        <f>IFERROR(__xludf.DUMMYFUNCTION("""COMPUTED_VALUE"""),116.0)</f>
        <v>116</v>
      </c>
      <c r="W79" s="233">
        <f>IFERROR(__xludf.DUMMYFUNCTION("""COMPUTED_VALUE"""),19.0)</f>
        <v>19</v>
      </c>
      <c r="X79" s="233">
        <f>IFERROR(__xludf.DUMMYFUNCTION("""COMPUTED_VALUE"""),18.0)</f>
        <v>18</v>
      </c>
      <c r="Y79" s="233">
        <f>IFERROR(__xludf.DUMMYFUNCTION("""COMPUTED_VALUE"""),2.0)</f>
        <v>2</v>
      </c>
      <c r="Z79" s="233">
        <f>IFERROR(__xludf.DUMMYFUNCTION("""COMPUTED_VALUE"""),945.0)</f>
        <v>945</v>
      </c>
    </row>
    <row r="80">
      <c r="A80" s="232">
        <f>IFERROR(__xludf.DUMMYFUNCTION("""COMPUTED_VALUE"""),44005.0)</f>
        <v>44005</v>
      </c>
      <c r="B80" s="233">
        <f>IFERROR(__xludf.DUMMYFUNCTION("""COMPUTED_VALUE"""),163.0)</f>
        <v>163</v>
      </c>
      <c r="C80" s="233">
        <f>IFERROR(__xludf.DUMMYFUNCTION("""COMPUTED_VALUE"""),113.0)</f>
        <v>113</v>
      </c>
      <c r="D80" s="233">
        <f>IFERROR(__xludf.DUMMYFUNCTION("""COMPUTED_VALUE"""),23986.0)</f>
        <v>23986</v>
      </c>
      <c r="E80" s="233">
        <f>IFERROR(__xludf.DUMMYFUNCTION("""COMPUTED_VALUE"""),3831.0)</f>
        <v>3831</v>
      </c>
      <c r="F80" s="171">
        <f>IFERROR(__xludf.DUMMYFUNCTION("""COMPUTED_VALUE"""),213894.0)</f>
        <v>213894</v>
      </c>
      <c r="G80" s="171">
        <f>IFERROR(__xludf.DUMMYFUNCTION("""COMPUTED_VALUE"""),3994.0)</f>
        <v>3994</v>
      </c>
      <c r="H80" s="171">
        <f>IFERROR(__xludf.DUMMYFUNCTION("""COMPUTED_VALUE"""),237880.0)</f>
        <v>237880</v>
      </c>
      <c r="I80" s="233">
        <f>IFERROR(__xludf.DUMMYFUNCTION("""COMPUTED_VALUE"""),81.0)</f>
        <v>81</v>
      </c>
      <c r="J80" s="233">
        <f>IFERROR(__xludf.DUMMYFUNCTION("""COMPUTED_VALUE"""),58.0)</f>
        <v>58</v>
      </c>
      <c r="K80" s="233">
        <f>IFERROR(__xludf.DUMMYFUNCTION("""COMPUTED_VALUE"""),16557.0)</f>
        <v>16557</v>
      </c>
      <c r="L80" s="233">
        <f>IFERROR(__xludf.DUMMYFUNCTION("""COMPUTED_VALUE"""),1776.0)</f>
        <v>1776</v>
      </c>
      <c r="M80" s="233">
        <f>IFERROR(__xludf.DUMMYFUNCTION("""COMPUTED_VALUE"""),130781.0)</f>
        <v>130781</v>
      </c>
      <c r="N80" s="233">
        <f>IFERROR(__xludf.DUMMYFUNCTION("""COMPUTED_VALUE"""),147338.0)</f>
        <v>147338</v>
      </c>
      <c r="O80" s="233">
        <f>IFERROR(__xludf.DUMMYFUNCTION("""COMPUTED_VALUE"""),3.0)</f>
        <v>3</v>
      </c>
      <c r="P80" s="233">
        <f>IFERROR(__xludf.DUMMYFUNCTION("""COMPUTED_VALUE"""),2012.0)</f>
        <v>2012</v>
      </c>
      <c r="Q80" s="233">
        <f>IFERROR(__xludf.DUMMYFUNCTION("""COMPUTED_VALUE"""),13.0)</f>
        <v>13</v>
      </c>
      <c r="R80" s="233">
        <f>IFERROR(__xludf.DUMMYFUNCTION("""COMPUTED_VALUE"""),1614.0)</f>
        <v>1614</v>
      </c>
      <c r="S80" s="233">
        <f>IFERROR(__xludf.DUMMYFUNCTION("""COMPUTED_VALUE"""),3.0)</f>
        <v>3</v>
      </c>
      <c r="T80" s="233">
        <f>IFERROR(__xludf.DUMMYFUNCTION("""COMPUTED_VALUE"""),297.0)</f>
        <v>297</v>
      </c>
      <c r="U80" s="233">
        <f>IFERROR(__xludf.DUMMYFUNCTION("""COMPUTED_VALUE"""),101.0)</f>
        <v>101</v>
      </c>
      <c r="V80" s="233">
        <f>IFERROR(__xludf.DUMMYFUNCTION("""COMPUTED_VALUE"""),111.0)</f>
        <v>111</v>
      </c>
      <c r="W80" s="233">
        <f>IFERROR(__xludf.DUMMYFUNCTION("""COMPUTED_VALUE"""),18.0)</f>
        <v>18</v>
      </c>
      <c r="X80" s="233">
        <f>IFERROR(__xludf.DUMMYFUNCTION("""COMPUTED_VALUE"""),18.0)</f>
        <v>18</v>
      </c>
      <c r="Y80" s="233">
        <f>IFERROR(__xludf.DUMMYFUNCTION("""COMPUTED_VALUE"""),7.0)</f>
        <v>7</v>
      </c>
      <c r="Z80" s="233">
        <f>IFERROR(__xludf.DUMMYFUNCTION("""COMPUTED_VALUE"""),952.0)</f>
        <v>952</v>
      </c>
    </row>
    <row r="81">
      <c r="A81" s="232">
        <f>IFERROR(__xludf.DUMMYFUNCTION("""COMPUTED_VALUE"""),44006.0)</f>
        <v>44006</v>
      </c>
      <c r="B81" s="233">
        <f>IFERROR(__xludf.DUMMYFUNCTION("""COMPUTED_VALUE"""),120.0)</f>
        <v>120</v>
      </c>
      <c r="C81" s="233">
        <f>IFERROR(__xludf.DUMMYFUNCTION("""COMPUTED_VALUE"""),140.0)</f>
        <v>140</v>
      </c>
      <c r="D81" s="233">
        <f>IFERROR(__xludf.DUMMYFUNCTION("""COMPUTED_VALUE"""),24106.0)</f>
        <v>24106</v>
      </c>
      <c r="E81" s="233">
        <f>IFERROR(__xludf.DUMMYFUNCTION("""COMPUTED_VALUE"""),3502.0)</f>
        <v>3502</v>
      </c>
      <c r="F81" s="171">
        <f>IFERROR(__xludf.DUMMYFUNCTION("""COMPUTED_VALUE"""),217396.0)</f>
        <v>217396</v>
      </c>
      <c r="G81" s="171">
        <f>IFERROR(__xludf.DUMMYFUNCTION("""COMPUTED_VALUE"""),3622.0)</f>
        <v>3622</v>
      </c>
      <c r="H81" s="171">
        <f>IFERROR(__xludf.DUMMYFUNCTION("""COMPUTED_VALUE"""),241502.0)</f>
        <v>241502</v>
      </c>
      <c r="I81" s="233">
        <f>IFERROR(__xludf.DUMMYFUNCTION("""COMPUTED_VALUE"""),44.0)</f>
        <v>44</v>
      </c>
      <c r="J81" s="233">
        <f>IFERROR(__xludf.DUMMYFUNCTION("""COMPUTED_VALUE"""),63.0)</f>
        <v>63</v>
      </c>
      <c r="K81" s="233">
        <f>IFERROR(__xludf.DUMMYFUNCTION("""COMPUTED_VALUE"""),16601.0)</f>
        <v>16601</v>
      </c>
      <c r="L81" s="233">
        <f>IFERROR(__xludf.DUMMYFUNCTION("""COMPUTED_VALUE"""),1678.0)</f>
        <v>1678</v>
      </c>
      <c r="M81" s="233">
        <f>IFERROR(__xludf.DUMMYFUNCTION("""COMPUTED_VALUE"""),132459.0)</f>
        <v>132459</v>
      </c>
      <c r="N81" s="233">
        <f>IFERROR(__xludf.DUMMYFUNCTION("""COMPUTED_VALUE"""),149060.0)</f>
        <v>149060</v>
      </c>
      <c r="O81" s="233">
        <f>IFERROR(__xludf.DUMMYFUNCTION("""COMPUTED_VALUE"""),9.0)</f>
        <v>9</v>
      </c>
      <c r="P81" s="233">
        <f>IFERROR(__xludf.DUMMYFUNCTION("""COMPUTED_VALUE"""),2021.0)</f>
        <v>2021</v>
      </c>
      <c r="Q81" s="233">
        <f>IFERROR(__xludf.DUMMYFUNCTION("""COMPUTED_VALUE"""),10.0)</f>
        <v>10</v>
      </c>
      <c r="R81" s="233">
        <f>IFERROR(__xludf.DUMMYFUNCTION("""COMPUTED_VALUE"""),1624.0)</f>
        <v>1624</v>
      </c>
      <c r="S81" s="233">
        <f>IFERROR(__xludf.DUMMYFUNCTION("""COMPUTED_VALUE"""),1.0)</f>
        <v>1</v>
      </c>
      <c r="T81" s="233">
        <f>IFERROR(__xludf.DUMMYFUNCTION("""COMPUTED_VALUE"""),298.0)</f>
        <v>298</v>
      </c>
      <c r="U81" s="233">
        <f>IFERROR(__xludf.DUMMYFUNCTION("""COMPUTED_VALUE"""),99.0)</f>
        <v>99</v>
      </c>
      <c r="V81" s="233">
        <f>IFERROR(__xludf.DUMMYFUNCTION("""COMPUTED_VALUE"""),105.0)</f>
        <v>105</v>
      </c>
      <c r="W81" s="233">
        <f>IFERROR(__xludf.DUMMYFUNCTION("""COMPUTED_VALUE"""),18.0)</f>
        <v>18</v>
      </c>
      <c r="X81" s="233">
        <f>IFERROR(__xludf.DUMMYFUNCTION("""COMPUTED_VALUE"""),18.0)</f>
        <v>18</v>
      </c>
      <c r="Y81" s="233">
        <f>IFERROR(__xludf.DUMMYFUNCTION("""COMPUTED_VALUE"""),5.0)</f>
        <v>5</v>
      </c>
      <c r="Z81" s="233">
        <f>IFERROR(__xludf.DUMMYFUNCTION("""COMPUTED_VALUE"""),957.0)</f>
        <v>957</v>
      </c>
    </row>
    <row r="82">
      <c r="A82" s="232">
        <f>IFERROR(__xludf.DUMMYFUNCTION("""COMPUTED_VALUE"""),44007.0)</f>
        <v>44007</v>
      </c>
      <c r="B82" s="233">
        <f>IFERROR(__xludf.DUMMYFUNCTION("""COMPUTED_VALUE"""),103.0)</f>
        <v>103</v>
      </c>
      <c r="C82" s="233">
        <f>IFERROR(__xludf.DUMMYFUNCTION("""COMPUTED_VALUE"""),129.0)</f>
        <v>129</v>
      </c>
      <c r="D82" s="233">
        <f>IFERROR(__xludf.DUMMYFUNCTION("""COMPUTED_VALUE"""),24209.0)</f>
        <v>24209</v>
      </c>
      <c r="E82" s="233">
        <f>IFERROR(__xludf.DUMMYFUNCTION("""COMPUTED_VALUE"""),2883.0)</f>
        <v>2883</v>
      </c>
      <c r="F82" s="171">
        <f>IFERROR(__xludf.DUMMYFUNCTION("""COMPUTED_VALUE"""),220279.0)</f>
        <v>220279</v>
      </c>
      <c r="G82" s="171">
        <f>IFERROR(__xludf.DUMMYFUNCTION("""COMPUTED_VALUE"""),2986.0)</f>
        <v>2986</v>
      </c>
      <c r="H82" s="171">
        <f>IFERROR(__xludf.DUMMYFUNCTION("""COMPUTED_VALUE"""),244488.0)</f>
        <v>244488</v>
      </c>
      <c r="I82" s="233">
        <f>IFERROR(__xludf.DUMMYFUNCTION("""COMPUTED_VALUE"""),50.0)</f>
        <v>50</v>
      </c>
      <c r="J82" s="233">
        <f>IFERROR(__xludf.DUMMYFUNCTION("""COMPUTED_VALUE"""),58.0)</f>
        <v>58</v>
      </c>
      <c r="K82" s="233">
        <f>IFERROR(__xludf.DUMMYFUNCTION("""COMPUTED_VALUE"""),16651.0)</f>
        <v>16651</v>
      </c>
      <c r="L82" s="233">
        <f>IFERROR(__xludf.DUMMYFUNCTION("""COMPUTED_VALUE"""),1504.0)</f>
        <v>1504</v>
      </c>
      <c r="M82" s="233">
        <f>IFERROR(__xludf.DUMMYFUNCTION("""COMPUTED_VALUE"""),133963.0)</f>
        <v>133963</v>
      </c>
      <c r="N82" s="233">
        <f>IFERROR(__xludf.DUMMYFUNCTION("""COMPUTED_VALUE"""),150614.0)</f>
        <v>150614</v>
      </c>
      <c r="O82" s="233">
        <f>IFERROR(__xludf.DUMMYFUNCTION("""COMPUTED_VALUE"""),6.0)</f>
        <v>6</v>
      </c>
      <c r="P82" s="233">
        <f>IFERROR(__xludf.DUMMYFUNCTION("""COMPUTED_VALUE"""),2027.0)</f>
        <v>2027</v>
      </c>
      <c r="Q82" s="233">
        <f>IFERROR(__xludf.DUMMYFUNCTION("""COMPUTED_VALUE"""),14.0)</f>
        <v>14</v>
      </c>
      <c r="R82" s="233">
        <f>IFERROR(__xludf.DUMMYFUNCTION("""COMPUTED_VALUE"""),1638.0)</f>
        <v>1638</v>
      </c>
      <c r="S82" s="233">
        <f>IFERROR(__xludf.DUMMYFUNCTION("""COMPUTED_VALUE"""),1.0)</f>
        <v>1</v>
      </c>
      <c r="T82" s="233">
        <f>IFERROR(__xludf.DUMMYFUNCTION("""COMPUTED_VALUE"""),299.0)</f>
        <v>299</v>
      </c>
      <c r="U82" s="233">
        <f>IFERROR(__xludf.DUMMYFUNCTION("""COMPUTED_VALUE"""),90.0)</f>
        <v>90</v>
      </c>
      <c r="V82" s="233">
        <f>IFERROR(__xludf.DUMMYFUNCTION("""COMPUTED_VALUE"""),97.0)</f>
        <v>97</v>
      </c>
      <c r="W82" s="233">
        <f>IFERROR(__xludf.DUMMYFUNCTION("""COMPUTED_VALUE"""),17.0)</f>
        <v>17</v>
      </c>
      <c r="X82" s="233">
        <f>IFERROR(__xludf.DUMMYFUNCTION("""COMPUTED_VALUE"""),17.0)</f>
        <v>17</v>
      </c>
      <c r="Y82" s="233">
        <f>IFERROR(__xludf.DUMMYFUNCTION("""COMPUTED_VALUE"""),1.0)</f>
        <v>1</v>
      </c>
      <c r="Z82" s="233">
        <f>IFERROR(__xludf.DUMMYFUNCTION("""COMPUTED_VALUE"""),958.0)</f>
        <v>958</v>
      </c>
    </row>
    <row r="83">
      <c r="A83" s="232">
        <f>IFERROR(__xludf.DUMMYFUNCTION("""COMPUTED_VALUE"""),44008.0)</f>
        <v>44008</v>
      </c>
      <c r="B83" s="233">
        <f>IFERROR(__xludf.DUMMYFUNCTION("""COMPUTED_VALUE"""),94.0)</f>
        <v>94</v>
      </c>
      <c r="C83" s="233">
        <f>IFERROR(__xludf.DUMMYFUNCTION("""COMPUTED_VALUE"""),106.0)</f>
        <v>106</v>
      </c>
      <c r="D83" s="233">
        <f>IFERROR(__xludf.DUMMYFUNCTION("""COMPUTED_VALUE"""),24303.0)</f>
        <v>24303</v>
      </c>
      <c r="E83" s="233">
        <f>IFERROR(__xludf.DUMMYFUNCTION("""COMPUTED_VALUE"""),2488.0)</f>
        <v>2488</v>
      </c>
      <c r="F83" s="171">
        <f>IFERROR(__xludf.DUMMYFUNCTION("""COMPUTED_VALUE"""),222767.0)</f>
        <v>222767</v>
      </c>
      <c r="G83" s="171">
        <f>IFERROR(__xludf.DUMMYFUNCTION("""COMPUTED_VALUE"""),2582.0)</f>
        <v>2582</v>
      </c>
      <c r="H83" s="171">
        <f>IFERROR(__xludf.DUMMYFUNCTION("""COMPUTED_VALUE"""),247070.0)</f>
        <v>247070</v>
      </c>
      <c r="I83" s="233">
        <f>IFERROR(__xludf.DUMMYFUNCTION("""COMPUTED_VALUE"""),60.0)</f>
        <v>60</v>
      </c>
      <c r="J83" s="233">
        <f>IFERROR(__xludf.DUMMYFUNCTION("""COMPUTED_VALUE"""),51.0)</f>
        <v>51</v>
      </c>
      <c r="K83" s="233">
        <f>IFERROR(__xludf.DUMMYFUNCTION("""COMPUTED_VALUE"""),16711.0)</f>
        <v>16711</v>
      </c>
      <c r="L83" s="233">
        <f>IFERROR(__xludf.DUMMYFUNCTION("""COMPUTED_VALUE"""),1328.0)</f>
        <v>1328</v>
      </c>
      <c r="M83" s="233">
        <f>IFERROR(__xludf.DUMMYFUNCTION("""COMPUTED_VALUE"""),135291.0)</f>
        <v>135291</v>
      </c>
      <c r="N83" s="233">
        <f>IFERROR(__xludf.DUMMYFUNCTION("""COMPUTED_VALUE"""),152002.0)</f>
        <v>152002</v>
      </c>
      <c r="O83" s="233">
        <f>IFERROR(__xludf.DUMMYFUNCTION("""COMPUTED_VALUE"""),2.0)</f>
        <v>2</v>
      </c>
      <c r="P83" s="233">
        <f>IFERROR(__xludf.DUMMYFUNCTION("""COMPUTED_VALUE"""),2029.0)</f>
        <v>2029</v>
      </c>
      <c r="Q83" s="233">
        <f>IFERROR(__xludf.DUMMYFUNCTION("""COMPUTED_VALUE"""),10.0)</f>
        <v>10</v>
      </c>
      <c r="R83" s="233">
        <f>IFERROR(__xludf.DUMMYFUNCTION("""COMPUTED_VALUE"""),1648.0)</f>
        <v>1648</v>
      </c>
      <c r="S83" s="233">
        <f>IFERROR(__xludf.DUMMYFUNCTION("""COMPUTED_VALUE"""),0.0)</f>
        <v>0</v>
      </c>
      <c r="T83" s="233">
        <f>IFERROR(__xludf.DUMMYFUNCTION("""COMPUTED_VALUE"""),299.0)</f>
        <v>299</v>
      </c>
      <c r="U83" s="233">
        <f>IFERROR(__xludf.DUMMYFUNCTION("""COMPUTED_VALUE"""),82.0)</f>
        <v>82</v>
      </c>
      <c r="V83" s="233">
        <f>IFERROR(__xludf.DUMMYFUNCTION("""COMPUTED_VALUE"""),90.0)</f>
        <v>90</v>
      </c>
      <c r="W83" s="233">
        <f>IFERROR(__xludf.DUMMYFUNCTION("""COMPUTED_VALUE"""),18.0)</f>
        <v>18</v>
      </c>
      <c r="X83" s="233">
        <f>IFERROR(__xludf.DUMMYFUNCTION("""COMPUTED_VALUE"""),18.0)</f>
        <v>18</v>
      </c>
      <c r="Y83" s="233">
        <f>IFERROR(__xludf.DUMMYFUNCTION("""COMPUTED_VALUE"""),1.0)</f>
        <v>1</v>
      </c>
      <c r="Z83" s="233">
        <f>IFERROR(__xludf.DUMMYFUNCTION("""COMPUTED_VALUE"""),959.0)</f>
        <v>959</v>
      </c>
    </row>
    <row r="84">
      <c r="A84" s="232">
        <f>IFERROR(__xludf.DUMMYFUNCTION("""COMPUTED_VALUE"""),44009.0)</f>
        <v>44009</v>
      </c>
      <c r="B84" s="233">
        <f>IFERROR(__xludf.DUMMYFUNCTION("""COMPUTED_VALUE"""),84.0)</f>
        <v>84</v>
      </c>
      <c r="C84" s="233">
        <f>IFERROR(__xludf.DUMMYFUNCTION("""COMPUTED_VALUE"""),94.0)</f>
        <v>94</v>
      </c>
      <c r="D84" s="233">
        <f>IFERROR(__xludf.DUMMYFUNCTION("""COMPUTED_VALUE"""),24387.0)</f>
        <v>24387</v>
      </c>
      <c r="E84" s="233">
        <f>IFERROR(__xludf.DUMMYFUNCTION("""COMPUTED_VALUE"""),3216.0)</f>
        <v>3216</v>
      </c>
      <c r="F84" s="171">
        <f>IFERROR(__xludf.DUMMYFUNCTION("""COMPUTED_VALUE"""),225983.0)</f>
        <v>225983</v>
      </c>
      <c r="G84" s="171">
        <f>IFERROR(__xludf.DUMMYFUNCTION("""COMPUTED_VALUE"""),3300.0)</f>
        <v>3300</v>
      </c>
      <c r="H84" s="171">
        <f>IFERROR(__xludf.DUMMYFUNCTION("""COMPUTED_VALUE"""),250370.0)</f>
        <v>250370</v>
      </c>
      <c r="I84" s="233">
        <f>IFERROR(__xludf.DUMMYFUNCTION("""COMPUTED_VALUE"""),37.0)</f>
        <v>37</v>
      </c>
      <c r="J84" s="233">
        <f>IFERROR(__xludf.DUMMYFUNCTION("""COMPUTED_VALUE"""),49.0)</f>
        <v>49</v>
      </c>
      <c r="K84" s="233">
        <f>IFERROR(__xludf.DUMMYFUNCTION("""COMPUTED_VALUE"""),16748.0)</f>
        <v>16748</v>
      </c>
      <c r="L84" s="233">
        <f>IFERROR(__xludf.DUMMYFUNCTION("""COMPUTED_VALUE"""),1217.0)</f>
        <v>1217</v>
      </c>
      <c r="M84" s="233">
        <f>IFERROR(__xludf.DUMMYFUNCTION("""COMPUTED_VALUE"""),136508.0)</f>
        <v>136508</v>
      </c>
      <c r="N84" s="233">
        <f>IFERROR(__xludf.DUMMYFUNCTION("""COMPUTED_VALUE"""),153256.0)</f>
        <v>153256</v>
      </c>
      <c r="O84" s="233">
        <f>IFERROR(__xludf.DUMMYFUNCTION("""COMPUTED_VALUE"""),5.0)</f>
        <v>5</v>
      </c>
      <c r="P84" s="233">
        <f>IFERROR(__xludf.DUMMYFUNCTION("""COMPUTED_VALUE"""),2034.0)</f>
        <v>2034</v>
      </c>
      <c r="Q84" s="233">
        <f>IFERROR(__xludf.DUMMYFUNCTION("""COMPUTED_VALUE"""),3.0)</f>
        <v>3</v>
      </c>
      <c r="R84" s="233">
        <f>IFERROR(__xludf.DUMMYFUNCTION("""COMPUTED_VALUE"""),1651.0)</f>
        <v>1651</v>
      </c>
      <c r="S84" s="233">
        <f>IFERROR(__xludf.DUMMYFUNCTION("""COMPUTED_VALUE"""),1.0)</f>
        <v>1</v>
      </c>
      <c r="T84" s="233">
        <f>IFERROR(__xludf.DUMMYFUNCTION("""COMPUTED_VALUE"""),300.0)</f>
        <v>300</v>
      </c>
      <c r="U84" s="233">
        <f>IFERROR(__xludf.DUMMYFUNCTION("""COMPUTED_VALUE"""),83.0)</f>
        <v>83</v>
      </c>
      <c r="V84" s="233">
        <f>IFERROR(__xludf.DUMMYFUNCTION("""COMPUTED_VALUE"""),85.0)</f>
        <v>85</v>
      </c>
      <c r="W84" s="233">
        <f>IFERROR(__xludf.DUMMYFUNCTION("""COMPUTED_VALUE"""),17.0)</f>
        <v>17</v>
      </c>
      <c r="X84" s="233">
        <f>IFERROR(__xludf.DUMMYFUNCTION("""COMPUTED_VALUE"""),17.0)</f>
        <v>17</v>
      </c>
      <c r="Y84" s="233">
        <f>IFERROR(__xludf.DUMMYFUNCTION("""COMPUTED_VALUE"""),5.0)</f>
        <v>5</v>
      </c>
      <c r="Z84" s="233">
        <f>IFERROR(__xludf.DUMMYFUNCTION("""COMPUTED_VALUE"""),964.0)</f>
        <v>964</v>
      </c>
    </row>
    <row r="85">
      <c r="A85" s="232">
        <f>IFERROR(__xludf.DUMMYFUNCTION("""COMPUTED_VALUE"""),44010.0)</f>
        <v>44010</v>
      </c>
      <c r="B85" s="233">
        <f>IFERROR(__xludf.DUMMYFUNCTION("""COMPUTED_VALUE"""),39.0)</f>
        <v>39</v>
      </c>
      <c r="C85" s="233">
        <f>IFERROR(__xludf.DUMMYFUNCTION("""COMPUTED_VALUE"""),72.0)</f>
        <v>72</v>
      </c>
      <c r="D85" s="233">
        <f>IFERROR(__xludf.DUMMYFUNCTION("""COMPUTED_VALUE"""),24426.0)</f>
        <v>24426</v>
      </c>
      <c r="E85" s="233">
        <f>IFERROR(__xludf.DUMMYFUNCTION("""COMPUTED_VALUE"""),1469.0)</f>
        <v>1469</v>
      </c>
      <c r="F85" s="171">
        <f>IFERROR(__xludf.DUMMYFUNCTION("""COMPUTED_VALUE"""),227452.0)</f>
        <v>227452</v>
      </c>
      <c r="G85" s="171">
        <f>IFERROR(__xludf.DUMMYFUNCTION("""COMPUTED_VALUE"""),1508.0)</f>
        <v>1508</v>
      </c>
      <c r="H85" s="171">
        <f>IFERROR(__xludf.DUMMYFUNCTION("""COMPUTED_VALUE"""),251878.0)</f>
        <v>251878</v>
      </c>
      <c r="I85" s="233">
        <f>IFERROR(__xludf.DUMMYFUNCTION("""COMPUTED_VALUE"""),17.0)</f>
        <v>17</v>
      </c>
      <c r="J85" s="233">
        <f>IFERROR(__xludf.DUMMYFUNCTION("""COMPUTED_VALUE"""),38.0)</f>
        <v>38</v>
      </c>
      <c r="K85" s="233">
        <f>IFERROR(__xludf.DUMMYFUNCTION("""COMPUTED_VALUE"""),16765.0)</f>
        <v>16765</v>
      </c>
      <c r="L85" s="233">
        <f>IFERROR(__xludf.DUMMYFUNCTION("""COMPUTED_VALUE"""),593.0)</f>
        <v>593</v>
      </c>
      <c r="M85" s="233">
        <f>IFERROR(__xludf.DUMMYFUNCTION("""COMPUTED_VALUE"""),137101.0)</f>
        <v>137101</v>
      </c>
      <c r="N85" s="233">
        <f>IFERROR(__xludf.DUMMYFUNCTION("""COMPUTED_VALUE"""),153866.0)</f>
        <v>153866</v>
      </c>
      <c r="O85" s="233">
        <f>IFERROR(__xludf.DUMMYFUNCTION("""COMPUTED_VALUE"""),4.0)</f>
        <v>4</v>
      </c>
      <c r="P85" s="233">
        <f>IFERROR(__xludf.DUMMYFUNCTION("""COMPUTED_VALUE"""),2038.0)</f>
        <v>2038</v>
      </c>
      <c r="Q85" s="233">
        <f>IFERROR(__xludf.DUMMYFUNCTION("""COMPUTED_VALUE"""),4.0)</f>
        <v>4</v>
      </c>
      <c r="R85" s="233">
        <f>IFERROR(__xludf.DUMMYFUNCTION("""COMPUTED_VALUE"""),1655.0)</f>
        <v>1655</v>
      </c>
      <c r="S85" s="233">
        <f>IFERROR(__xludf.DUMMYFUNCTION("""COMPUTED_VALUE"""),4.0)</f>
        <v>4</v>
      </c>
      <c r="T85" s="233">
        <f>IFERROR(__xludf.DUMMYFUNCTION("""COMPUTED_VALUE"""),304.0)</f>
        <v>304</v>
      </c>
      <c r="U85" s="233">
        <f>IFERROR(__xludf.DUMMYFUNCTION("""COMPUTED_VALUE"""),79.0)</f>
        <v>79</v>
      </c>
      <c r="V85" s="233">
        <f>IFERROR(__xludf.DUMMYFUNCTION("""COMPUTED_VALUE"""),81.0)</f>
        <v>81</v>
      </c>
      <c r="W85" s="233">
        <f>IFERROR(__xludf.DUMMYFUNCTION("""COMPUTED_VALUE"""),15.0)</f>
        <v>15</v>
      </c>
      <c r="X85" s="233">
        <f>IFERROR(__xludf.DUMMYFUNCTION("""COMPUTED_VALUE"""),14.0)</f>
        <v>14</v>
      </c>
      <c r="Y85" s="233">
        <f>IFERROR(__xludf.DUMMYFUNCTION("""COMPUTED_VALUE"""),6.0)</f>
        <v>6</v>
      </c>
      <c r="Z85" s="233">
        <f>IFERROR(__xludf.DUMMYFUNCTION("""COMPUTED_VALUE"""),970.0)</f>
        <v>970</v>
      </c>
    </row>
    <row r="86">
      <c r="A86" s="232">
        <f>IFERROR(__xludf.DUMMYFUNCTION("""COMPUTED_VALUE"""),44011.0)</f>
        <v>44011</v>
      </c>
      <c r="B86" s="233">
        <f>IFERROR(__xludf.DUMMYFUNCTION("""COMPUTED_VALUE"""),85.0)</f>
        <v>85</v>
      </c>
      <c r="C86" s="233">
        <f>IFERROR(__xludf.DUMMYFUNCTION("""COMPUTED_VALUE"""),69.0)</f>
        <v>69</v>
      </c>
      <c r="D86" s="233">
        <f>IFERROR(__xludf.DUMMYFUNCTION("""COMPUTED_VALUE"""),24511.0)</f>
        <v>24511</v>
      </c>
      <c r="E86" s="233">
        <f>IFERROR(__xludf.DUMMYFUNCTION("""COMPUTED_VALUE"""),3697.0)</f>
        <v>3697</v>
      </c>
      <c r="F86" s="171">
        <f>IFERROR(__xludf.DUMMYFUNCTION("""COMPUTED_VALUE"""),231149.0)</f>
        <v>231149</v>
      </c>
      <c r="G86" s="171">
        <f>IFERROR(__xludf.DUMMYFUNCTION("""COMPUTED_VALUE"""),3782.0)</f>
        <v>3782</v>
      </c>
      <c r="H86" s="171">
        <f>IFERROR(__xludf.DUMMYFUNCTION("""COMPUTED_VALUE"""),255660.0)</f>
        <v>255660</v>
      </c>
      <c r="I86" s="233">
        <f>IFERROR(__xludf.DUMMYFUNCTION("""COMPUTED_VALUE"""),39.0)</f>
        <v>39</v>
      </c>
      <c r="J86" s="233">
        <f>IFERROR(__xludf.DUMMYFUNCTION("""COMPUTED_VALUE"""),31.0)</f>
        <v>31</v>
      </c>
      <c r="K86" s="233">
        <f>IFERROR(__xludf.DUMMYFUNCTION("""COMPUTED_VALUE"""),16804.0)</f>
        <v>16804</v>
      </c>
      <c r="L86" s="233">
        <f>IFERROR(__xludf.DUMMYFUNCTION("""COMPUTED_VALUE"""),1349.0)</f>
        <v>1349</v>
      </c>
      <c r="M86" s="233">
        <f>IFERROR(__xludf.DUMMYFUNCTION("""COMPUTED_VALUE"""),138450.0)</f>
        <v>138450</v>
      </c>
      <c r="N86" s="233">
        <f>IFERROR(__xludf.DUMMYFUNCTION("""COMPUTED_VALUE"""),155254.0)</f>
        <v>155254</v>
      </c>
      <c r="O86" s="233">
        <f>IFERROR(__xludf.DUMMYFUNCTION("""COMPUTED_VALUE"""),4.0)</f>
        <v>4</v>
      </c>
      <c r="P86" s="233">
        <f>IFERROR(__xludf.DUMMYFUNCTION("""COMPUTED_VALUE"""),2042.0)</f>
        <v>2042</v>
      </c>
      <c r="Q86" s="233">
        <f>IFERROR(__xludf.DUMMYFUNCTION("""COMPUTED_VALUE"""),5.0)</f>
        <v>5</v>
      </c>
      <c r="R86" s="233">
        <f>IFERROR(__xludf.DUMMYFUNCTION("""COMPUTED_VALUE"""),1660.0)</f>
        <v>1660</v>
      </c>
      <c r="S86" s="233">
        <f>IFERROR(__xludf.DUMMYFUNCTION("""COMPUTED_VALUE"""),0.0)</f>
        <v>0</v>
      </c>
      <c r="T86" s="233">
        <f>IFERROR(__xludf.DUMMYFUNCTION("""COMPUTED_VALUE"""),304.0)</f>
        <v>304</v>
      </c>
      <c r="U86" s="233">
        <f>IFERROR(__xludf.DUMMYFUNCTION("""COMPUTED_VALUE"""),78.0)</f>
        <v>78</v>
      </c>
      <c r="V86" s="233">
        <f>IFERROR(__xludf.DUMMYFUNCTION("""COMPUTED_VALUE"""),80.0)</f>
        <v>80</v>
      </c>
      <c r="W86" s="233">
        <f>IFERROR(__xludf.DUMMYFUNCTION("""COMPUTED_VALUE"""),14.0)</f>
        <v>14</v>
      </c>
      <c r="X86" s="233">
        <f>IFERROR(__xludf.DUMMYFUNCTION("""COMPUTED_VALUE"""),14.0)</f>
        <v>14</v>
      </c>
      <c r="Y86" s="233">
        <f>IFERROR(__xludf.DUMMYFUNCTION("""COMPUTED_VALUE"""),1.0)</f>
        <v>1</v>
      </c>
      <c r="Z86" s="233">
        <f>IFERROR(__xludf.DUMMYFUNCTION("""COMPUTED_VALUE"""),971.0)</f>
        <v>971</v>
      </c>
    </row>
    <row r="87">
      <c r="A87" s="232">
        <f>IFERROR(__xludf.DUMMYFUNCTION("""COMPUTED_VALUE"""),44012.0)</f>
        <v>44012</v>
      </c>
      <c r="B87" s="233">
        <f>IFERROR(__xludf.DUMMYFUNCTION("""COMPUTED_VALUE"""),57.0)</f>
        <v>57</v>
      </c>
      <c r="C87" s="233">
        <f>IFERROR(__xludf.DUMMYFUNCTION("""COMPUTED_VALUE"""),60.0)</f>
        <v>60</v>
      </c>
      <c r="D87" s="233">
        <f>IFERROR(__xludf.DUMMYFUNCTION("""COMPUTED_VALUE"""),24568.0)</f>
        <v>24568</v>
      </c>
      <c r="E87" s="233">
        <f>IFERROR(__xludf.DUMMYFUNCTION("""COMPUTED_VALUE"""),1958.0)</f>
        <v>1958</v>
      </c>
      <c r="F87" s="171">
        <f>IFERROR(__xludf.DUMMYFUNCTION("""COMPUTED_VALUE"""),233107.0)</f>
        <v>233107</v>
      </c>
      <c r="G87" s="171">
        <f>IFERROR(__xludf.DUMMYFUNCTION("""COMPUTED_VALUE"""),2015.0)</f>
        <v>2015</v>
      </c>
      <c r="H87" s="171">
        <f>IFERROR(__xludf.DUMMYFUNCTION("""COMPUTED_VALUE"""),257675.0)</f>
        <v>257675</v>
      </c>
      <c r="I87" s="233">
        <f>IFERROR(__xludf.DUMMYFUNCTION("""COMPUTED_VALUE"""),33.0)</f>
        <v>33</v>
      </c>
      <c r="J87" s="233">
        <f>IFERROR(__xludf.DUMMYFUNCTION("""COMPUTED_VALUE"""),30.0)</f>
        <v>30</v>
      </c>
      <c r="K87" s="233">
        <f>IFERROR(__xludf.DUMMYFUNCTION("""COMPUTED_VALUE"""),16837.0)</f>
        <v>16837</v>
      </c>
      <c r="L87" s="233">
        <f>IFERROR(__xludf.DUMMYFUNCTION("""COMPUTED_VALUE"""),994.0)</f>
        <v>994</v>
      </c>
      <c r="M87" s="233">
        <f>IFERROR(__xludf.DUMMYFUNCTION("""COMPUTED_VALUE"""),139444.0)</f>
        <v>139444</v>
      </c>
      <c r="N87" s="233">
        <f>IFERROR(__xludf.DUMMYFUNCTION("""COMPUTED_VALUE"""),156281.0)</f>
        <v>156281</v>
      </c>
      <c r="O87" s="233">
        <f>IFERROR(__xludf.DUMMYFUNCTION("""COMPUTED_VALUE"""),1.0)</f>
        <v>1</v>
      </c>
      <c r="P87" s="233">
        <f>IFERROR(__xludf.DUMMYFUNCTION("""COMPUTED_VALUE"""),2043.0)</f>
        <v>2043</v>
      </c>
      <c r="Q87" s="233">
        <f>IFERROR(__xludf.DUMMYFUNCTION("""COMPUTED_VALUE"""),5.0)</f>
        <v>5</v>
      </c>
      <c r="R87" s="233">
        <f>IFERROR(__xludf.DUMMYFUNCTION("""COMPUTED_VALUE"""),1665.0)</f>
        <v>1665</v>
      </c>
      <c r="S87" s="233">
        <f>IFERROR(__xludf.DUMMYFUNCTION("""COMPUTED_VALUE"""),1.0)</f>
        <v>1</v>
      </c>
      <c r="T87" s="233">
        <f>IFERROR(__xludf.DUMMYFUNCTION("""COMPUTED_VALUE"""),305.0)</f>
        <v>305</v>
      </c>
      <c r="U87" s="233">
        <f>IFERROR(__xludf.DUMMYFUNCTION("""COMPUTED_VALUE"""),73.0)</f>
        <v>73</v>
      </c>
      <c r="V87" s="233">
        <f>IFERROR(__xludf.DUMMYFUNCTION("""COMPUTED_VALUE"""),77.0)</f>
        <v>77</v>
      </c>
      <c r="W87" s="233">
        <f>IFERROR(__xludf.DUMMYFUNCTION("""COMPUTED_VALUE"""),12.0)</f>
        <v>12</v>
      </c>
      <c r="X87" s="233">
        <f>IFERROR(__xludf.DUMMYFUNCTION("""COMPUTED_VALUE"""),11.0)</f>
        <v>11</v>
      </c>
      <c r="Y87" s="233">
        <f>IFERROR(__xludf.DUMMYFUNCTION("""COMPUTED_VALUE"""),4.0)</f>
        <v>4</v>
      </c>
      <c r="Z87" s="233">
        <f>IFERROR(__xludf.DUMMYFUNCTION("""COMPUTED_VALUE"""),975.0)</f>
        <v>975</v>
      </c>
    </row>
    <row r="88">
      <c r="A88" s="232">
        <f>IFERROR(__xludf.DUMMYFUNCTION("""COMPUTED_VALUE"""),44013.0)</f>
        <v>44013</v>
      </c>
      <c r="B88" s="233">
        <f>IFERROR(__xludf.DUMMYFUNCTION("""COMPUTED_VALUE"""),144.0)</f>
        <v>144</v>
      </c>
      <c r="C88" s="233">
        <f>IFERROR(__xludf.DUMMYFUNCTION("""COMPUTED_VALUE"""),95.0)</f>
        <v>95</v>
      </c>
      <c r="D88" s="233">
        <f>IFERROR(__xludf.DUMMYFUNCTION("""COMPUTED_VALUE"""),24712.0)</f>
        <v>24712</v>
      </c>
      <c r="E88" s="233">
        <f>IFERROR(__xludf.DUMMYFUNCTION("""COMPUTED_VALUE"""),4098.0)</f>
        <v>4098</v>
      </c>
      <c r="F88" s="171">
        <f>IFERROR(__xludf.DUMMYFUNCTION("""COMPUTED_VALUE"""),237205.0)</f>
        <v>237205</v>
      </c>
      <c r="G88" s="171">
        <f>IFERROR(__xludf.DUMMYFUNCTION("""COMPUTED_VALUE"""),4242.0)</f>
        <v>4242</v>
      </c>
      <c r="H88" s="171">
        <f>IFERROR(__xludf.DUMMYFUNCTION("""COMPUTED_VALUE"""),261917.0)</f>
        <v>261917</v>
      </c>
      <c r="I88" s="233">
        <f>IFERROR(__xludf.DUMMYFUNCTION("""COMPUTED_VALUE"""),79.0)</f>
        <v>79</v>
      </c>
      <c r="J88" s="233">
        <f>IFERROR(__xludf.DUMMYFUNCTION("""COMPUTED_VALUE"""),50.0)</f>
        <v>50</v>
      </c>
      <c r="K88" s="233">
        <f>IFERROR(__xludf.DUMMYFUNCTION("""COMPUTED_VALUE"""),16916.0)</f>
        <v>16916</v>
      </c>
      <c r="L88" s="233">
        <f>IFERROR(__xludf.DUMMYFUNCTION("""COMPUTED_VALUE"""),1925.0)</f>
        <v>1925</v>
      </c>
      <c r="M88" s="233">
        <f>IFERROR(__xludf.DUMMYFUNCTION("""COMPUTED_VALUE"""),141369.0)</f>
        <v>141369</v>
      </c>
      <c r="N88" s="233">
        <f>IFERROR(__xludf.DUMMYFUNCTION("""COMPUTED_VALUE"""),158285.0)</f>
        <v>158285</v>
      </c>
      <c r="O88" s="233">
        <f>IFERROR(__xludf.DUMMYFUNCTION("""COMPUTED_VALUE"""),8.0)</f>
        <v>8</v>
      </c>
      <c r="P88" s="233">
        <f>IFERROR(__xludf.DUMMYFUNCTION("""COMPUTED_VALUE"""),2051.0)</f>
        <v>2051</v>
      </c>
      <c r="Q88" s="233">
        <f>IFERROR(__xludf.DUMMYFUNCTION("""COMPUTED_VALUE"""),10.0)</f>
        <v>10</v>
      </c>
      <c r="R88" s="233">
        <f>IFERROR(__xludf.DUMMYFUNCTION("""COMPUTED_VALUE"""),1675.0)</f>
        <v>1675</v>
      </c>
      <c r="S88" s="233">
        <f>IFERROR(__xludf.DUMMYFUNCTION("""COMPUTED_VALUE"""),0.0)</f>
        <v>0</v>
      </c>
      <c r="T88" s="233">
        <f>IFERROR(__xludf.DUMMYFUNCTION("""COMPUTED_VALUE"""),305.0)</f>
        <v>305</v>
      </c>
      <c r="U88" s="233">
        <f>IFERROR(__xludf.DUMMYFUNCTION("""COMPUTED_VALUE"""),71.0)</f>
        <v>71</v>
      </c>
      <c r="V88" s="233">
        <f>IFERROR(__xludf.DUMMYFUNCTION("""COMPUTED_VALUE"""),74.0)</f>
        <v>74</v>
      </c>
      <c r="W88" s="233">
        <f>IFERROR(__xludf.DUMMYFUNCTION("""COMPUTED_VALUE"""),11.0)</f>
        <v>11</v>
      </c>
      <c r="X88" s="233">
        <f>IFERROR(__xludf.DUMMYFUNCTION("""COMPUTED_VALUE"""),11.0)</f>
        <v>11</v>
      </c>
      <c r="Y88" s="233">
        <f>IFERROR(__xludf.DUMMYFUNCTION("""COMPUTED_VALUE"""),1.0)</f>
        <v>1</v>
      </c>
      <c r="Z88" s="233">
        <f>IFERROR(__xludf.DUMMYFUNCTION("""COMPUTED_VALUE"""),976.0)</f>
        <v>976</v>
      </c>
    </row>
    <row r="89">
      <c r="A89" s="232">
        <f>IFERROR(__xludf.DUMMYFUNCTION("""COMPUTED_VALUE"""),44014.0)</f>
        <v>44014</v>
      </c>
      <c r="B89" s="233">
        <f>IFERROR(__xludf.DUMMYFUNCTION("""COMPUTED_VALUE"""),103.0)</f>
        <v>103</v>
      </c>
      <c r="C89" s="233">
        <f>IFERROR(__xludf.DUMMYFUNCTION("""COMPUTED_VALUE"""),101.0)</f>
        <v>101</v>
      </c>
      <c r="D89" s="233">
        <f>IFERROR(__xludf.DUMMYFUNCTION("""COMPUTED_VALUE"""),24815.0)</f>
        <v>24815</v>
      </c>
      <c r="E89" s="233">
        <f>IFERROR(__xludf.DUMMYFUNCTION("""COMPUTED_VALUE"""),2803.0)</f>
        <v>2803</v>
      </c>
      <c r="F89" s="171">
        <f>IFERROR(__xludf.DUMMYFUNCTION("""COMPUTED_VALUE"""),240008.0)</f>
        <v>240008</v>
      </c>
      <c r="G89" s="171">
        <f>IFERROR(__xludf.DUMMYFUNCTION("""COMPUTED_VALUE"""),2906.0)</f>
        <v>2906</v>
      </c>
      <c r="H89" s="171">
        <f>IFERROR(__xludf.DUMMYFUNCTION("""COMPUTED_VALUE"""),264823.0)</f>
        <v>264823</v>
      </c>
      <c r="I89" s="233">
        <f>IFERROR(__xludf.DUMMYFUNCTION("""COMPUTED_VALUE"""),59.0)</f>
        <v>59</v>
      </c>
      <c r="J89" s="233">
        <f>IFERROR(__xludf.DUMMYFUNCTION("""COMPUTED_VALUE"""),57.0)</f>
        <v>57</v>
      </c>
      <c r="K89" s="233">
        <f>IFERROR(__xludf.DUMMYFUNCTION("""COMPUTED_VALUE"""),16975.0)</f>
        <v>16975</v>
      </c>
      <c r="L89" s="233">
        <f>IFERROR(__xludf.DUMMYFUNCTION("""COMPUTED_VALUE"""),1084.0)</f>
        <v>1084</v>
      </c>
      <c r="M89" s="233">
        <f>IFERROR(__xludf.DUMMYFUNCTION("""COMPUTED_VALUE"""),142453.0)</f>
        <v>142453</v>
      </c>
      <c r="N89" s="233">
        <f>IFERROR(__xludf.DUMMYFUNCTION("""COMPUTED_VALUE"""),159428.0)</f>
        <v>159428</v>
      </c>
      <c r="O89" s="233">
        <f>IFERROR(__xludf.DUMMYFUNCTION("""COMPUTED_VALUE"""),5.0)</f>
        <v>5</v>
      </c>
      <c r="P89" s="233">
        <f>IFERROR(__xludf.DUMMYFUNCTION("""COMPUTED_VALUE"""),2056.0)</f>
        <v>2056</v>
      </c>
      <c r="Q89" s="233">
        <f>IFERROR(__xludf.DUMMYFUNCTION("""COMPUTED_VALUE"""),5.0)</f>
        <v>5</v>
      </c>
      <c r="R89" s="233">
        <f>IFERROR(__xludf.DUMMYFUNCTION("""COMPUTED_VALUE"""),1680.0)</f>
        <v>1680</v>
      </c>
      <c r="S89" s="233">
        <f>IFERROR(__xludf.DUMMYFUNCTION("""COMPUTED_VALUE"""),1.0)</f>
        <v>1</v>
      </c>
      <c r="T89" s="233">
        <f>IFERROR(__xludf.DUMMYFUNCTION("""COMPUTED_VALUE"""),306.0)</f>
        <v>306</v>
      </c>
      <c r="U89" s="233">
        <f>IFERROR(__xludf.DUMMYFUNCTION("""COMPUTED_VALUE"""),70.0)</f>
        <v>70</v>
      </c>
      <c r="V89" s="233">
        <f>IFERROR(__xludf.DUMMYFUNCTION("""COMPUTED_VALUE"""),71.0)</f>
        <v>71</v>
      </c>
      <c r="W89" s="233">
        <f>IFERROR(__xludf.DUMMYFUNCTION("""COMPUTED_VALUE"""),10.0)</f>
        <v>10</v>
      </c>
      <c r="X89" s="233">
        <f>IFERROR(__xludf.DUMMYFUNCTION("""COMPUTED_VALUE"""),10.0)</f>
        <v>10</v>
      </c>
      <c r="Y89" s="233">
        <f>IFERROR(__xludf.DUMMYFUNCTION("""COMPUTED_VALUE"""),3.0)</f>
        <v>3</v>
      </c>
      <c r="Z89" s="233">
        <f>IFERROR(__xludf.DUMMYFUNCTION("""COMPUTED_VALUE"""),979.0)</f>
        <v>979</v>
      </c>
    </row>
    <row r="90">
      <c r="A90" s="232">
        <f>IFERROR(__xludf.DUMMYFUNCTION("""COMPUTED_VALUE"""),44015.0)</f>
        <v>44015</v>
      </c>
      <c r="B90" s="233">
        <f>IFERROR(__xludf.DUMMYFUNCTION("""COMPUTED_VALUE"""),50.0)</f>
        <v>50</v>
      </c>
      <c r="C90" s="233">
        <f>IFERROR(__xludf.DUMMYFUNCTION("""COMPUTED_VALUE"""),99.0)</f>
        <v>99</v>
      </c>
      <c r="D90" s="233">
        <f>IFERROR(__xludf.DUMMYFUNCTION("""COMPUTED_VALUE"""),24865.0)</f>
        <v>24865</v>
      </c>
      <c r="E90" s="233">
        <f>IFERROR(__xludf.DUMMYFUNCTION("""COMPUTED_VALUE"""),2078.0)</f>
        <v>2078</v>
      </c>
      <c r="F90" s="171">
        <f>IFERROR(__xludf.DUMMYFUNCTION("""COMPUTED_VALUE"""),242086.0)</f>
        <v>242086</v>
      </c>
      <c r="G90" s="171">
        <f>IFERROR(__xludf.DUMMYFUNCTION("""COMPUTED_VALUE"""),2128.0)</f>
        <v>2128</v>
      </c>
      <c r="H90" s="171">
        <f>IFERROR(__xludf.DUMMYFUNCTION("""COMPUTED_VALUE"""),266951.0)</f>
        <v>266951</v>
      </c>
      <c r="I90" s="233">
        <f>IFERROR(__xludf.DUMMYFUNCTION("""COMPUTED_VALUE"""),25.0)</f>
        <v>25</v>
      </c>
      <c r="J90" s="233">
        <f>IFERROR(__xludf.DUMMYFUNCTION("""COMPUTED_VALUE"""),54.0)</f>
        <v>54</v>
      </c>
      <c r="K90" s="233">
        <f>IFERROR(__xludf.DUMMYFUNCTION("""COMPUTED_VALUE"""),17000.0)</f>
        <v>17000</v>
      </c>
      <c r="L90" s="233">
        <f>IFERROR(__xludf.DUMMYFUNCTION("""COMPUTED_VALUE"""),779.0)</f>
        <v>779</v>
      </c>
      <c r="M90" s="233">
        <f>IFERROR(__xludf.DUMMYFUNCTION("""COMPUTED_VALUE"""),143232.0)</f>
        <v>143232</v>
      </c>
      <c r="N90" s="233">
        <f>IFERROR(__xludf.DUMMYFUNCTION("""COMPUTED_VALUE"""),160232.0)</f>
        <v>160232</v>
      </c>
      <c r="O90" s="233">
        <f>IFERROR(__xludf.DUMMYFUNCTION("""COMPUTED_VALUE"""),9.0)</f>
        <v>9</v>
      </c>
      <c r="P90" s="233">
        <f>IFERROR(__xludf.DUMMYFUNCTION("""COMPUTED_VALUE"""),2065.0)</f>
        <v>2065</v>
      </c>
      <c r="Q90" s="233">
        <f>IFERROR(__xludf.DUMMYFUNCTION("""COMPUTED_VALUE"""),6.0)</f>
        <v>6</v>
      </c>
      <c r="R90" s="233">
        <f>IFERROR(__xludf.DUMMYFUNCTION("""COMPUTED_VALUE"""),1686.0)</f>
        <v>1686</v>
      </c>
      <c r="S90" s="233">
        <f>IFERROR(__xludf.DUMMYFUNCTION("""COMPUTED_VALUE"""),0.0)</f>
        <v>0</v>
      </c>
      <c r="T90" s="233">
        <f>IFERROR(__xludf.DUMMYFUNCTION("""COMPUTED_VALUE"""),306.0)</f>
        <v>306</v>
      </c>
      <c r="U90" s="233">
        <f>IFERROR(__xludf.DUMMYFUNCTION("""COMPUTED_VALUE"""),73.0)</f>
        <v>73</v>
      </c>
      <c r="V90" s="233">
        <f>IFERROR(__xludf.DUMMYFUNCTION("""COMPUTED_VALUE"""),71.0)</f>
        <v>71</v>
      </c>
      <c r="W90" s="233">
        <f>IFERROR(__xludf.DUMMYFUNCTION("""COMPUTED_VALUE"""),9.0)</f>
        <v>9</v>
      </c>
      <c r="X90" s="233">
        <f>IFERROR(__xludf.DUMMYFUNCTION("""COMPUTED_VALUE"""),9.0)</f>
        <v>9</v>
      </c>
      <c r="Y90" s="233">
        <f>IFERROR(__xludf.DUMMYFUNCTION("""COMPUTED_VALUE"""),3.0)</f>
        <v>3</v>
      </c>
      <c r="Z90" s="233">
        <f>IFERROR(__xludf.DUMMYFUNCTION("""COMPUTED_VALUE"""),982.0)</f>
        <v>982</v>
      </c>
    </row>
    <row r="91">
      <c r="A91" s="232">
        <f>IFERROR(__xludf.DUMMYFUNCTION("""COMPUTED_VALUE"""),44016.0)</f>
        <v>44016</v>
      </c>
      <c r="B91" s="233">
        <f>IFERROR(__xludf.DUMMYFUNCTION("""COMPUTED_VALUE"""),57.0)</f>
        <v>57</v>
      </c>
      <c r="C91" s="233">
        <f>IFERROR(__xludf.DUMMYFUNCTION("""COMPUTED_VALUE"""),70.0)</f>
        <v>70</v>
      </c>
      <c r="D91" s="233">
        <f>IFERROR(__xludf.DUMMYFUNCTION("""COMPUTED_VALUE"""),24922.0)</f>
        <v>24922</v>
      </c>
      <c r="E91" s="233">
        <f>IFERROR(__xludf.DUMMYFUNCTION("""COMPUTED_VALUE"""),2345.0)</f>
        <v>2345</v>
      </c>
      <c r="F91" s="171">
        <f>IFERROR(__xludf.DUMMYFUNCTION("""COMPUTED_VALUE"""),244431.0)</f>
        <v>244431</v>
      </c>
      <c r="G91" s="171">
        <f>IFERROR(__xludf.DUMMYFUNCTION("""COMPUTED_VALUE"""),2402.0)</f>
        <v>2402</v>
      </c>
      <c r="H91" s="171">
        <f>IFERROR(__xludf.DUMMYFUNCTION("""COMPUTED_VALUE"""),269353.0)</f>
        <v>269353</v>
      </c>
      <c r="I91" s="233">
        <f>IFERROR(__xludf.DUMMYFUNCTION("""COMPUTED_VALUE"""),33.0)</f>
        <v>33</v>
      </c>
      <c r="J91" s="233">
        <f>IFERROR(__xludf.DUMMYFUNCTION("""COMPUTED_VALUE"""),39.0)</f>
        <v>39</v>
      </c>
      <c r="K91" s="233">
        <f>IFERROR(__xludf.DUMMYFUNCTION("""COMPUTED_VALUE"""),17033.0)</f>
        <v>17033</v>
      </c>
      <c r="L91" s="233">
        <f>IFERROR(__xludf.DUMMYFUNCTION("""COMPUTED_VALUE"""),1006.0)</f>
        <v>1006</v>
      </c>
      <c r="M91" s="233">
        <f>IFERROR(__xludf.DUMMYFUNCTION("""COMPUTED_VALUE"""),144238.0)</f>
        <v>144238</v>
      </c>
      <c r="N91" s="233">
        <f>IFERROR(__xludf.DUMMYFUNCTION("""COMPUTED_VALUE"""),161271.0)</f>
        <v>161271</v>
      </c>
      <c r="O91" s="233">
        <f>IFERROR(__xludf.DUMMYFUNCTION("""COMPUTED_VALUE"""),2.0)</f>
        <v>2</v>
      </c>
      <c r="P91" s="233">
        <f>IFERROR(__xludf.DUMMYFUNCTION("""COMPUTED_VALUE"""),2067.0)</f>
        <v>2067</v>
      </c>
      <c r="Q91" s="233">
        <f>IFERROR(__xludf.DUMMYFUNCTION("""COMPUTED_VALUE"""),4.0)</f>
        <v>4</v>
      </c>
      <c r="R91" s="233">
        <f>IFERROR(__xludf.DUMMYFUNCTION("""COMPUTED_VALUE"""),1690.0)</f>
        <v>1690</v>
      </c>
      <c r="S91" s="233">
        <f>IFERROR(__xludf.DUMMYFUNCTION("""COMPUTED_VALUE"""),1.0)</f>
        <v>1</v>
      </c>
      <c r="T91" s="233">
        <f>IFERROR(__xludf.DUMMYFUNCTION("""COMPUTED_VALUE"""),307.0)</f>
        <v>307</v>
      </c>
      <c r="U91" s="233">
        <f>IFERROR(__xludf.DUMMYFUNCTION("""COMPUTED_VALUE"""),70.0)</f>
        <v>70</v>
      </c>
      <c r="V91" s="233">
        <f>IFERROR(__xludf.DUMMYFUNCTION("""COMPUTED_VALUE"""),71.0)</f>
        <v>71</v>
      </c>
      <c r="W91" s="233">
        <f>IFERROR(__xludf.DUMMYFUNCTION("""COMPUTED_VALUE"""),10.0)</f>
        <v>10</v>
      </c>
      <c r="X91" s="233">
        <f>IFERROR(__xludf.DUMMYFUNCTION("""COMPUTED_VALUE"""),9.0)</f>
        <v>9</v>
      </c>
      <c r="Y91" s="233">
        <f>IFERROR(__xludf.DUMMYFUNCTION("""COMPUTED_VALUE"""),2.0)</f>
        <v>2</v>
      </c>
      <c r="Z91" s="233">
        <f>IFERROR(__xludf.DUMMYFUNCTION("""COMPUTED_VALUE"""),984.0)</f>
        <v>984</v>
      </c>
    </row>
    <row r="92">
      <c r="A92" s="232">
        <f>IFERROR(__xludf.DUMMYFUNCTION("""COMPUTED_VALUE"""),44017.0)</f>
        <v>44017</v>
      </c>
      <c r="B92" s="233">
        <f>IFERROR(__xludf.DUMMYFUNCTION("""COMPUTED_VALUE"""),49.0)</f>
        <v>49</v>
      </c>
      <c r="C92" s="233">
        <f>IFERROR(__xludf.DUMMYFUNCTION("""COMPUTED_VALUE"""),52.0)</f>
        <v>52</v>
      </c>
      <c r="D92" s="233">
        <f>IFERROR(__xludf.DUMMYFUNCTION("""COMPUTED_VALUE"""),24971.0)</f>
        <v>24971</v>
      </c>
      <c r="E92" s="233">
        <f>IFERROR(__xludf.DUMMYFUNCTION("""COMPUTED_VALUE"""),2932.0)</f>
        <v>2932</v>
      </c>
      <c r="F92" s="171">
        <f>IFERROR(__xludf.DUMMYFUNCTION("""COMPUTED_VALUE"""),247363.0)</f>
        <v>247363</v>
      </c>
      <c r="G92" s="171">
        <f>IFERROR(__xludf.DUMMYFUNCTION("""COMPUTED_VALUE"""),2981.0)</f>
        <v>2981</v>
      </c>
      <c r="H92" s="171">
        <f>IFERROR(__xludf.DUMMYFUNCTION("""COMPUTED_VALUE"""),272334.0)</f>
        <v>272334</v>
      </c>
      <c r="I92" s="233">
        <f>IFERROR(__xludf.DUMMYFUNCTION("""COMPUTED_VALUE"""),26.0)</f>
        <v>26</v>
      </c>
      <c r="J92" s="233">
        <f>IFERROR(__xludf.DUMMYFUNCTION("""COMPUTED_VALUE"""),28.0)</f>
        <v>28</v>
      </c>
      <c r="K92" s="233">
        <f>IFERROR(__xludf.DUMMYFUNCTION("""COMPUTED_VALUE"""),17059.0)</f>
        <v>17059</v>
      </c>
      <c r="L92" s="233">
        <f>IFERROR(__xludf.DUMMYFUNCTION("""COMPUTED_VALUE"""),1437.0)</f>
        <v>1437</v>
      </c>
      <c r="M92" s="233">
        <f>IFERROR(__xludf.DUMMYFUNCTION("""COMPUTED_VALUE"""),145675.0)</f>
        <v>145675</v>
      </c>
      <c r="N92" s="233">
        <f>IFERROR(__xludf.DUMMYFUNCTION("""COMPUTED_VALUE"""),162734.0)</f>
        <v>162734</v>
      </c>
      <c r="O92" s="233">
        <f>IFERROR(__xludf.DUMMYFUNCTION("""COMPUTED_VALUE"""),1.0)</f>
        <v>1</v>
      </c>
      <c r="P92" s="233">
        <f>IFERROR(__xludf.DUMMYFUNCTION("""COMPUTED_VALUE"""),2068.0)</f>
        <v>2068</v>
      </c>
      <c r="Q92" s="233">
        <f>IFERROR(__xludf.DUMMYFUNCTION("""COMPUTED_VALUE"""),2.0)</f>
        <v>2</v>
      </c>
      <c r="R92" s="233">
        <f>IFERROR(__xludf.DUMMYFUNCTION("""COMPUTED_VALUE"""),1692.0)</f>
        <v>1692</v>
      </c>
      <c r="S92" s="233">
        <f>IFERROR(__xludf.DUMMYFUNCTION("""COMPUTED_VALUE"""),1.0)</f>
        <v>1</v>
      </c>
      <c r="T92" s="233">
        <f>IFERROR(__xludf.DUMMYFUNCTION("""COMPUTED_VALUE"""),308.0)</f>
        <v>308</v>
      </c>
      <c r="U92" s="233">
        <f>IFERROR(__xludf.DUMMYFUNCTION("""COMPUTED_VALUE"""),68.0)</f>
        <v>68</v>
      </c>
      <c r="V92" s="233">
        <f>IFERROR(__xludf.DUMMYFUNCTION("""COMPUTED_VALUE"""),70.0)</f>
        <v>70</v>
      </c>
      <c r="W92" s="233">
        <f>IFERROR(__xludf.DUMMYFUNCTION("""COMPUTED_VALUE"""),8.0)</f>
        <v>8</v>
      </c>
      <c r="X92" s="233">
        <f>IFERROR(__xludf.DUMMYFUNCTION("""COMPUTED_VALUE"""),8.0)</f>
        <v>8</v>
      </c>
      <c r="Y92" s="233">
        <f>IFERROR(__xludf.DUMMYFUNCTION("""COMPUTED_VALUE"""),2.0)</f>
        <v>2</v>
      </c>
      <c r="Z92" s="233">
        <f>IFERROR(__xludf.DUMMYFUNCTION("""COMPUTED_VALUE"""),986.0)</f>
        <v>986</v>
      </c>
    </row>
    <row r="93">
      <c r="A93" s="232">
        <f>IFERROR(__xludf.DUMMYFUNCTION("""COMPUTED_VALUE"""),44018.0)</f>
        <v>44018</v>
      </c>
      <c r="B93" s="233">
        <f>IFERROR(__xludf.DUMMYFUNCTION("""COMPUTED_VALUE"""),101.0)</f>
        <v>101</v>
      </c>
      <c r="C93" s="233">
        <f>IFERROR(__xludf.DUMMYFUNCTION("""COMPUTED_VALUE"""),69.0)</f>
        <v>69</v>
      </c>
      <c r="D93" s="233">
        <f>IFERROR(__xludf.DUMMYFUNCTION("""COMPUTED_VALUE"""),25072.0)</f>
        <v>25072</v>
      </c>
      <c r="E93" s="233">
        <f>IFERROR(__xludf.DUMMYFUNCTION("""COMPUTED_VALUE"""),2811.0)</f>
        <v>2811</v>
      </c>
      <c r="F93" s="171">
        <f>IFERROR(__xludf.DUMMYFUNCTION("""COMPUTED_VALUE"""),250174.0)</f>
        <v>250174</v>
      </c>
      <c r="G93" s="171">
        <f>IFERROR(__xludf.DUMMYFUNCTION("""COMPUTED_VALUE"""),2912.0)</f>
        <v>2912</v>
      </c>
      <c r="H93" s="171">
        <f>IFERROR(__xludf.DUMMYFUNCTION("""COMPUTED_VALUE"""),275246.0)</f>
        <v>275246</v>
      </c>
      <c r="I93" s="233">
        <f>IFERROR(__xludf.DUMMYFUNCTION("""COMPUTED_VALUE"""),57.0)</f>
        <v>57</v>
      </c>
      <c r="J93" s="233">
        <f>IFERROR(__xludf.DUMMYFUNCTION("""COMPUTED_VALUE"""),39.0)</f>
        <v>39</v>
      </c>
      <c r="K93" s="233">
        <f>IFERROR(__xludf.DUMMYFUNCTION("""COMPUTED_VALUE"""),17116.0)</f>
        <v>17116</v>
      </c>
      <c r="L93" s="233">
        <f>IFERROR(__xludf.DUMMYFUNCTION("""COMPUTED_VALUE"""),1547.0)</f>
        <v>1547</v>
      </c>
      <c r="M93" s="233">
        <f>IFERROR(__xludf.DUMMYFUNCTION("""COMPUTED_VALUE"""),147222.0)</f>
        <v>147222</v>
      </c>
      <c r="N93" s="233">
        <f>IFERROR(__xludf.DUMMYFUNCTION("""COMPUTED_VALUE"""),164338.0)</f>
        <v>164338</v>
      </c>
      <c r="O93" s="233">
        <f>IFERROR(__xludf.DUMMYFUNCTION("""COMPUTED_VALUE"""),6.0)</f>
        <v>6</v>
      </c>
      <c r="P93" s="233">
        <f>IFERROR(__xludf.DUMMYFUNCTION("""COMPUTED_VALUE"""),2074.0)</f>
        <v>2074</v>
      </c>
      <c r="Q93" s="233">
        <f>IFERROR(__xludf.DUMMYFUNCTION("""COMPUTED_VALUE"""),6.0)</f>
        <v>6</v>
      </c>
      <c r="R93" s="233">
        <f>IFERROR(__xludf.DUMMYFUNCTION("""COMPUTED_VALUE"""),1698.0)</f>
        <v>1698</v>
      </c>
      <c r="S93" s="233">
        <f>IFERROR(__xludf.DUMMYFUNCTION("""COMPUTED_VALUE"""),0.0)</f>
        <v>0</v>
      </c>
      <c r="T93" s="233">
        <f>IFERROR(__xludf.DUMMYFUNCTION("""COMPUTED_VALUE"""),308.0)</f>
        <v>308</v>
      </c>
      <c r="U93" s="233">
        <f>IFERROR(__xludf.DUMMYFUNCTION("""COMPUTED_VALUE"""),68.0)</f>
        <v>68</v>
      </c>
      <c r="V93" s="233">
        <f>IFERROR(__xludf.DUMMYFUNCTION("""COMPUTED_VALUE"""),69.0)</f>
        <v>69</v>
      </c>
      <c r="W93" s="233">
        <f>IFERROR(__xludf.DUMMYFUNCTION("""COMPUTED_VALUE"""),9.0)</f>
        <v>9</v>
      </c>
      <c r="X93" s="233">
        <f>IFERROR(__xludf.DUMMYFUNCTION("""COMPUTED_VALUE"""),9.0)</f>
        <v>9</v>
      </c>
      <c r="Y93" s="233">
        <f>IFERROR(__xludf.DUMMYFUNCTION("""COMPUTED_VALUE"""),4.0)</f>
        <v>4</v>
      </c>
      <c r="Z93" s="233">
        <f>IFERROR(__xludf.DUMMYFUNCTION("""COMPUTED_VALUE"""),990.0)</f>
        <v>990</v>
      </c>
    </row>
    <row r="94">
      <c r="A94" s="232">
        <f>IFERROR(__xludf.DUMMYFUNCTION("""COMPUTED_VALUE"""),44019.0)</f>
        <v>44019</v>
      </c>
      <c r="B94" s="233">
        <f>IFERROR(__xludf.DUMMYFUNCTION("""COMPUTED_VALUE"""),81.0)</f>
        <v>81</v>
      </c>
      <c r="C94" s="233">
        <f>IFERROR(__xludf.DUMMYFUNCTION("""COMPUTED_VALUE"""),77.0)</f>
        <v>77</v>
      </c>
      <c r="D94" s="233">
        <f>IFERROR(__xludf.DUMMYFUNCTION("""COMPUTED_VALUE"""),25153.0)</f>
        <v>25153</v>
      </c>
      <c r="E94" s="233">
        <f>IFERROR(__xludf.DUMMYFUNCTION("""COMPUTED_VALUE"""),3457.0)</f>
        <v>3457</v>
      </c>
      <c r="F94" s="171">
        <f>IFERROR(__xludf.DUMMYFUNCTION("""COMPUTED_VALUE"""),253631.0)</f>
        <v>253631</v>
      </c>
      <c r="G94" s="171">
        <f>IFERROR(__xludf.DUMMYFUNCTION("""COMPUTED_VALUE"""),3538.0)</f>
        <v>3538</v>
      </c>
      <c r="H94" s="171">
        <f>IFERROR(__xludf.DUMMYFUNCTION("""COMPUTED_VALUE"""),278784.0)</f>
        <v>278784</v>
      </c>
      <c r="I94" s="233">
        <f>IFERROR(__xludf.DUMMYFUNCTION("""COMPUTED_VALUE"""),47.0)</f>
        <v>47</v>
      </c>
      <c r="J94" s="233">
        <f>IFERROR(__xludf.DUMMYFUNCTION("""COMPUTED_VALUE"""),43.0)</f>
        <v>43</v>
      </c>
      <c r="K94" s="233">
        <f>IFERROR(__xludf.DUMMYFUNCTION("""COMPUTED_VALUE"""),17163.0)</f>
        <v>17163</v>
      </c>
      <c r="L94" s="233">
        <f>IFERROR(__xludf.DUMMYFUNCTION("""COMPUTED_VALUE"""),1534.0)</f>
        <v>1534</v>
      </c>
      <c r="M94" s="233">
        <f>IFERROR(__xludf.DUMMYFUNCTION("""COMPUTED_VALUE"""),148756.0)</f>
        <v>148756</v>
      </c>
      <c r="N94" s="233">
        <f>IFERROR(__xludf.DUMMYFUNCTION("""COMPUTED_VALUE"""),165919.0)</f>
        <v>165919</v>
      </c>
      <c r="O94" s="233">
        <f>IFERROR(__xludf.DUMMYFUNCTION("""COMPUTED_VALUE"""),5.0)</f>
        <v>5</v>
      </c>
      <c r="P94" s="233">
        <f>IFERROR(__xludf.DUMMYFUNCTION("""COMPUTED_VALUE"""),2079.0)</f>
        <v>2079</v>
      </c>
      <c r="Q94" s="233">
        <f>IFERROR(__xludf.DUMMYFUNCTION("""COMPUTED_VALUE"""),7.0)</f>
        <v>7</v>
      </c>
      <c r="R94" s="233">
        <f>IFERROR(__xludf.DUMMYFUNCTION("""COMPUTED_VALUE"""),1705.0)</f>
        <v>1705</v>
      </c>
      <c r="S94" s="233">
        <f>IFERROR(__xludf.DUMMYFUNCTION("""COMPUTED_VALUE"""),0.0)</f>
        <v>0</v>
      </c>
      <c r="T94" s="233">
        <f>IFERROR(__xludf.DUMMYFUNCTION("""COMPUTED_VALUE"""),308.0)</f>
        <v>308</v>
      </c>
      <c r="U94" s="233">
        <f>IFERROR(__xludf.DUMMYFUNCTION("""COMPUTED_VALUE"""),66.0)</f>
        <v>66</v>
      </c>
      <c r="V94" s="233">
        <f>IFERROR(__xludf.DUMMYFUNCTION("""COMPUTED_VALUE"""),67.0)</f>
        <v>67</v>
      </c>
      <c r="W94" s="233">
        <f>IFERROR(__xludf.DUMMYFUNCTION("""COMPUTED_VALUE"""),8.0)</f>
        <v>8</v>
      </c>
      <c r="X94" s="233">
        <f>IFERROR(__xludf.DUMMYFUNCTION("""COMPUTED_VALUE"""),8.0)</f>
        <v>8</v>
      </c>
      <c r="Y94" s="233">
        <f>IFERROR(__xludf.DUMMYFUNCTION("""COMPUTED_VALUE"""),2.0)</f>
        <v>2</v>
      </c>
      <c r="Z94" s="233">
        <f>IFERROR(__xludf.DUMMYFUNCTION("""COMPUTED_VALUE"""),992.0)</f>
        <v>992</v>
      </c>
    </row>
    <row r="95">
      <c r="A95" s="232">
        <f>IFERROR(__xludf.DUMMYFUNCTION("""COMPUTED_VALUE"""),44020.0)</f>
        <v>44020</v>
      </c>
      <c r="B95" s="233">
        <f>IFERROR(__xludf.DUMMYFUNCTION("""COMPUTED_VALUE"""),105.0)</f>
        <v>105</v>
      </c>
      <c r="C95" s="233">
        <f>IFERROR(__xludf.DUMMYFUNCTION("""COMPUTED_VALUE"""),96.0)</f>
        <v>96</v>
      </c>
      <c r="D95" s="233">
        <f>IFERROR(__xludf.DUMMYFUNCTION("""COMPUTED_VALUE"""),25258.0)</f>
        <v>25258</v>
      </c>
      <c r="E95" s="233">
        <f>IFERROR(__xludf.DUMMYFUNCTION("""COMPUTED_VALUE"""),3409.0)</f>
        <v>3409</v>
      </c>
      <c r="F95" s="171">
        <f>IFERROR(__xludf.DUMMYFUNCTION("""COMPUTED_VALUE"""),257040.0)</f>
        <v>257040</v>
      </c>
      <c r="G95" s="171">
        <f>IFERROR(__xludf.DUMMYFUNCTION("""COMPUTED_VALUE"""),3514.0)</f>
        <v>3514</v>
      </c>
      <c r="H95" s="171">
        <f>IFERROR(__xludf.DUMMYFUNCTION("""COMPUTED_VALUE"""),282298.0)</f>
        <v>282298</v>
      </c>
      <c r="I95" s="233">
        <f>IFERROR(__xludf.DUMMYFUNCTION("""COMPUTED_VALUE"""),64.0)</f>
        <v>64</v>
      </c>
      <c r="J95" s="233">
        <f>IFERROR(__xludf.DUMMYFUNCTION("""COMPUTED_VALUE"""),56.0)</f>
        <v>56</v>
      </c>
      <c r="K95" s="233">
        <f>IFERROR(__xludf.DUMMYFUNCTION("""COMPUTED_VALUE"""),17227.0)</f>
        <v>17227</v>
      </c>
      <c r="L95" s="233">
        <f>IFERROR(__xludf.DUMMYFUNCTION("""COMPUTED_VALUE"""),1427.0)</f>
        <v>1427</v>
      </c>
      <c r="M95" s="233">
        <f>IFERROR(__xludf.DUMMYFUNCTION("""COMPUTED_VALUE"""),150183.0)</f>
        <v>150183</v>
      </c>
      <c r="N95" s="233">
        <f>IFERROR(__xludf.DUMMYFUNCTION("""COMPUTED_VALUE"""),167410.0)</f>
        <v>167410</v>
      </c>
      <c r="O95" s="233">
        <f>IFERROR(__xludf.DUMMYFUNCTION("""COMPUTED_VALUE"""),4.0)</f>
        <v>4</v>
      </c>
      <c r="P95" s="233">
        <f>IFERROR(__xludf.DUMMYFUNCTION("""COMPUTED_VALUE"""),2083.0)</f>
        <v>2083</v>
      </c>
      <c r="Q95" s="233">
        <f>IFERROR(__xludf.DUMMYFUNCTION("""COMPUTED_VALUE"""),2.0)</f>
        <v>2</v>
      </c>
      <c r="R95" s="233">
        <f>IFERROR(__xludf.DUMMYFUNCTION("""COMPUTED_VALUE"""),1707.0)</f>
        <v>1707</v>
      </c>
      <c r="S95" s="233">
        <f>IFERROR(__xludf.DUMMYFUNCTION("""COMPUTED_VALUE"""),0.0)</f>
        <v>0</v>
      </c>
      <c r="T95" s="233">
        <f>IFERROR(__xludf.DUMMYFUNCTION("""COMPUTED_VALUE"""),308.0)</f>
        <v>308</v>
      </c>
      <c r="U95" s="233">
        <f>IFERROR(__xludf.DUMMYFUNCTION("""COMPUTED_VALUE"""),68.0)</f>
        <v>68</v>
      </c>
      <c r="V95" s="233">
        <f>IFERROR(__xludf.DUMMYFUNCTION("""COMPUTED_VALUE"""),67.0)</f>
        <v>67</v>
      </c>
      <c r="W95" s="233">
        <f>IFERROR(__xludf.DUMMYFUNCTION("""COMPUTED_VALUE"""),9.0)</f>
        <v>9</v>
      </c>
      <c r="X95" s="233">
        <f>IFERROR(__xludf.DUMMYFUNCTION("""COMPUTED_VALUE"""),8.0)</f>
        <v>8</v>
      </c>
      <c r="Y95" s="233">
        <f>IFERROR(__xludf.DUMMYFUNCTION("""COMPUTED_VALUE"""),0.0)</f>
        <v>0</v>
      </c>
      <c r="Z95" s="233">
        <f>IFERROR(__xludf.DUMMYFUNCTION("""COMPUTED_VALUE"""),992.0)</f>
        <v>992</v>
      </c>
    </row>
    <row r="96">
      <c r="A96" s="232">
        <f>IFERROR(__xludf.DUMMYFUNCTION("""COMPUTED_VALUE"""),44021.0)</f>
        <v>44021</v>
      </c>
      <c r="B96" s="233">
        <f>IFERROR(__xludf.DUMMYFUNCTION("""COMPUTED_VALUE"""),94.0)</f>
        <v>94</v>
      </c>
      <c r="C96" s="233">
        <f>IFERROR(__xludf.DUMMYFUNCTION("""COMPUTED_VALUE"""),93.0)</f>
        <v>93</v>
      </c>
      <c r="D96" s="233">
        <f>IFERROR(__xludf.DUMMYFUNCTION("""COMPUTED_VALUE"""),25352.0)</f>
        <v>25352</v>
      </c>
      <c r="E96" s="233">
        <f>IFERROR(__xludf.DUMMYFUNCTION("""COMPUTED_VALUE"""),3714.0)</f>
        <v>3714</v>
      </c>
      <c r="F96" s="171">
        <f>IFERROR(__xludf.DUMMYFUNCTION("""COMPUTED_VALUE"""),260754.0)</f>
        <v>260754</v>
      </c>
      <c r="G96" s="171">
        <f>IFERROR(__xludf.DUMMYFUNCTION("""COMPUTED_VALUE"""),3808.0)</f>
        <v>3808</v>
      </c>
      <c r="H96" s="171">
        <f>IFERROR(__xludf.DUMMYFUNCTION("""COMPUTED_VALUE"""),286106.0)</f>
        <v>286106</v>
      </c>
      <c r="I96" s="233">
        <f>IFERROR(__xludf.DUMMYFUNCTION("""COMPUTED_VALUE"""),50.0)</f>
        <v>50</v>
      </c>
      <c r="J96" s="233">
        <f>IFERROR(__xludf.DUMMYFUNCTION("""COMPUTED_VALUE"""),54.0)</f>
        <v>54</v>
      </c>
      <c r="K96" s="233">
        <f>IFERROR(__xludf.DUMMYFUNCTION("""COMPUTED_VALUE"""),17277.0)</f>
        <v>17277</v>
      </c>
      <c r="L96" s="233">
        <f>IFERROR(__xludf.DUMMYFUNCTION("""COMPUTED_VALUE"""),1620.0)</f>
        <v>1620</v>
      </c>
      <c r="M96" s="233">
        <f>IFERROR(__xludf.DUMMYFUNCTION("""COMPUTED_VALUE"""),151803.0)</f>
        <v>151803</v>
      </c>
      <c r="N96" s="233">
        <f>IFERROR(__xludf.DUMMYFUNCTION("""COMPUTED_VALUE"""),169080.0)</f>
        <v>169080</v>
      </c>
      <c r="O96" s="233">
        <f>IFERROR(__xludf.DUMMYFUNCTION("""COMPUTED_VALUE"""),9.0)</f>
        <v>9</v>
      </c>
      <c r="P96" s="233">
        <f>IFERROR(__xludf.DUMMYFUNCTION("""COMPUTED_VALUE"""),2092.0)</f>
        <v>2092</v>
      </c>
      <c r="Q96" s="233">
        <f>IFERROR(__xludf.DUMMYFUNCTION("""COMPUTED_VALUE"""),3.0)</f>
        <v>3</v>
      </c>
      <c r="R96" s="233">
        <f>IFERROR(__xludf.DUMMYFUNCTION("""COMPUTED_VALUE"""),1710.0)</f>
        <v>1710</v>
      </c>
      <c r="S96" s="233">
        <f>IFERROR(__xludf.DUMMYFUNCTION("""COMPUTED_VALUE"""),0.0)</f>
        <v>0</v>
      </c>
      <c r="T96" s="233">
        <f>IFERROR(__xludf.DUMMYFUNCTION("""COMPUTED_VALUE"""),308.0)</f>
        <v>308</v>
      </c>
      <c r="U96" s="233">
        <f>IFERROR(__xludf.DUMMYFUNCTION("""COMPUTED_VALUE"""),74.0)</f>
        <v>74</v>
      </c>
      <c r="V96" s="233">
        <f>IFERROR(__xludf.DUMMYFUNCTION("""COMPUTED_VALUE"""),69.0)</f>
        <v>69</v>
      </c>
      <c r="W96" s="233">
        <f>IFERROR(__xludf.DUMMYFUNCTION("""COMPUTED_VALUE"""),9.0)</f>
        <v>9</v>
      </c>
      <c r="X96" s="233">
        <f>IFERROR(__xludf.DUMMYFUNCTION("""COMPUTED_VALUE"""),8.0)</f>
        <v>8</v>
      </c>
      <c r="Y96" s="233">
        <f>IFERROR(__xludf.DUMMYFUNCTION("""COMPUTED_VALUE"""),0.0)</f>
        <v>0</v>
      </c>
      <c r="Z96" s="233">
        <f>IFERROR(__xludf.DUMMYFUNCTION("""COMPUTED_VALUE"""),992.0)</f>
        <v>992</v>
      </c>
    </row>
    <row r="97">
      <c r="A97" s="232">
        <f>IFERROR(__xludf.DUMMYFUNCTION("""COMPUTED_VALUE"""),44022.0)</f>
        <v>44022</v>
      </c>
      <c r="B97" s="233">
        <f>IFERROR(__xludf.DUMMYFUNCTION("""COMPUTED_VALUE"""),132.0)</f>
        <v>132</v>
      </c>
      <c r="C97" s="233">
        <f>IFERROR(__xludf.DUMMYFUNCTION("""COMPUTED_VALUE"""),110.0)</f>
        <v>110</v>
      </c>
      <c r="D97" s="233">
        <f>IFERROR(__xludf.DUMMYFUNCTION("""COMPUTED_VALUE"""),25484.0)</f>
        <v>25484</v>
      </c>
      <c r="E97" s="233">
        <f>IFERROR(__xludf.DUMMYFUNCTION("""COMPUTED_VALUE"""),4432.0)</f>
        <v>4432</v>
      </c>
      <c r="F97" s="171">
        <f>IFERROR(__xludf.DUMMYFUNCTION("""COMPUTED_VALUE"""),265186.0)</f>
        <v>265186</v>
      </c>
      <c r="G97" s="171">
        <f>IFERROR(__xludf.DUMMYFUNCTION("""COMPUTED_VALUE"""),4564.0)</f>
        <v>4564</v>
      </c>
      <c r="H97" s="171">
        <f>IFERROR(__xludf.DUMMYFUNCTION("""COMPUTED_VALUE"""),290670.0)</f>
        <v>290670</v>
      </c>
      <c r="I97" s="233">
        <f>IFERROR(__xludf.DUMMYFUNCTION("""COMPUTED_VALUE"""),81.0)</f>
        <v>81</v>
      </c>
      <c r="J97" s="233">
        <f>IFERROR(__xludf.DUMMYFUNCTION("""COMPUTED_VALUE"""),65.0)</f>
        <v>65</v>
      </c>
      <c r="K97" s="233">
        <f>IFERROR(__xludf.DUMMYFUNCTION("""COMPUTED_VALUE"""),17358.0)</f>
        <v>17358</v>
      </c>
      <c r="L97" s="233">
        <f>IFERROR(__xludf.DUMMYFUNCTION("""COMPUTED_VALUE"""),2068.0)</f>
        <v>2068</v>
      </c>
      <c r="M97" s="233">
        <f>IFERROR(__xludf.DUMMYFUNCTION("""COMPUTED_VALUE"""),153871.0)</f>
        <v>153871</v>
      </c>
      <c r="N97" s="233">
        <f>IFERROR(__xludf.DUMMYFUNCTION("""COMPUTED_VALUE"""),171229.0)</f>
        <v>171229</v>
      </c>
      <c r="O97" s="233">
        <f>IFERROR(__xludf.DUMMYFUNCTION("""COMPUTED_VALUE"""),6.0)</f>
        <v>6</v>
      </c>
      <c r="P97" s="233">
        <f>IFERROR(__xludf.DUMMYFUNCTION("""COMPUTED_VALUE"""),2098.0)</f>
        <v>2098</v>
      </c>
      <c r="Q97" s="233">
        <f>IFERROR(__xludf.DUMMYFUNCTION("""COMPUTED_VALUE"""),3.0)</f>
        <v>3</v>
      </c>
      <c r="R97" s="233">
        <f>IFERROR(__xludf.DUMMYFUNCTION("""COMPUTED_VALUE"""),1713.0)</f>
        <v>1713</v>
      </c>
      <c r="S97" s="233">
        <f>IFERROR(__xludf.DUMMYFUNCTION("""COMPUTED_VALUE"""),2.0)</f>
        <v>2</v>
      </c>
      <c r="T97" s="233">
        <f>IFERROR(__xludf.DUMMYFUNCTION("""COMPUTED_VALUE"""),310.0)</f>
        <v>310</v>
      </c>
      <c r="U97" s="233">
        <f>IFERROR(__xludf.DUMMYFUNCTION("""COMPUTED_VALUE"""),75.0)</f>
        <v>75</v>
      </c>
      <c r="V97" s="233">
        <f>IFERROR(__xludf.DUMMYFUNCTION("""COMPUTED_VALUE"""),72.0)</f>
        <v>72</v>
      </c>
      <c r="W97" s="233">
        <f>IFERROR(__xludf.DUMMYFUNCTION("""COMPUTED_VALUE"""),7.0)</f>
        <v>7</v>
      </c>
      <c r="X97" s="233">
        <f>IFERROR(__xludf.DUMMYFUNCTION("""COMPUTED_VALUE"""),7.0)</f>
        <v>7</v>
      </c>
      <c r="Y97" s="233">
        <f>IFERROR(__xludf.DUMMYFUNCTION("""COMPUTED_VALUE"""),3.0)</f>
        <v>3</v>
      </c>
      <c r="Z97" s="233">
        <f>IFERROR(__xludf.DUMMYFUNCTION("""COMPUTED_VALUE"""),995.0)</f>
        <v>995</v>
      </c>
    </row>
    <row r="98">
      <c r="A98" s="232">
        <f>IFERROR(__xludf.DUMMYFUNCTION("""COMPUTED_VALUE"""),44023.0)</f>
        <v>44023</v>
      </c>
      <c r="B98" s="233">
        <f>IFERROR(__xludf.DUMMYFUNCTION("""COMPUTED_VALUE"""),63.0)</f>
        <v>63</v>
      </c>
      <c r="C98" s="233">
        <f>IFERROR(__xludf.DUMMYFUNCTION("""COMPUTED_VALUE"""),96.0)</f>
        <v>96</v>
      </c>
      <c r="D98" s="233">
        <f>IFERROR(__xludf.DUMMYFUNCTION("""COMPUTED_VALUE"""),25547.0)</f>
        <v>25547</v>
      </c>
      <c r="E98" s="233">
        <f>IFERROR(__xludf.DUMMYFUNCTION("""COMPUTED_VALUE"""),2932.0)</f>
        <v>2932</v>
      </c>
      <c r="F98" s="171">
        <f>IFERROR(__xludf.DUMMYFUNCTION("""COMPUTED_VALUE"""),268118.0)</f>
        <v>268118</v>
      </c>
      <c r="G98" s="171">
        <f>IFERROR(__xludf.DUMMYFUNCTION("""COMPUTED_VALUE"""),2995.0)</f>
        <v>2995</v>
      </c>
      <c r="H98" s="171">
        <f>IFERROR(__xludf.DUMMYFUNCTION("""COMPUTED_VALUE"""),293665.0)</f>
        <v>293665</v>
      </c>
      <c r="I98" s="233">
        <f>IFERROR(__xludf.DUMMYFUNCTION("""COMPUTED_VALUE"""),36.0)</f>
        <v>36</v>
      </c>
      <c r="J98" s="233">
        <f>IFERROR(__xludf.DUMMYFUNCTION("""COMPUTED_VALUE"""),56.0)</f>
        <v>56</v>
      </c>
      <c r="K98" s="233">
        <f>IFERROR(__xludf.DUMMYFUNCTION("""COMPUTED_VALUE"""),17394.0)</f>
        <v>17394</v>
      </c>
      <c r="L98" s="233">
        <f>IFERROR(__xludf.DUMMYFUNCTION("""COMPUTED_VALUE"""),1313.0)</f>
        <v>1313</v>
      </c>
      <c r="M98" s="233">
        <f>IFERROR(__xludf.DUMMYFUNCTION("""COMPUTED_VALUE"""),155184.0)</f>
        <v>155184</v>
      </c>
      <c r="N98" s="233">
        <f>IFERROR(__xludf.DUMMYFUNCTION("""COMPUTED_VALUE"""),172578.0)</f>
        <v>172578</v>
      </c>
      <c r="O98" s="233">
        <f>IFERROR(__xludf.DUMMYFUNCTION("""COMPUTED_VALUE"""),6.0)</f>
        <v>6</v>
      </c>
      <c r="P98" s="233">
        <f>IFERROR(__xludf.DUMMYFUNCTION("""COMPUTED_VALUE"""),2104.0)</f>
        <v>2104</v>
      </c>
      <c r="Q98" s="233">
        <f>IFERROR(__xludf.DUMMYFUNCTION("""COMPUTED_VALUE"""),3.0)</f>
        <v>3</v>
      </c>
      <c r="R98" s="233">
        <f>IFERROR(__xludf.DUMMYFUNCTION("""COMPUTED_VALUE"""),1716.0)</f>
        <v>1716</v>
      </c>
      <c r="S98" s="233">
        <f>IFERROR(__xludf.DUMMYFUNCTION("""COMPUTED_VALUE"""),1.0)</f>
        <v>1</v>
      </c>
      <c r="T98" s="233">
        <f>IFERROR(__xludf.DUMMYFUNCTION("""COMPUTED_VALUE"""),311.0)</f>
        <v>311</v>
      </c>
      <c r="U98" s="233">
        <f>IFERROR(__xludf.DUMMYFUNCTION("""COMPUTED_VALUE"""),77.0)</f>
        <v>77</v>
      </c>
      <c r="V98" s="233">
        <f>IFERROR(__xludf.DUMMYFUNCTION("""COMPUTED_VALUE"""),75.0)</f>
        <v>75</v>
      </c>
      <c r="W98" s="233">
        <f>IFERROR(__xludf.DUMMYFUNCTION("""COMPUTED_VALUE"""),6.0)</f>
        <v>6</v>
      </c>
      <c r="X98" s="233">
        <f>IFERROR(__xludf.DUMMYFUNCTION("""COMPUTED_VALUE"""),6.0)</f>
        <v>6</v>
      </c>
      <c r="Y98" s="233">
        <f>IFERROR(__xludf.DUMMYFUNCTION("""COMPUTED_VALUE"""),3.0)</f>
        <v>3</v>
      </c>
      <c r="Z98" s="233">
        <f>IFERROR(__xludf.DUMMYFUNCTION("""COMPUTED_VALUE"""),998.0)</f>
        <v>998</v>
      </c>
    </row>
    <row r="99">
      <c r="A99" s="232">
        <f>IFERROR(__xludf.DUMMYFUNCTION("""COMPUTED_VALUE"""),44024.0)</f>
        <v>44024</v>
      </c>
      <c r="B99" s="233">
        <f>IFERROR(__xludf.DUMMYFUNCTION("""COMPUTED_VALUE"""),47.0)</f>
        <v>47</v>
      </c>
      <c r="C99" s="233">
        <f>IFERROR(__xludf.DUMMYFUNCTION("""COMPUTED_VALUE"""),81.0)</f>
        <v>81</v>
      </c>
      <c r="D99" s="233">
        <f>IFERROR(__xludf.DUMMYFUNCTION("""COMPUTED_VALUE"""),25594.0)</f>
        <v>25594</v>
      </c>
      <c r="E99" s="233">
        <f>IFERROR(__xludf.DUMMYFUNCTION("""COMPUTED_VALUE"""),1837.0)</f>
        <v>1837</v>
      </c>
      <c r="F99" s="171">
        <f>IFERROR(__xludf.DUMMYFUNCTION("""COMPUTED_VALUE"""),269955.0)</f>
        <v>269955</v>
      </c>
      <c r="G99" s="171">
        <f>IFERROR(__xludf.DUMMYFUNCTION("""COMPUTED_VALUE"""),1884.0)</f>
        <v>1884</v>
      </c>
      <c r="H99" s="171">
        <f>IFERROR(__xludf.DUMMYFUNCTION("""COMPUTED_VALUE"""),295549.0)</f>
        <v>295549</v>
      </c>
      <c r="I99" s="233">
        <f>IFERROR(__xludf.DUMMYFUNCTION("""COMPUTED_VALUE"""),34.0)</f>
        <v>34</v>
      </c>
      <c r="J99" s="233">
        <f>IFERROR(__xludf.DUMMYFUNCTION("""COMPUTED_VALUE"""),50.0)</f>
        <v>50</v>
      </c>
      <c r="K99" s="233">
        <f>IFERROR(__xludf.DUMMYFUNCTION("""COMPUTED_VALUE"""),17428.0)</f>
        <v>17428</v>
      </c>
      <c r="L99" s="233">
        <f>IFERROR(__xludf.DUMMYFUNCTION("""COMPUTED_VALUE"""),942.0)</f>
        <v>942</v>
      </c>
      <c r="M99" s="233">
        <f>IFERROR(__xludf.DUMMYFUNCTION("""COMPUTED_VALUE"""),156126.0)</f>
        <v>156126</v>
      </c>
      <c r="N99" s="233">
        <f>IFERROR(__xludf.DUMMYFUNCTION("""COMPUTED_VALUE"""),173554.0)</f>
        <v>173554</v>
      </c>
      <c r="O99" s="233">
        <f>IFERROR(__xludf.DUMMYFUNCTION("""COMPUTED_VALUE"""),1.0)</f>
        <v>1</v>
      </c>
      <c r="P99" s="233">
        <f>IFERROR(__xludf.DUMMYFUNCTION("""COMPUTED_VALUE"""),2105.0)</f>
        <v>2105</v>
      </c>
      <c r="Q99" s="233">
        <f>IFERROR(__xludf.DUMMYFUNCTION("""COMPUTED_VALUE"""),3.0)</f>
        <v>3</v>
      </c>
      <c r="R99" s="233">
        <f>IFERROR(__xludf.DUMMYFUNCTION("""COMPUTED_VALUE"""),1719.0)</f>
        <v>1719</v>
      </c>
      <c r="S99" s="233">
        <f>IFERROR(__xludf.DUMMYFUNCTION("""COMPUTED_VALUE"""),1.0)</f>
        <v>1</v>
      </c>
      <c r="T99" s="233">
        <f>IFERROR(__xludf.DUMMYFUNCTION("""COMPUTED_VALUE"""),312.0)</f>
        <v>312</v>
      </c>
      <c r="U99" s="233">
        <f>IFERROR(__xludf.DUMMYFUNCTION("""COMPUTED_VALUE"""),74.0)</f>
        <v>74</v>
      </c>
      <c r="V99" s="233">
        <f>IFERROR(__xludf.DUMMYFUNCTION("""COMPUTED_VALUE"""),75.0)</f>
        <v>75</v>
      </c>
      <c r="W99" s="233">
        <f>IFERROR(__xludf.DUMMYFUNCTION("""COMPUTED_VALUE"""),6.0)</f>
        <v>6</v>
      </c>
      <c r="X99" s="233">
        <f>IFERROR(__xludf.DUMMYFUNCTION("""COMPUTED_VALUE"""),5.0)</f>
        <v>5</v>
      </c>
      <c r="Y99" s="233">
        <f>IFERROR(__xludf.DUMMYFUNCTION("""COMPUTED_VALUE"""),3.0)</f>
        <v>3</v>
      </c>
      <c r="Z99" s="233">
        <f>IFERROR(__xludf.DUMMYFUNCTION("""COMPUTED_VALUE"""),1001.0)</f>
        <v>1001</v>
      </c>
    </row>
    <row r="100">
      <c r="A100" s="232">
        <f>IFERROR(__xludf.DUMMYFUNCTION("""COMPUTED_VALUE"""),44025.0)</f>
        <v>44025</v>
      </c>
      <c r="B100" s="233">
        <f>IFERROR(__xludf.DUMMYFUNCTION("""COMPUTED_VALUE"""),84.0)</f>
        <v>84</v>
      </c>
      <c r="C100" s="233">
        <f>IFERROR(__xludf.DUMMYFUNCTION("""COMPUTED_VALUE"""),65.0)</f>
        <v>65</v>
      </c>
      <c r="D100" s="233">
        <f>IFERROR(__xludf.DUMMYFUNCTION("""COMPUTED_VALUE"""),25678.0)</f>
        <v>25678</v>
      </c>
      <c r="E100" s="233">
        <f>IFERROR(__xludf.DUMMYFUNCTION("""COMPUTED_VALUE"""),3201.0)</f>
        <v>3201</v>
      </c>
      <c r="F100" s="171">
        <f>IFERROR(__xludf.DUMMYFUNCTION("""COMPUTED_VALUE"""),273156.0)</f>
        <v>273156</v>
      </c>
      <c r="G100" s="171">
        <f>IFERROR(__xludf.DUMMYFUNCTION("""COMPUTED_VALUE"""),3285.0)</f>
        <v>3285</v>
      </c>
      <c r="H100" s="171">
        <f>IFERROR(__xludf.DUMMYFUNCTION("""COMPUTED_VALUE"""),298834.0)</f>
        <v>298834</v>
      </c>
      <c r="I100" s="233">
        <f>IFERROR(__xludf.DUMMYFUNCTION("""COMPUTED_VALUE"""),61.0)</f>
        <v>61</v>
      </c>
      <c r="J100" s="233">
        <f>IFERROR(__xludf.DUMMYFUNCTION("""COMPUTED_VALUE"""),44.0)</f>
        <v>44</v>
      </c>
      <c r="K100" s="233">
        <f>IFERROR(__xludf.DUMMYFUNCTION("""COMPUTED_VALUE"""),17489.0)</f>
        <v>17489</v>
      </c>
      <c r="L100" s="233">
        <f>IFERROR(__xludf.DUMMYFUNCTION("""COMPUTED_VALUE"""),1502.0)</f>
        <v>1502</v>
      </c>
      <c r="M100" s="233">
        <f>IFERROR(__xludf.DUMMYFUNCTION("""COMPUTED_VALUE"""),157628.0)</f>
        <v>157628</v>
      </c>
      <c r="N100" s="233">
        <f>IFERROR(__xludf.DUMMYFUNCTION("""COMPUTED_VALUE"""),175117.0)</f>
        <v>175117</v>
      </c>
      <c r="O100" s="233">
        <f>IFERROR(__xludf.DUMMYFUNCTION("""COMPUTED_VALUE"""),8.0)</f>
        <v>8</v>
      </c>
      <c r="P100" s="233">
        <f>IFERROR(__xludf.DUMMYFUNCTION("""COMPUTED_VALUE"""),2113.0)</f>
        <v>2113</v>
      </c>
      <c r="Q100" s="233">
        <f>IFERROR(__xludf.DUMMYFUNCTION("""COMPUTED_VALUE"""),10.0)</f>
        <v>10</v>
      </c>
      <c r="R100" s="233">
        <f>IFERROR(__xludf.DUMMYFUNCTION("""COMPUTED_VALUE"""),1729.0)</f>
        <v>1729</v>
      </c>
      <c r="S100" s="233">
        <f>IFERROR(__xludf.DUMMYFUNCTION("""COMPUTED_VALUE"""),0.0)</f>
        <v>0</v>
      </c>
      <c r="T100" s="233">
        <f>IFERROR(__xludf.DUMMYFUNCTION("""COMPUTED_VALUE"""),312.0)</f>
        <v>312</v>
      </c>
      <c r="U100" s="233">
        <f>IFERROR(__xludf.DUMMYFUNCTION("""COMPUTED_VALUE"""),72.0)</f>
        <v>72</v>
      </c>
      <c r="V100" s="233">
        <f>IFERROR(__xludf.DUMMYFUNCTION("""COMPUTED_VALUE"""),74.0)</f>
        <v>74</v>
      </c>
      <c r="W100" s="233">
        <f>IFERROR(__xludf.DUMMYFUNCTION("""COMPUTED_VALUE"""),6.0)</f>
        <v>6</v>
      </c>
      <c r="X100" s="233">
        <f>IFERROR(__xludf.DUMMYFUNCTION("""COMPUTED_VALUE"""),5.0)</f>
        <v>5</v>
      </c>
      <c r="Y100" s="233">
        <f>IFERROR(__xludf.DUMMYFUNCTION("""COMPUTED_VALUE"""),1.0)</f>
        <v>1</v>
      </c>
      <c r="Z100" s="233">
        <f>IFERROR(__xludf.DUMMYFUNCTION("""COMPUTED_VALUE"""),1002.0)</f>
        <v>1002</v>
      </c>
    </row>
    <row r="101">
      <c r="A101" s="232">
        <f>IFERROR(__xludf.DUMMYFUNCTION("""COMPUTED_VALUE"""),44026.0)</f>
        <v>44026</v>
      </c>
      <c r="B101" s="233">
        <f>IFERROR(__xludf.DUMMYFUNCTION("""COMPUTED_VALUE"""),73.0)</f>
        <v>73</v>
      </c>
      <c r="C101" s="233">
        <f>IFERROR(__xludf.DUMMYFUNCTION("""COMPUTED_VALUE"""),68.0)</f>
        <v>68</v>
      </c>
      <c r="D101" s="233">
        <f>IFERROR(__xludf.DUMMYFUNCTION("""COMPUTED_VALUE"""),25751.0)</f>
        <v>25751</v>
      </c>
      <c r="E101" s="233">
        <f>IFERROR(__xludf.DUMMYFUNCTION("""COMPUTED_VALUE"""),3293.0)</f>
        <v>3293</v>
      </c>
      <c r="F101" s="171">
        <f>IFERROR(__xludf.DUMMYFUNCTION("""COMPUTED_VALUE"""),276449.0)</f>
        <v>276449</v>
      </c>
      <c r="G101" s="171">
        <f>IFERROR(__xludf.DUMMYFUNCTION("""COMPUTED_VALUE"""),3366.0)</f>
        <v>3366</v>
      </c>
      <c r="H101" s="171">
        <f>IFERROR(__xludf.DUMMYFUNCTION("""COMPUTED_VALUE"""),302200.0)</f>
        <v>302200</v>
      </c>
      <c r="I101" s="233">
        <f>IFERROR(__xludf.DUMMYFUNCTION("""COMPUTED_VALUE"""),43.0)</f>
        <v>43</v>
      </c>
      <c r="J101" s="233">
        <f>IFERROR(__xludf.DUMMYFUNCTION("""COMPUTED_VALUE"""),46.0)</f>
        <v>46</v>
      </c>
      <c r="K101" s="233">
        <f>IFERROR(__xludf.DUMMYFUNCTION("""COMPUTED_VALUE"""),17532.0)</f>
        <v>17532</v>
      </c>
      <c r="L101" s="233">
        <f>IFERROR(__xludf.DUMMYFUNCTION("""COMPUTED_VALUE"""),1372.0)</f>
        <v>1372</v>
      </c>
      <c r="M101" s="233">
        <f>IFERROR(__xludf.DUMMYFUNCTION("""COMPUTED_VALUE"""),159000.0)</f>
        <v>159000</v>
      </c>
      <c r="N101" s="233">
        <f>IFERROR(__xludf.DUMMYFUNCTION("""COMPUTED_VALUE"""),176532.0)</f>
        <v>176532</v>
      </c>
      <c r="O101" s="233">
        <f>IFERROR(__xludf.DUMMYFUNCTION("""COMPUTED_VALUE"""),7.0)</f>
        <v>7</v>
      </c>
      <c r="P101" s="233">
        <f>IFERROR(__xludf.DUMMYFUNCTION("""COMPUTED_VALUE"""),2120.0)</f>
        <v>2120</v>
      </c>
      <c r="Q101" s="233">
        <f>IFERROR(__xludf.DUMMYFUNCTION("""COMPUTED_VALUE"""),4.0)</f>
        <v>4</v>
      </c>
      <c r="R101" s="233">
        <f>IFERROR(__xludf.DUMMYFUNCTION("""COMPUTED_VALUE"""),1733.0)</f>
        <v>1733</v>
      </c>
      <c r="S101" s="233">
        <f>IFERROR(__xludf.DUMMYFUNCTION("""COMPUTED_VALUE"""),0.0)</f>
        <v>0</v>
      </c>
      <c r="T101" s="233">
        <f>IFERROR(__xludf.DUMMYFUNCTION("""COMPUTED_VALUE"""),312.0)</f>
        <v>312</v>
      </c>
      <c r="U101" s="233">
        <f>IFERROR(__xludf.DUMMYFUNCTION("""COMPUTED_VALUE"""),75.0)</f>
        <v>75</v>
      </c>
      <c r="V101" s="233">
        <f>IFERROR(__xludf.DUMMYFUNCTION("""COMPUTED_VALUE"""),74.0)</f>
        <v>74</v>
      </c>
      <c r="W101" s="233">
        <f>IFERROR(__xludf.DUMMYFUNCTION("""COMPUTED_VALUE"""),5.0)</f>
        <v>5</v>
      </c>
      <c r="X101" s="233">
        <f>IFERROR(__xludf.DUMMYFUNCTION("""COMPUTED_VALUE"""),5.0)</f>
        <v>5</v>
      </c>
      <c r="Y101" s="233">
        <f>IFERROR(__xludf.DUMMYFUNCTION("""COMPUTED_VALUE"""),1.0)</f>
        <v>1</v>
      </c>
      <c r="Z101" s="233">
        <f>IFERROR(__xludf.DUMMYFUNCTION("""COMPUTED_VALUE"""),1003.0)</f>
        <v>1003</v>
      </c>
    </row>
    <row r="102">
      <c r="A102" s="232">
        <f>IFERROR(__xludf.DUMMYFUNCTION("""COMPUTED_VALUE"""),44027.0)</f>
        <v>44027</v>
      </c>
      <c r="B102" s="233">
        <f>IFERROR(__xludf.DUMMYFUNCTION("""COMPUTED_VALUE"""),130.0)</f>
        <v>130</v>
      </c>
      <c r="C102" s="233">
        <f>IFERROR(__xludf.DUMMYFUNCTION("""COMPUTED_VALUE"""),96.0)</f>
        <v>96</v>
      </c>
      <c r="D102" s="233">
        <f>IFERROR(__xludf.DUMMYFUNCTION("""COMPUTED_VALUE"""),25881.0)</f>
        <v>25881</v>
      </c>
      <c r="E102" s="233">
        <f>IFERROR(__xludf.DUMMYFUNCTION("""COMPUTED_VALUE"""),4173.0)</f>
        <v>4173</v>
      </c>
      <c r="F102" s="171">
        <f>IFERROR(__xludf.DUMMYFUNCTION("""COMPUTED_VALUE"""),280622.0)</f>
        <v>280622</v>
      </c>
      <c r="G102" s="171">
        <f>IFERROR(__xludf.DUMMYFUNCTION("""COMPUTED_VALUE"""),4303.0)</f>
        <v>4303</v>
      </c>
      <c r="H102" s="171">
        <f>IFERROR(__xludf.DUMMYFUNCTION("""COMPUTED_VALUE"""),306503.0)</f>
        <v>306503</v>
      </c>
      <c r="I102" s="233">
        <f>IFERROR(__xludf.DUMMYFUNCTION("""COMPUTED_VALUE"""),99.0)</f>
        <v>99</v>
      </c>
      <c r="J102" s="233">
        <f>IFERROR(__xludf.DUMMYFUNCTION("""COMPUTED_VALUE"""),68.0)</f>
        <v>68</v>
      </c>
      <c r="K102" s="233">
        <f>IFERROR(__xludf.DUMMYFUNCTION("""COMPUTED_VALUE"""),17631.0)</f>
        <v>17631</v>
      </c>
      <c r="L102" s="233">
        <f>IFERROR(__xludf.DUMMYFUNCTION("""COMPUTED_VALUE"""),1746.0)</f>
        <v>1746</v>
      </c>
      <c r="M102" s="233">
        <f>IFERROR(__xludf.DUMMYFUNCTION("""COMPUTED_VALUE"""),160746.0)</f>
        <v>160746</v>
      </c>
      <c r="N102" s="233">
        <f>IFERROR(__xludf.DUMMYFUNCTION("""COMPUTED_VALUE"""),178377.0)</f>
        <v>178377</v>
      </c>
      <c r="O102" s="233">
        <f>IFERROR(__xludf.DUMMYFUNCTION("""COMPUTED_VALUE"""),5.0)</f>
        <v>5</v>
      </c>
      <c r="P102" s="233">
        <f>IFERROR(__xludf.DUMMYFUNCTION("""COMPUTED_VALUE"""),2125.0)</f>
        <v>2125</v>
      </c>
      <c r="Q102" s="233">
        <f>IFERROR(__xludf.DUMMYFUNCTION("""COMPUTED_VALUE"""),7.0)</f>
        <v>7</v>
      </c>
      <c r="R102" s="233">
        <f>IFERROR(__xludf.DUMMYFUNCTION("""COMPUTED_VALUE"""),1740.0)</f>
        <v>1740</v>
      </c>
      <c r="S102" s="233">
        <f>IFERROR(__xludf.DUMMYFUNCTION("""COMPUTED_VALUE"""),0.0)</f>
        <v>0</v>
      </c>
      <c r="T102" s="233">
        <f>IFERROR(__xludf.DUMMYFUNCTION("""COMPUTED_VALUE"""),312.0)</f>
        <v>312</v>
      </c>
      <c r="U102" s="233">
        <f>IFERROR(__xludf.DUMMYFUNCTION("""COMPUTED_VALUE"""),73.0)</f>
        <v>73</v>
      </c>
      <c r="V102" s="233">
        <f>IFERROR(__xludf.DUMMYFUNCTION("""COMPUTED_VALUE"""),73.0)</f>
        <v>73</v>
      </c>
      <c r="W102" s="233">
        <f>IFERROR(__xludf.DUMMYFUNCTION("""COMPUTED_VALUE"""),5.0)</f>
        <v>5</v>
      </c>
      <c r="X102" s="233">
        <f>IFERROR(__xludf.DUMMYFUNCTION("""COMPUTED_VALUE"""),4.0)</f>
        <v>4</v>
      </c>
      <c r="Y102" s="233">
        <f>IFERROR(__xludf.DUMMYFUNCTION("""COMPUTED_VALUE"""),0.0)</f>
        <v>0</v>
      </c>
      <c r="Z102" s="233">
        <f>IFERROR(__xludf.DUMMYFUNCTION("""COMPUTED_VALUE"""),1003.0)</f>
        <v>1003</v>
      </c>
    </row>
    <row r="103">
      <c r="A103" s="232">
        <f>IFERROR(__xludf.DUMMYFUNCTION("""COMPUTED_VALUE"""),44028.0)</f>
        <v>44028</v>
      </c>
      <c r="B103" s="233">
        <f>IFERROR(__xludf.DUMMYFUNCTION("""COMPUTED_VALUE"""),102.0)</f>
        <v>102</v>
      </c>
      <c r="C103" s="233">
        <f>IFERROR(__xludf.DUMMYFUNCTION("""COMPUTED_VALUE"""),102.0)</f>
        <v>102</v>
      </c>
      <c r="D103" s="233">
        <f>IFERROR(__xludf.DUMMYFUNCTION("""COMPUTED_VALUE"""),25983.0)</f>
        <v>25983</v>
      </c>
      <c r="E103" s="233">
        <f>IFERROR(__xludf.DUMMYFUNCTION("""COMPUTED_VALUE"""),3734.0)</f>
        <v>3734</v>
      </c>
      <c r="F103" s="171">
        <f>IFERROR(__xludf.DUMMYFUNCTION("""COMPUTED_VALUE"""),284356.0)</f>
        <v>284356</v>
      </c>
      <c r="G103" s="171">
        <f>IFERROR(__xludf.DUMMYFUNCTION("""COMPUTED_VALUE"""),3836.0)</f>
        <v>3836</v>
      </c>
      <c r="H103" s="171">
        <f>IFERROR(__xludf.DUMMYFUNCTION("""COMPUTED_VALUE"""),310339.0)</f>
        <v>310339</v>
      </c>
      <c r="I103" s="233">
        <f>IFERROR(__xludf.DUMMYFUNCTION("""COMPUTED_VALUE"""),75.0)</f>
        <v>75</v>
      </c>
      <c r="J103" s="233">
        <f>IFERROR(__xludf.DUMMYFUNCTION("""COMPUTED_VALUE"""),72.0)</f>
        <v>72</v>
      </c>
      <c r="K103" s="233">
        <f>IFERROR(__xludf.DUMMYFUNCTION("""COMPUTED_VALUE"""),17706.0)</f>
        <v>17706</v>
      </c>
      <c r="L103" s="233">
        <f>IFERROR(__xludf.DUMMYFUNCTION("""COMPUTED_VALUE"""),1613.0)</f>
        <v>1613</v>
      </c>
      <c r="M103" s="233">
        <f>IFERROR(__xludf.DUMMYFUNCTION("""COMPUTED_VALUE"""),162359.0)</f>
        <v>162359</v>
      </c>
      <c r="N103" s="233">
        <f>IFERROR(__xludf.DUMMYFUNCTION("""COMPUTED_VALUE"""),180065.0)</f>
        <v>180065</v>
      </c>
      <c r="O103" s="233">
        <f>IFERROR(__xludf.DUMMYFUNCTION("""COMPUTED_VALUE"""),6.0)</f>
        <v>6</v>
      </c>
      <c r="P103" s="233">
        <f>IFERROR(__xludf.DUMMYFUNCTION("""COMPUTED_VALUE"""),2131.0)</f>
        <v>2131</v>
      </c>
      <c r="Q103" s="233">
        <f>IFERROR(__xludf.DUMMYFUNCTION("""COMPUTED_VALUE"""),9.0)</f>
        <v>9</v>
      </c>
      <c r="R103" s="233">
        <f>IFERROR(__xludf.DUMMYFUNCTION("""COMPUTED_VALUE"""),1749.0)</f>
        <v>1749</v>
      </c>
      <c r="S103" s="233">
        <f>IFERROR(__xludf.DUMMYFUNCTION("""COMPUTED_VALUE"""),0.0)</f>
        <v>0</v>
      </c>
      <c r="T103" s="233">
        <f>IFERROR(__xludf.DUMMYFUNCTION("""COMPUTED_VALUE"""),312.0)</f>
        <v>312</v>
      </c>
      <c r="U103" s="233">
        <f>IFERROR(__xludf.DUMMYFUNCTION("""COMPUTED_VALUE"""),70.0)</f>
        <v>70</v>
      </c>
      <c r="V103" s="233">
        <f>IFERROR(__xludf.DUMMYFUNCTION("""COMPUTED_VALUE"""),73.0)</f>
        <v>73</v>
      </c>
      <c r="W103" s="233">
        <f>IFERROR(__xludf.DUMMYFUNCTION("""COMPUTED_VALUE"""),6.0)</f>
        <v>6</v>
      </c>
      <c r="X103" s="233">
        <f>IFERROR(__xludf.DUMMYFUNCTION("""COMPUTED_VALUE"""),5.0)</f>
        <v>5</v>
      </c>
      <c r="Y103" s="233">
        <f>IFERROR(__xludf.DUMMYFUNCTION("""COMPUTED_VALUE"""),1.0)</f>
        <v>1</v>
      </c>
      <c r="Z103" s="233">
        <f>IFERROR(__xludf.DUMMYFUNCTION("""COMPUTED_VALUE"""),1004.0)</f>
        <v>1004</v>
      </c>
    </row>
    <row r="104">
      <c r="A104" s="232">
        <f>IFERROR(__xludf.DUMMYFUNCTION("""COMPUTED_VALUE"""),44029.0)</f>
        <v>44029</v>
      </c>
      <c r="B104" s="233">
        <f>IFERROR(__xludf.DUMMYFUNCTION("""COMPUTED_VALUE"""),156.0)</f>
        <v>156</v>
      </c>
      <c r="C104" s="233">
        <f>IFERROR(__xludf.DUMMYFUNCTION("""COMPUTED_VALUE"""),129.0)</f>
        <v>129</v>
      </c>
      <c r="D104" s="233">
        <f>IFERROR(__xludf.DUMMYFUNCTION("""COMPUTED_VALUE"""),26139.0)</f>
        <v>26139</v>
      </c>
      <c r="E104" s="233">
        <f>IFERROR(__xludf.DUMMYFUNCTION("""COMPUTED_VALUE"""),4236.0)</f>
        <v>4236</v>
      </c>
      <c r="F104" s="171">
        <f>IFERROR(__xludf.DUMMYFUNCTION("""COMPUTED_VALUE"""),288592.0)</f>
        <v>288592</v>
      </c>
      <c r="G104" s="171">
        <f>IFERROR(__xludf.DUMMYFUNCTION("""COMPUTED_VALUE"""),4392.0)</f>
        <v>4392</v>
      </c>
      <c r="H104" s="171">
        <f>IFERROR(__xludf.DUMMYFUNCTION("""COMPUTED_VALUE"""),314731.0)</f>
        <v>314731</v>
      </c>
      <c r="I104" s="233">
        <f>IFERROR(__xludf.DUMMYFUNCTION("""COMPUTED_VALUE"""),79.0)</f>
        <v>79</v>
      </c>
      <c r="J104" s="233">
        <f>IFERROR(__xludf.DUMMYFUNCTION("""COMPUTED_VALUE"""),84.0)</f>
        <v>84</v>
      </c>
      <c r="K104" s="233">
        <f>IFERROR(__xludf.DUMMYFUNCTION("""COMPUTED_VALUE"""),17785.0)</f>
        <v>17785</v>
      </c>
      <c r="L104" s="233">
        <f>IFERROR(__xludf.DUMMYFUNCTION("""COMPUTED_VALUE"""),1842.0)</f>
        <v>1842</v>
      </c>
      <c r="M104" s="233">
        <f>IFERROR(__xludf.DUMMYFUNCTION("""COMPUTED_VALUE"""),164201.0)</f>
        <v>164201</v>
      </c>
      <c r="N104" s="233">
        <f>IFERROR(__xludf.DUMMYFUNCTION("""COMPUTED_VALUE"""),181986.0)</f>
        <v>181986</v>
      </c>
      <c r="O104" s="233">
        <f>IFERROR(__xludf.DUMMYFUNCTION("""COMPUTED_VALUE"""),14.0)</f>
        <v>14</v>
      </c>
      <c r="P104" s="233">
        <f>IFERROR(__xludf.DUMMYFUNCTION("""COMPUTED_VALUE"""),2145.0)</f>
        <v>2145</v>
      </c>
      <c r="Q104" s="233">
        <f>IFERROR(__xludf.DUMMYFUNCTION("""COMPUTED_VALUE"""),3.0)</f>
        <v>3</v>
      </c>
      <c r="R104" s="233">
        <f>IFERROR(__xludf.DUMMYFUNCTION("""COMPUTED_VALUE"""),1752.0)</f>
        <v>1752</v>
      </c>
      <c r="S104" s="233">
        <f>IFERROR(__xludf.DUMMYFUNCTION("""COMPUTED_VALUE"""),1.0)</f>
        <v>1</v>
      </c>
      <c r="T104" s="233">
        <f>IFERROR(__xludf.DUMMYFUNCTION("""COMPUTED_VALUE"""),313.0)</f>
        <v>313</v>
      </c>
      <c r="U104" s="233">
        <f>IFERROR(__xludf.DUMMYFUNCTION("""COMPUTED_VALUE"""),80.0)</f>
        <v>80</v>
      </c>
      <c r="V104" s="233">
        <f>IFERROR(__xludf.DUMMYFUNCTION("""COMPUTED_VALUE"""),74.0)</f>
        <v>74</v>
      </c>
      <c r="W104" s="233">
        <f>IFERROR(__xludf.DUMMYFUNCTION("""COMPUTED_VALUE"""),5.0)</f>
        <v>5</v>
      </c>
      <c r="X104" s="233">
        <f>IFERROR(__xludf.DUMMYFUNCTION("""COMPUTED_VALUE"""),5.0)</f>
        <v>5</v>
      </c>
      <c r="Y104" s="233">
        <f>IFERROR(__xludf.DUMMYFUNCTION("""COMPUTED_VALUE"""),2.0)</f>
        <v>2</v>
      </c>
      <c r="Z104" s="233">
        <f>IFERROR(__xludf.DUMMYFUNCTION("""COMPUTED_VALUE"""),1006.0)</f>
        <v>1006</v>
      </c>
    </row>
    <row r="105">
      <c r="A105" s="232">
        <f>IFERROR(__xludf.DUMMYFUNCTION("""COMPUTED_VALUE"""),44030.0)</f>
        <v>44030</v>
      </c>
      <c r="B105" s="233">
        <f>IFERROR(__xludf.DUMMYFUNCTION("""COMPUTED_VALUE"""),85.0)</f>
        <v>85</v>
      </c>
      <c r="C105" s="233">
        <f>IFERROR(__xludf.DUMMYFUNCTION("""COMPUTED_VALUE"""),114.0)</f>
        <v>114</v>
      </c>
      <c r="D105" s="233">
        <f>IFERROR(__xludf.DUMMYFUNCTION("""COMPUTED_VALUE"""),26224.0)</f>
        <v>26224</v>
      </c>
      <c r="E105" s="233">
        <f>IFERROR(__xludf.DUMMYFUNCTION("""COMPUTED_VALUE"""),3269.0)</f>
        <v>3269</v>
      </c>
      <c r="F105" s="171">
        <f>IFERROR(__xludf.DUMMYFUNCTION("""COMPUTED_VALUE"""),291861.0)</f>
        <v>291861</v>
      </c>
      <c r="G105" s="171">
        <f>IFERROR(__xludf.DUMMYFUNCTION("""COMPUTED_VALUE"""),3354.0)</f>
        <v>3354</v>
      </c>
      <c r="H105" s="171">
        <f>IFERROR(__xludf.DUMMYFUNCTION("""COMPUTED_VALUE"""),318085.0)</f>
        <v>318085</v>
      </c>
      <c r="I105" s="233">
        <f>IFERROR(__xludf.DUMMYFUNCTION("""COMPUTED_VALUE"""),70.0)</f>
        <v>70</v>
      </c>
      <c r="J105" s="233">
        <f>IFERROR(__xludf.DUMMYFUNCTION("""COMPUTED_VALUE"""),75.0)</f>
        <v>75</v>
      </c>
      <c r="K105" s="233">
        <f>IFERROR(__xludf.DUMMYFUNCTION("""COMPUTED_VALUE"""),17855.0)</f>
        <v>17855</v>
      </c>
      <c r="L105" s="233">
        <f>IFERROR(__xludf.DUMMYFUNCTION("""COMPUTED_VALUE"""),1396.0)</f>
        <v>1396</v>
      </c>
      <c r="M105" s="233">
        <f>IFERROR(__xludf.DUMMYFUNCTION("""COMPUTED_VALUE"""),165597.0)</f>
        <v>165597</v>
      </c>
      <c r="N105" s="233">
        <f>IFERROR(__xludf.DUMMYFUNCTION("""COMPUTED_VALUE"""),183452.0)</f>
        <v>183452</v>
      </c>
      <c r="O105" s="233">
        <f>IFERROR(__xludf.DUMMYFUNCTION("""COMPUTED_VALUE"""),5.0)</f>
        <v>5</v>
      </c>
      <c r="P105" s="233">
        <f>IFERROR(__xludf.DUMMYFUNCTION("""COMPUTED_VALUE"""),2150.0)</f>
        <v>2150</v>
      </c>
      <c r="Q105" s="233">
        <f>IFERROR(__xludf.DUMMYFUNCTION("""COMPUTED_VALUE"""),9.0)</f>
        <v>9</v>
      </c>
      <c r="R105" s="233">
        <f>IFERROR(__xludf.DUMMYFUNCTION("""COMPUTED_VALUE"""),1761.0)</f>
        <v>1761</v>
      </c>
      <c r="S105" s="233">
        <f>IFERROR(__xludf.DUMMYFUNCTION("""COMPUTED_VALUE"""),1.0)</f>
        <v>1</v>
      </c>
      <c r="T105" s="233">
        <f>IFERROR(__xludf.DUMMYFUNCTION("""COMPUTED_VALUE"""),314.0)</f>
        <v>314</v>
      </c>
      <c r="U105" s="233">
        <f>IFERROR(__xludf.DUMMYFUNCTION("""COMPUTED_VALUE"""),75.0)</f>
        <v>75</v>
      </c>
      <c r="V105" s="233">
        <f>IFERROR(__xludf.DUMMYFUNCTION("""COMPUTED_VALUE"""),75.0)</f>
        <v>75</v>
      </c>
      <c r="W105" s="233">
        <f>IFERROR(__xludf.DUMMYFUNCTION("""COMPUTED_VALUE"""),5.0)</f>
        <v>5</v>
      </c>
      <c r="X105" s="233">
        <f>IFERROR(__xludf.DUMMYFUNCTION("""COMPUTED_VALUE"""),4.0)</f>
        <v>4</v>
      </c>
      <c r="Y105" s="233">
        <f>IFERROR(__xludf.DUMMYFUNCTION("""COMPUTED_VALUE"""),4.0)</f>
        <v>4</v>
      </c>
      <c r="Z105" s="233">
        <f>IFERROR(__xludf.DUMMYFUNCTION("""COMPUTED_VALUE"""),1010.0)</f>
        <v>1010</v>
      </c>
    </row>
    <row r="106">
      <c r="A106" s="232">
        <f>IFERROR(__xludf.DUMMYFUNCTION("""COMPUTED_VALUE"""),44031.0)</f>
        <v>44031</v>
      </c>
      <c r="B106" s="233">
        <f>IFERROR(__xludf.DUMMYFUNCTION("""COMPUTED_VALUE"""),82.0)</f>
        <v>82</v>
      </c>
      <c r="C106" s="233">
        <f>IFERROR(__xludf.DUMMYFUNCTION("""COMPUTED_VALUE"""),108.0)</f>
        <v>108</v>
      </c>
      <c r="D106" s="233">
        <f>IFERROR(__xludf.DUMMYFUNCTION("""COMPUTED_VALUE"""),26306.0)</f>
        <v>26306</v>
      </c>
      <c r="E106" s="233">
        <f>IFERROR(__xludf.DUMMYFUNCTION("""COMPUTED_VALUE"""),2694.0)</f>
        <v>2694</v>
      </c>
      <c r="F106" s="171">
        <f>IFERROR(__xludf.DUMMYFUNCTION("""COMPUTED_VALUE"""),294555.0)</f>
        <v>294555</v>
      </c>
      <c r="G106" s="171">
        <f>IFERROR(__xludf.DUMMYFUNCTION("""COMPUTED_VALUE"""),2776.0)</f>
        <v>2776</v>
      </c>
      <c r="H106" s="171">
        <f>IFERROR(__xludf.DUMMYFUNCTION("""COMPUTED_VALUE"""),320861.0)</f>
        <v>320861</v>
      </c>
      <c r="I106" s="233">
        <f>IFERROR(__xludf.DUMMYFUNCTION("""COMPUTED_VALUE"""),57.0)</f>
        <v>57</v>
      </c>
      <c r="J106" s="233">
        <f>IFERROR(__xludf.DUMMYFUNCTION("""COMPUTED_VALUE"""),69.0)</f>
        <v>69</v>
      </c>
      <c r="K106" s="233">
        <f>IFERROR(__xludf.DUMMYFUNCTION("""COMPUTED_VALUE"""),17912.0)</f>
        <v>17912</v>
      </c>
      <c r="L106" s="233">
        <f>IFERROR(__xludf.DUMMYFUNCTION("""COMPUTED_VALUE"""),1148.0)</f>
        <v>1148</v>
      </c>
      <c r="M106" s="233">
        <f>IFERROR(__xludf.DUMMYFUNCTION("""COMPUTED_VALUE"""),166745.0)</f>
        <v>166745</v>
      </c>
      <c r="N106" s="233">
        <f>IFERROR(__xludf.DUMMYFUNCTION("""COMPUTED_VALUE"""),184657.0)</f>
        <v>184657</v>
      </c>
      <c r="O106" s="233">
        <f>IFERROR(__xludf.DUMMYFUNCTION("""COMPUTED_VALUE"""),7.0)</f>
        <v>7</v>
      </c>
      <c r="P106" s="233">
        <f>IFERROR(__xludf.DUMMYFUNCTION("""COMPUTED_VALUE"""),2157.0)</f>
        <v>2157</v>
      </c>
      <c r="Q106" s="233">
        <f>IFERROR(__xludf.DUMMYFUNCTION("""COMPUTED_VALUE"""),3.0)</f>
        <v>3</v>
      </c>
      <c r="R106" s="233">
        <f>IFERROR(__xludf.DUMMYFUNCTION("""COMPUTED_VALUE"""),1764.0)</f>
        <v>1764</v>
      </c>
      <c r="S106" s="233">
        <f>IFERROR(__xludf.DUMMYFUNCTION("""COMPUTED_VALUE"""),0.0)</f>
        <v>0</v>
      </c>
      <c r="T106" s="233">
        <f>IFERROR(__xludf.DUMMYFUNCTION("""COMPUTED_VALUE"""),314.0)</f>
        <v>314</v>
      </c>
      <c r="U106" s="233">
        <f>IFERROR(__xludf.DUMMYFUNCTION("""COMPUTED_VALUE"""),79.0)</f>
        <v>79</v>
      </c>
      <c r="V106" s="233">
        <f>IFERROR(__xludf.DUMMYFUNCTION("""COMPUTED_VALUE"""),78.0)</f>
        <v>78</v>
      </c>
      <c r="W106" s="233">
        <f>IFERROR(__xludf.DUMMYFUNCTION("""COMPUTED_VALUE"""),6.0)</f>
        <v>6</v>
      </c>
      <c r="X106" s="233">
        <f>IFERROR(__xludf.DUMMYFUNCTION("""COMPUTED_VALUE"""),4.0)</f>
        <v>4</v>
      </c>
      <c r="Y106" s="233">
        <f>IFERROR(__xludf.DUMMYFUNCTION("""COMPUTED_VALUE"""),2.0)</f>
        <v>2</v>
      </c>
      <c r="Z106" s="233">
        <f>IFERROR(__xludf.DUMMYFUNCTION("""COMPUTED_VALUE"""),1012.0)</f>
        <v>1012</v>
      </c>
    </row>
    <row r="107">
      <c r="A107" s="232">
        <f>IFERROR(__xludf.DUMMYFUNCTION("""COMPUTED_VALUE"""),44032.0)</f>
        <v>44032</v>
      </c>
      <c r="B107" s="233">
        <f>IFERROR(__xludf.DUMMYFUNCTION("""COMPUTED_VALUE"""),71.0)</f>
        <v>71</v>
      </c>
      <c r="C107" s="233">
        <f>IFERROR(__xludf.DUMMYFUNCTION("""COMPUTED_VALUE"""),79.0)</f>
        <v>79</v>
      </c>
      <c r="D107" s="233">
        <f>IFERROR(__xludf.DUMMYFUNCTION("""COMPUTED_VALUE"""),26377.0)</f>
        <v>26377</v>
      </c>
      <c r="E107" s="233">
        <f>IFERROR(__xludf.DUMMYFUNCTION("""COMPUTED_VALUE"""),2664.0)</f>
        <v>2664</v>
      </c>
      <c r="F107" s="171">
        <f>IFERROR(__xludf.DUMMYFUNCTION("""COMPUTED_VALUE"""),297219.0)</f>
        <v>297219</v>
      </c>
      <c r="G107" s="171">
        <f>IFERROR(__xludf.DUMMYFUNCTION("""COMPUTED_VALUE"""),2735.0)</f>
        <v>2735</v>
      </c>
      <c r="H107" s="171">
        <f>IFERROR(__xludf.DUMMYFUNCTION("""COMPUTED_VALUE"""),323596.0)</f>
        <v>323596</v>
      </c>
      <c r="I107" s="233">
        <f>IFERROR(__xludf.DUMMYFUNCTION("""COMPUTED_VALUE"""),68.0)</f>
        <v>68</v>
      </c>
      <c r="J107" s="233">
        <f>IFERROR(__xludf.DUMMYFUNCTION("""COMPUTED_VALUE"""),65.0)</f>
        <v>65</v>
      </c>
      <c r="K107" s="233">
        <f>IFERROR(__xludf.DUMMYFUNCTION("""COMPUTED_VALUE"""),17980.0)</f>
        <v>17980</v>
      </c>
      <c r="L107" s="233">
        <f>IFERROR(__xludf.DUMMYFUNCTION("""COMPUTED_VALUE"""),1457.0)</f>
        <v>1457</v>
      </c>
      <c r="M107" s="233">
        <f>IFERROR(__xludf.DUMMYFUNCTION("""COMPUTED_VALUE"""),168202.0)</f>
        <v>168202</v>
      </c>
      <c r="N107" s="233">
        <f>IFERROR(__xludf.DUMMYFUNCTION("""COMPUTED_VALUE"""),186182.0)</f>
        <v>186182</v>
      </c>
      <c r="O107" s="233">
        <f>IFERROR(__xludf.DUMMYFUNCTION("""COMPUTED_VALUE"""),9.0)</f>
        <v>9</v>
      </c>
      <c r="P107" s="233">
        <f>IFERROR(__xludf.DUMMYFUNCTION("""COMPUTED_VALUE"""),2166.0)</f>
        <v>2166</v>
      </c>
      <c r="Q107" s="233">
        <f>IFERROR(__xludf.DUMMYFUNCTION("""COMPUTED_VALUE"""),7.0)</f>
        <v>7</v>
      </c>
      <c r="R107" s="233">
        <f>IFERROR(__xludf.DUMMYFUNCTION("""COMPUTED_VALUE"""),1771.0)</f>
        <v>1771</v>
      </c>
      <c r="S107" s="233">
        <f>IFERROR(__xludf.DUMMYFUNCTION("""COMPUTED_VALUE"""),0.0)</f>
        <v>0</v>
      </c>
      <c r="T107" s="233">
        <f>IFERROR(__xludf.DUMMYFUNCTION("""COMPUTED_VALUE"""),314.0)</f>
        <v>314</v>
      </c>
      <c r="U107" s="233">
        <f>IFERROR(__xludf.DUMMYFUNCTION("""COMPUTED_VALUE"""),81.0)</f>
        <v>81</v>
      </c>
      <c r="V107" s="233">
        <f>IFERROR(__xludf.DUMMYFUNCTION("""COMPUTED_VALUE"""),78.0)</f>
        <v>78</v>
      </c>
      <c r="W107" s="233">
        <f>IFERROR(__xludf.DUMMYFUNCTION("""COMPUTED_VALUE"""),7.0)</f>
        <v>7</v>
      </c>
      <c r="X107" s="233">
        <f>IFERROR(__xludf.DUMMYFUNCTION("""COMPUTED_VALUE"""),5.0)</f>
        <v>5</v>
      </c>
      <c r="Y107" s="233">
        <f>IFERROR(__xludf.DUMMYFUNCTION("""COMPUTED_VALUE"""),2.0)</f>
        <v>2</v>
      </c>
      <c r="Z107" s="233">
        <f>IFERROR(__xludf.DUMMYFUNCTION("""COMPUTED_VALUE"""),1014.0)</f>
        <v>1014</v>
      </c>
    </row>
    <row r="108">
      <c r="A108" s="232">
        <f>IFERROR(__xludf.DUMMYFUNCTION("""COMPUTED_VALUE"""),44033.0)</f>
        <v>44033</v>
      </c>
      <c r="B108" s="233">
        <f>IFERROR(__xludf.DUMMYFUNCTION("""COMPUTED_VALUE"""),130.0)</f>
        <v>130</v>
      </c>
      <c r="C108" s="233">
        <f>IFERROR(__xludf.DUMMYFUNCTION("""COMPUTED_VALUE"""),94.0)</f>
        <v>94</v>
      </c>
      <c r="D108" s="233">
        <f>IFERROR(__xludf.DUMMYFUNCTION("""COMPUTED_VALUE"""),26507.0)</f>
        <v>26507</v>
      </c>
      <c r="E108" s="233">
        <f>IFERROR(__xludf.DUMMYFUNCTION("""COMPUTED_VALUE"""),4299.0)</f>
        <v>4299</v>
      </c>
      <c r="F108" s="171">
        <f>IFERROR(__xludf.DUMMYFUNCTION("""COMPUTED_VALUE"""),301518.0)</f>
        <v>301518</v>
      </c>
      <c r="G108" s="171">
        <f>IFERROR(__xludf.DUMMYFUNCTION("""COMPUTED_VALUE"""),4429.0)</f>
        <v>4429</v>
      </c>
      <c r="H108" s="171">
        <f>IFERROR(__xludf.DUMMYFUNCTION("""COMPUTED_VALUE"""),328025.0)</f>
        <v>328025</v>
      </c>
      <c r="I108" s="233">
        <f>IFERROR(__xludf.DUMMYFUNCTION("""COMPUTED_VALUE"""),109.0)</f>
        <v>109</v>
      </c>
      <c r="J108" s="233">
        <f>IFERROR(__xludf.DUMMYFUNCTION("""COMPUTED_VALUE"""),78.0)</f>
        <v>78</v>
      </c>
      <c r="K108" s="233">
        <f>IFERROR(__xludf.DUMMYFUNCTION("""COMPUTED_VALUE"""),18089.0)</f>
        <v>18089</v>
      </c>
      <c r="L108" s="233">
        <f>IFERROR(__xludf.DUMMYFUNCTION("""COMPUTED_VALUE"""),1913.0)</f>
        <v>1913</v>
      </c>
      <c r="M108" s="233">
        <f>IFERROR(__xludf.DUMMYFUNCTION("""COMPUTED_VALUE"""),170115.0)</f>
        <v>170115</v>
      </c>
      <c r="N108" s="233">
        <f>IFERROR(__xludf.DUMMYFUNCTION("""COMPUTED_VALUE"""),188204.0)</f>
        <v>188204</v>
      </c>
      <c r="O108" s="233">
        <f>IFERROR(__xludf.DUMMYFUNCTION("""COMPUTED_VALUE"""),9.0)</f>
        <v>9</v>
      </c>
      <c r="P108" s="233">
        <f>IFERROR(__xludf.DUMMYFUNCTION("""COMPUTED_VALUE"""),2175.0)</f>
        <v>2175</v>
      </c>
      <c r="Q108" s="233">
        <f>IFERROR(__xludf.DUMMYFUNCTION("""COMPUTED_VALUE"""),11.0)</f>
        <v>11</v>
      </c>
      <c r="R108" s="233">
        <f>IFERROR(__xludf.DUMMYFUNCTION("""COMPUTED_VALUE"""),1782.0)</f>
        <v>1782</v>
      </c>
      <c r="S108" s="233">
        <f>IFERROR(__xludf.DUMMYFUNCTION("""COMPUTED_VALUE"""),0.0)</f>
        <v>0</v>
      </c>
      <c r="T108" s="233">
        <f>IFERROR(__xludf.DUMMYFUNCTION("""COMPUTED_VALUE"""),314.0)</f>
        <v>314</v>
      </c>
      <c r="U108" s="233">
        <f>IFERROR(__xludf.DUMMYFUNCTION("""COMPUTED_VALUE"""),79.0)</f>
        <v>79</v>
      </c>
      <c r="V108" s="233">
        <f>IFERROR(__xludf.DUMMYFUNCTION("""COMPUTED_VALUE"""),80.0)</f>
        <v>80</v>
      </c>
      <c r="W108" s="233">
        <f>IFERROR(__xludf.DUMMYFUNCTION("""COMPUTED_VALUE"""),9.0)</f>
        <v>9</v>
      </c>
      <c r="X108" s="233">
        <f>IFERROR(__xludf.DUMMYFUNCTION("""COMPUTED_VALUE"""),6.0)</f>
        <v>6</v>
      </c>
      <c r="Y108" s="233">
        <f>IFERROR(__xludf.DUMMYFUNCTION("""COMPUTED_VALUE"""),1.0)</f>
        <v>1</v>
      </c>
      <c r="Z108" s="233">
        <f>IFERROR(__xludf.DUMMYFUNCTION("""COMPUTED_VALUE"""),1015.0)</f>
        <v>1015</v>
      </c>
    </row>
    <row r="109">
      <c r="A109" s="232">
        <f>IFERROR(__xludf.DUMMYFUNCTION("""COMPUTED_VALUE"""),44034.0)</f>
        <v>44034</v>
      </c>
      <c r="B109" s="233">
        <f>IFERROR(__xludf.DUMMYFUNCTION("""COMPUTED_VALUE"""),130.0)</f>
        <v>130</v>
      </c>
      <c r="C109" s="233">
        <f>IFERROR(__xludf.DUMMYFUNCTION("""COMPUTED_VALUE"""),110.0)</f>
        <v>110</v>
      </c>
      <c r="D109" s="233">
        <f>IFERROR(__xludf.DUMMYFUNCTION("""COMPUTED_VALUE"""),26637.0)</f>
        <v>26637</v>
      </c>
      <c r="E109" s="233">
        <f>IFERROR(__xludf.DUMMYFUNCTION("""COMPUTED_VALUE"""),3927.0)</f>
        <v>3927</v>
      </c>
      <c r="F109" s="171">
        <f>IFERROR(__xludf.DUMMYFUNCTION("""COMPUTED_VALUE"""),305445.0)</f>
        <v>305445</v>
      </c>
      <c r="G109" s="171">
        <f>IFERROR(__xludf.DUMMYFUNCTION("""COMPUTED_VALUE"""),4057.0)</f>
        <v>4057</v>
      </c>
      <c r="H109" s="171">
        <f>IFERROR(__xludf.DUMMYFUNCTION("""COMPUTED_VALUE"""),332082.0)</f>
        <v>332082</v>
      </c>
      <c r="I109" s="233">
        <f>IFERROR(__xludf.DUMMYFUNCTION("""COMPUTED_VALUE"""),86.0)</f>
        <v>86</v>
      </c>
      <c r="J109" s="233">
        <f>IFERROR(__xludf.DUMMYFUNCTION("""COMPUTED_VALUE"""),88.0)</f>
        <v>88</v>
      </c>
      <c r="K109" s="233">
        <f>IFERROR(__xludf.DUMMYFUNCTION("""COMPUTED_VALUE"""),18175.0)</f>
        <v>18175</v>
      </c>
      <c r="L109" s="233">
        <f>IFERROR(__xludf.DUMMYFUNCTION("""COMPUTED_VALUE"""),1681.0)</f>
        <v>1681</v>
      </c>
      <c r="M109" s="233">
        <f>IFERROR(__xludf.DUMMYFUNCTION("""COMPUTED_VALUE"""),171796.0)</f>
        <v>171796</v>
      </c>
      <c r="N109" s="233">
        <f>IFERROR(__xludf.DUMMYFUNCTION("""COMPUTED_VALUE"""),189971.0)</f>
        <v>189971</v>
      </c>
      <c r="O109" s="233">
        <f>IFERROR(__xludf.DUMMYFUNCTION("""COMPUTED_VALUE"""),11.0)</f>
        <v>11</v>
      </c>
      <c r="P109" s="233">
        <f>IFERROR(__xludf.DUMMYFUNCTION("""COMPUTED_VALUE"""),2186.0)</f>
        <v>2186</v>
      </c>
      <c r="Q109" s="233">
        <f>IFERROR(__xludf.DUMMYFUNCTION("""COMPUTED_VALUE"""),11.0)</f>
        <v>11</v>
      </c>
      <c r="R109" s="233">
        <f>IFERROR(__xludf.DUMMYFUNCTION("""COMPUTED_VALUE"""),1793.0)</f>
        <v>1793</v>
      </c>
      <c r="S109" s="233">
        <f>IFERROR(__xludf.DUMMYFUNCTION("""COMPUTED_VALUE"""),1.0)</f>
        <v>1</v>
      </c>
      <c r="T109" s="233">
        <f>IFERROR(__xludf.DUMMYFUNCTION("""COMPUTED_VALUE"""),315.0)</f>
        <v>315</v>
      </c>
      <c r="U109" s="233">
        <f>IFERROR(__xludf.DUMMYFUNCTION("""COMPUTED_VALUE"""),78.0)</f>
        <v>78</v>
      </c>
      <c r="V109" s="233">
        <f>IFERROR(__xludf.DUMMYFUNCTION("""COMPUTED_VALUE"""),79.0)</f>
        <v>79</v>
      </c>
      <c r="W109" s="233">
        <f>IFERROR(__xludf.DUMMYFUNCTION("""COMPUTED_VALUE"""),7.0)</f>
        <v>7</v>
      </c>
      <c r="X109" s="233">
        <f>IFERROR(__xludf.DUMMYFUNCTION("""COMPUTED_VALUE"""),6.0)</f>
        <v>6</v>
      </c>
      <c r="Y109" s="233">
        <f>IFERROR(__xludf.DUMMYFUNCTION("""COMPUTED_VALUE"""),1.0)</f>
        <v>1</v>
      </c>
      <c r="Z109" s="233">
        <f>IFERROR(__xludf.DUMMYFUNCTION("""COMPUTED_VALUE"""),1016.0)</f>
        <v>1016</v>
      </c>
    </row>
    <row r="110">
      <c r="A110" s="232">
        <f>IFERROR(__xludf.DUMMYFUNCTION("""COMPUTED_VALUE"""),44035.0)</f>
        <v>44035</v>
      </c>
      <c r="B110" s="233">
        <f>IFERROR(__xludf.DUMMYFUNCTION("""COMPUTED_VALUE"""),141.0)</f>
        <v>141</v>
      </c>
      <c r="C110" s="233">
        <f>IFERROR(__xludf.DUMMYFUNCTION("""COMPUTED_VALUE"""),134.0)</f>
        <v>134</v>
      </c>
      <c r="D110" s="233">
        <f>IFERROR(__xludf.DUMMYFUNCTION("""COMPUTED_VALUE"""),26778.0)</f>
        <v>26778</v>
      </c>
      <c r="E110" s="233">
        <f>IFERROR(__xludf.DUMMYFUNCTION("""COMPUTED_VALUE"""),4413.0)</f>
        <v>4413</v>
      </c>
      <c r="F110" s="171">
        <f>IFERROR(__xludf.DUMMYFUNCTION("""COMPUTED_VALUE"""),309858.0)</f>
        <v>309858</v>
      </c>
      <c r="G110" s="171">
        <f>IFERROR(__xludf.DUMMYFUNCTION("""COMPUTED_VALUE"""),4554.0)</f>
        <v>4554</v>
      </c>
      <c r="H110" s="171">
        <f>IFERROR(__xludf.DUMMYFUNCTION("""COMPUTED_VALUE"""),336636.0)</f>
        <v>336636</v>
      </c>
      <c r="I110" s="233">
        <f>IFERROR(__xludf.DUMMYFUNCTION("""COMPUTED_VALUE"""),115.0)</f>
        <v>115</v>
      </c>
      <c r="J110" s="233">
        <f>IFERROR(__xludf.DUMMYFUNCTION("""COMPUTED_VALUE"""),103.0)</f>
        <v>103</v>
      </c>
      <c r="K110" s="233">
        <f>IFERROR(__xludf.DUMMYFUNCTION("""COMPUTED_VALUE"""),18290.0)</f>
        <v>18290</v>
      </c>
      <c r="L110" s="233">
        <f>IFERROR(__xludf.DUMMYFUNCTION("""COMPUTED_VALUE"""),1979.0)</f>
        <v>1979</v>
      </c>
      <c r="M110" s="233">
        <f>IFERROR(__xludf.DUMMYFUNCTION("""COMPUTED_VALUE"""),173775.0)</f>
        <v>173775</v>
      </c>
      <c r="N110" s="233">
        <f>IFERROR(__xludf.DUMMYFUNCTION("""COMPUTED_VALUE"""),192065.0)</f>
        <v>192065</v>
      </c>
      <c r="O110" s="233">
        <f>IFERROR(__xludf.DUMMYFUNCTION("""COMPUTED_VALUE"""),8.0)</f>
        <v>8</v>
      </c>
      <c r="P110" s="233">
        <f>IFERROR(__xludf.DUMMYFUNCTION("""COMPUTED_VALUE"""),2194.0)</f>
        <v>2194</v>
      </c>
      <c r="Q110" s="233">
        <f>IFERROR(__xludf.DUMMYFUNCTION("""COMPUTED_VALUE"""),6.0)</f>
        <v>6</v>
      </c>
      <c r="R110" s="233">
        <f>IFERROR(__xludf.DUMMYFUNCTION("""COMPUTED_VALUE"""),1799.0)</f>
        <v>1799</v>
      </c>
      <c r="S110" s="233">
        <f>IFERROR(__xludf.DUMMYFUNCTION("""COMPUTED_VALUE"""),0.0)</f>
        <v>0</v>
      </c>
      <c r="T110" s="233">
        <f>IFERROR(__xludf.DUMMYFUNCTION("""COMPUTED_VALUE"""),315.0)</f>
        <v>315</v>
      </c>
      <c r="U110" s="233">
        <f>IFERROR(__xludf.DUMMYFUNCTION("""COMPUTED_VALUE"""),80.0)</f>
        <v>80</v>
      </c>
      <c r="V110" s="233">
        <f>IFERROR(__xludf.DUMMYFUNCTION("""COMPUTED_VALUE"""),79.0)</f>
        <v>79</v>
      </c>
      <c r="W110" s="233">
        <f>IFERROR(__xludf.DUMMYFUNCTION("""COMPUTED_VALUE"""),8.0)</f>
        <v>8</v>
      </c>
      <c r="X110" s="233">
        <f>IFERROR(__xludf.DUMMYFUNCTION("""COMPUTED_VALUE"""),7.0)</f>
        <v>7</v>
      </c>
      <c r="Y110" s="233">
        <f>IFERROR(__xludf.DUMMYFUNCTION("""COMPUTED_VALUE"""),0.0)</f>
        <v>0</v>
      </c>
      <c r="Z110" s="233">
        <f>IFERROR(__xludf.DUMMYFUNCTION("""COMPUTED_VALUE"""),1016.0)</f>
        <v>1016</v>
      </c>
    </row>
    <row r="111">
      <c r="A111" s="232">
        <f>IFERROR(__xludf.DUMMYFUNCTION("""COMPUTED_VALUE"""),44036.0)</f>
        <v>44036</v>
      </c>
      <c r="B111" s="233">
        <f>IFERROR(__xludf.DUMMYFUNCTION("""COMPUTED_VALUE"""),172.0)</f>
        <v>172</v>
      </c>
      <c r="C111" s="233">
        <f>IFERROR(__xludf.DUMMYFUNCTION("""COMPUTED_VALUE"""),148.0)</f>
        <v>148</v>
      </c>
      <c r="D111" s="233">
        <f>IFERROR(__xludf.DUMMYFUNCTION("""COMPUTED_VALUE"""),26950.0)</f>
        <v>26950</v>
      </c>
      <c r="E111" s="233">
        <f>IFERROR(__xludf.DUMMYFUNCTION("""COMPUTED_VALUE"""),5961.0)</f>
        <v>5961</v>
      </c>
      <c r="F111" s="171">
        <f>IFERROR(__xludf.DUMMYFUNCTION("""COMPUTED_VALUE"""),315819.0)</f>
        <v>315819</v>
      </c>
      <c r="G111" s="171">
        <f>IFERROR(__xludf.DUMMYFUNCTION("""COMPUTED_VALUE"""),6133.0)</f>
        <v>6133</v>
      </c>
      <c r="H111" s="171">
        <f>IFERROR(__xludf.DUMMYFUNCTION("""COMPUTED_VALUE"""),342769.0)</f>
        <v>342769</v>
      </c>
      <c r="I111" s="233">
        <f>IFERROR(__xludf.DUMMYFUNCTION("""COMPUTED_VALUE"""),119.0)</f>
        <v>119</v>
      </c>
      <c r="J111" s="233">
        <f>IFERROR(__xludf.DUMMYFUNCTION("""COMPUTED_VALUE"""),107.0)</f>
        <v>107</v>
      </c>
      <c r="K111" s="233">
        <f>IFERROR(__xludf.DUMMYFUNCTION("""COMPUTED_VALUE"""),18409.0)</f>
        <v>18409</v>
      </c>
      <c r="L111" s="233">
        <f>IFERROR(__xludf.DUMMYFUNCTION("""COMPUTED_VALUE"""),2316.0)</f>
        <v>2316</v>
      </c>
      <c r="M111" s="233">
        <f>IFERROR(__xludf.DUMMYFUNCTION("""COMPUTED_VALUE"""),176091.0)</f>
        <v>176091</v>
      </c>
      <c r="N111" s="233">
        <f>IFERROR(__xludf.DUMMYFUNCTION("""COMPUTED_VALUE"""),194500.0)</f>
        <v>194500</v>
      </c>
      <c r="O111" s="233">
        <f>IFERROR(__xludf.DUMMYFUNCTION("""COMPUTED_VALUE"""),14.0)</f>
        <v>14</v>
      </c>
      <c r="P111" s="233">
        <f>IFERROR(__xludf.DUMMYFUNCTION("""COMPUTED_VALUE"""),2208.0)</f>
        <v>2208</v>
      </c>
      <c r="Q111" s="233">
        <f>IFERROR(__xludf.DUMMYFUNCTION("""COMPUTED_VALUE"""),14.0)</f>
        <v>14</v>
      </c>
      <c r="R111" s="233">
        <f>IFERROR(__xludf.DUMMYFUNCTION("""COMPUTED_VALUE"""),1813.0)</f>
        <v>1813</v>
      </c>
      <c r="S111" s="233">
        <f>IFERROR(__xludf.DUMMYFUNCTION("""COMPUTED_VALUE"""),0.0)</f>
        <v>0</v>
      </c>
      <c r="T111" s="233">
        <f>IFERROR(__xludf.DUMMYFUNCTION("""COMPUTED_VALUE"""),315.0)</f>
        <v>315</v>
      </c>
      <c r="U111" s="233">
        <f>IFERROR(__xludf.DUMMYFUNCTION("""COMPUTED_VALUE"""),80.0)</f>
        <v>80</v>
      </c>
      <c r="V111" s="233">
        <f>IFERROR(__xludf.DUMMYFUNCTION("""COMPUTED_VALUE"""),79.0)</f>
        <v>79</v>
      </c>
      <c r="W111" s="233">
        <f>IFERROR(__xludf.DUMMYFUNCTION("""COMPUTED_VALUE"""),9.0)</f>
        <v>9</v>
      </c>
      <c r="X111" s="233">
        <f>IFERROR(__xludf.DUMMYFUNCTION("""COMPUTED_VALUE"""),7.0)</f>
        <v>7</v>
      </c>
      <c r="Y111" s="233">
        <f>IFERROR(__xludf.DUMMYFUNCTION("""COMPUTED_VALUE"""),0.0)</f>
        <v>0</v>
      </c>
      <c r="Z111" s="233">
        <f>IFERROR(__xludf.DUMMYFUNCTION("""COMPUTED_VALUE"""),1016.0)</f>
        <v>1016</v>
      </c>
    </row>
    <row r="112">
      <c r="A112" s="232">
        <f>IFERROR(__xludf.DUMMYFUNCTION("""COMPUTED_VALUE"""),44037.0)</f>
        <v>44037</v>
      </c>
      <c r="B112" s="233">
        <f>IFERROR(__xludf.DUMMYFUNCTION("""COMPUTED_VALUE"""),134.0)</f>
        <v>134</v>
      </c>
      <c r="C112" s="233">
        <f>IFERROR(__xludf.DUMMYFUNCTION("""COMPUTED_VALUE"""),149.0)</f>
        <v>149</v>
      </c>
      <c r="D112" s="233">
        <f>IFERROR(__xludf.DUMMYFUNCTION("""COMPUTED_VALUE"""),27084.0)</f>
        <v>27084</v>
      </c>
      <c r="E112" s="233">
        <f>IFERROR(__xludf.DUMMYFUNCTION("""COMPUTED_VALUE"""),4399.0)</f>
        <v>4399</v>
      </c>
      <c r="F112" s="171">
        <f>IFERROR(__xludf.DUMMYFUNCTION("""COMPUTED_VALUE"""),320218.0)</f>
        <v>320218</v>
      </c>
      <c r="G112" s="171">
        <f>IFERROR(__xludf.DUMMYFUNCTION("""COMPUTED_VALUE"""),4533.0)</f>
        <v>4533</v>
      </c>
      <c r="H112" s="171">
        <f>IFERROR(__xludf.DUMMYFUNCTION("""COMPUTED_VALUE"""),347302.0)</f>
        <v>347302</v>
      </c>
      <c r="I112" s="233">
        <f>IFERROR(__xludf.DUMMYFUNCTION("""COMPUTED_VALUE"""),108.0)</f>
        <v>108</v>
      </c>
      <c r="J112" s="233">
        <f>IFERROR(__xludf.DUMMYFUNCTION("""COMPUTED_VALUE"""),114.0)</f>
        <v>114</v>
      </c>
      <c r="K112" s="233">
        <f>IFERROR(__xludf.DUMMYFUNCTION("""COMPUTED_VALUE"""),18517.0)</f>
        <v>18517</v>
      </c>
      <c r="L112" s="233">
        <f>IFERROR(__xludf.DUMMYFUNCTION("""COMPUTED_VALUE"""),2092.0)</f>
        <v>2092</v>
      </c>
      <c r="M112" s="233">
        <f>IFERROR(__xludf.DUMMYFUNCTION("""COMPUTED_VALUE"""),178183.0)</f>
        <v>178183</v>
      </c>
      <c r="N112" s="233">
        <f>IFERROR(__xludf.DUMMYFUNCTION("""COMPUTED_VALUE"""),196700.0)</f>
        <v>196700</v>
      </c>
      <c r="O112" s="233">
        <f>IFERROR(__xludf.DUMMYFUNCTION("""COMPUTED_VALUE"""),7.0)</f>
        <v>7</v>
      </c>
      <c r="P112" s="233">
        <f>IFERROR(__xludf.DUMMYFUNCTION("""COMPUTED_VALUE"""),2215.0)</f>
        <v>2215</v>
      </c>
      <c r="Q112" s="233">
        <f>IFERROR(__xludf.DUMMYFUNCTION("""COMPUTED_VALUE"""),7.0)</f>
        <v>7</v>
      </c>
      <c r="R112" s="233">
        <f>IFERROR(__xludf.DUMMYFUNCTION("""COMPUTED_VALUE"""),1820.0)</f>
        <v>1820</v>
      </c>
      <c r="S112" s="233">
        <f>IFERROR(__xludf.DUMMYFUNCTION("""COMPUTED_VALUE"""),0.0)</f>
        <v>0</v>
      </c>
      <c r="T112" s="233">
        <f>IFERROR(__xludf.DUMMYFUNCTION("""COMPUTED_VALUE"""),315.0)</f>
        <v>315</v>
      </c>
      <c r="U112" s="233">
        <f>IFERROR(__xludf.DUMMYFUNCTION("""COMPUTED_VALUE"""),80.0)</f>
        <v>80</v>
      </c>
      <c r="V112" s="233">
        <f>IFERROR(__xludf.DUMMYFUNCTION("""COMPUTED_VALUE"""),80.0)</f>
        <v>80</v>
      </c>
      <c r="W112" s="233">
        <f>IFERROR(__xludf.DUMMYFUNCTION("""COMPUTED_VALUE"""),10.0)</f>
        <v>10</v>
      </c>
      <c r="X112" s="233">
        <f>IFERROR(__xludf.DUMMYFUNCTION("""COMPUTED_VALUE"""),8.0)</f>
        <v>8</v>
      </c>
      <c r="Y112" s="233">
        <f>IFERROR(__xludf.DUMMYFUNCTION("""COMPUTED_VALUE"""),2.0)</f>
        <v>2</v>
      </c>
      <c r="Z112" s="233">
        <f>IFERROR(__xludf.DUMMYFUNCTION("""COMPUTED_VALUE"""),1018.0)</f>
        <v>1018</v>
      </c>
    </row>
    <row r="113">
      <c r="A113" s="232">
        <f>IFERROR(__xludf.DUMMYFUNCTION("""COMPUTED_VALUE"""),44038.0)</f>
        <v>44038</v>
      </c>
      <c r="B113" s="233">
        <f>IFERROR(__xludf.DUMMYFUNCTION("""COMPUTED_VALUE"""),62.0)</f>
        <v>62</v>
      </c>
      <c r="C113" s="233">
        <f>IFERROR(__xludf.DUMMYFUNCTION("""COMPUTED_VALUE"""),123.0)</f>
        <v>123</v>
      </c>
      <c r="D113" s="233">
        <f>IFERROR(__xludf.DUMMYFUNCTION("""COMPUTED_VALUE"""),27146.0)</f>
        <v>27146</v>
      </c>
      <c r="E113" s="233">
        <f>IFERROR(__xludf.DUMMYFUNCTION("""COMPUTED_VALUE"""),3027.0)</f>
        <v>3027</v>
      </c>
      <c r="F113" s="171">
        <f>IFERROR(__xludf.DUMMYFUNCTION("""COMPUTED_VALUE"""),323245.0)</f>
        <v>323245</v>
      </c>
      <c r="G113" s="171">
        <f>IFERROR(__xludf.DUMMYFUNCTION("""COMPUTED_VALUE"""),3089.0)</f>
        <v>3089</v>
      </c>
      <c r="H113" s="171">
        <f>IFERROR(__xludf.DUMMYFUNCTION("""COMPUTED_VALUE"""),350391.0)</f>
        <v>350391</v>
      </c>
      <c r="I113" s="233">
        <f>IFERROR(__xludf.DUMMYFUNCTION("""COMPUTED_VALUE"""),54.0)</f>
        <v>54</v>
      </c>
      <c r="J113" s="233">
        <f>IFERROR(__xludf.DUMMYFUNCTION("""COMPUTED_VALUE"""),94.0)</f>
        <v>94</v>
      </c>
      <c r="K113" s="233">
        <f>IFERROR(__xludf.DUMMYFUNCTION("""COMPUTED_VALUE"""),18571.0)</f>
        <v>18571</v>
      </c>
      <c r="L113" s="233">
        <f>IFERROR(__xludf.DUMMYFUNCTION("""COMPUTED_VALUE"""),1333.0)</f>
        <v>1333</v>
      </c>
      <c r="M113" s="233">
        <f>IFERROR(__xludf.DUMMYFUNCTION("""COMPUTED_VALUE"""),179516.0)</f>
        <v>179516</v>
      </c>
      <c r="N113" s="233">
        <f>IFERROR(__xludf.DUMMYFUNCTION("""COMPUTED_VALUE"""),198087.0)</f>
        <v>198087</v>
      </c>
      <c r="O113" s="233">
        <f>IFERROR(__xludf.DUMMYFUNCTION("""COMPUTED_VALUE"""),8.0)</f>
        <v>8</v>
      </c>
      <c r="P113" s="233">
        <f>IFERROR(__xludf.DUMMYFUNCTION("""COMPUTED_VALUE"""),2223.0)</f>
        <v>2223</v>
      </c>
      <c r="Q113" s="233">
        <f>IFERROR(__xludf.DUMMYFUNCTION("""COMPUTED_VALUE"""),9.0)</f>
        <v>9</v>
      </c>
      <c r="R113" s="233">
        <f>IFERROR(__xludf.DUMMYFUNCTION("""COMPUTED_VALUE"""),1829.0)</f>
        <v>1829</v>
      </c>
      <c r="S113" s="233">
        <f>IFERROR(__xludf.DUMMYFUNCTION("""COMPUTED_VALUE"""),0.0)</f>
        <v>0</v>
      </c>
      <c r="T113" s="233">
        <f>IFERROR(__xludf.DUMMYFUNCTION("""COMPUTED_VALUE"""),315.0)</f>
        <v>315</v>
      </c>
      <c r="U113" s="233">
        <f>IFERROR(__xludf.DUMMYFUNCTION("""COMPUTED_VALUE"""),79.0)</f>
        <v>79</v>
      </c>
      <c r="V113" s="233">
        <f>IFERROR(__xludf.DUMMYFUNCTION("""COMPUTED_VALUE"""),80.0)</f>
        <v>80</v>
      </c>
      <c r="W113" s="233">
        <f>IFERROR(__xludf.DUMMYFUNCTION("""COMPUTED_VALUE"""),11.0)</f>
        <v>11</v>
      </c>
      <c r="X113" s="233">
        <f>IFERROR(__xludf.DUMMYFUNCTION("""COMPUTED_VALUE"""),7.0)</f>
        <v>7</v>
      </c>
      <c r="Y113" s="233">
        <f>IFERROR(__xludf.DUMMYFUNCTION("""COMPUTED_VALUE"""),1.0)</f>
        <v>1</v>
      </c>
      <c r="Z113" s="233">
        <f>IFERROR(__xludf.DUMMYFUNCTION("""COMPUTED_VALUE"""),1019.0)</f>
        <v>1019</v>
      </c>
    </row>
    <row r="114">
      <c r="A114" s="232">
        <f>IFERROR(__xludf.DUMMYFUNCTION("""COMPUTED_VALUE"""),44039.0)</f>
        <v>44039</v>
      </c>
      <c r="B114" s="233">
        <f>IFERROR(__xludf.DUMMYFUNCTION("""COMPUTED_VALUE"""),188.0)</f>
        <v>188</v>
      </c>
      <c r="C114" s="233">
        <f>IFERROR(__xludf.DUMMYFUNCTION("""COMPUTED_VALUE"""),128.0)</f>
        <v>128</v>
      </c>
      <c r="D114" s="233">
        <f>IFERROR(__xludf.DUMMYFUNCTION("""COMPUTED_VALUE"""),27334.0)</f>
        <v>27334</v>
      </c>
      <c r="E114" s="233">
        <f>IFERROR(__xludf.DUMMYFUNCTION("""COMPUTED_VALUE"""),4190.0)</f>
        <v>4190</v>
      </c>
      <c r="F114" s="171">
        <f>IFERROR(__xludf.DUMMYFUNCTION("""COMPUTED_VALUE"""),327435.0)</f>
        <v>327435</v>
      </c>
      <c r="G114" s="171">
        <f>IFERROR(__xludf.DUMMYFUNCTION("""COMPUTED_VALUE"""),4378.0)</f>
        <v>4378</v>
      </c>
      <c r="H114" s="171">
        <f>IFERROR(__xludf.DUMMYFUNCTION("""COMPUTED_VALUE"""),354769.0)</f>
        <v>354769</v>
      </c>
      <c r="I114" s="233">
        <f>IFERROR(__xludf.DUMMYFUNCTION("""COMPUTED_VALUE"""),138.0)</f>
        <v>138</v>
      </c>
      <c r="J114" s="233">
        <f>IFERROR(__xludf.DUMMYFUNCTION("""COMPUTED_VALUE"""),100.0)</f>
        <v>100</v>
      </c>
      <c r="K114" s="233">
        <f>IFERROR(__xludf.DUMMYFUNCTION("""COMPUTED_VALUE"""),18709.0)</f>
        <v>18709</v>
      </c>
      <c r="L114" s="233">
        <f>IFERROR(__xludf.DUMMYFUNCTION("""COMPUTED_VALUE"""),2342.0)</f>
        <v>2342</v>
      </c>
      <c r="M114" s="233">
        <f>IFERROR(__xludf.DUMMYFUNCTION("""COMPUTED_VALUE"""),181858.0)</f>
        <v>181858</v>
      </c>
      <c r="N114" s="233">
        <f>IFERROR(__xludf.DUMMYFUNCTION("""COMPUTED_VALUE"""),200567.0)</f>
        <v>200567</v>
      </c>
      <c r="O114" s="233">
        <f>IFERROR(__xludf.DUMMYFUNCTION("""COMPUTED_VALUE"""),12.0)</f>
        <v>12</v>
      </c>
      <c r="P114" s="233">
        <f>IFERROR(__xludf.DUMMYFUNCTION("""COMPUTED_VALUE"""),2235.0)</f>
        <v>2235</v>
      </c>
      <c r="Q114" s="233">
        <f>IFERROR(__xludf.DUMMYFUNCTION("""COMPUTED_VALUE"""),7.0)</f>
        <v>7</v>
      </c>
      <c r="R114" s="233">
        <f>IFERROR(__xludf.DUMMYFUNCTION("""COMPUTED_VALUE"""),1836.0)</f>
        <v>1836</v>
      </c>
      <c r="S114" s="233">
        <f>IFERROR(__xludf.DUMMYFUNCTION("""COMPUTED_VALUE"""),0.0)</f>
        <v>0</v>
      </c>
      <c r="T114" s="233">
        <f>IFERROR(__xludf.DUMMYFUNCTION("""COMPUTED_VALUE"""),315.0)</f>
        <v>315</v>
      </c>
      <c r="U114" s="233">
        <f>IFERROR(__xludf.DUMMYFUNCTION("""COMPUTED_VALUE"""),84.0)</f>
        <v>84</v>
      </c>
      <c r="V114" s="233">
        <f>IFERROR(__xludf.DUMMYFUNCTION("""COMPUTED_VALUE"""),81.0)</f>
        <v>81</v>
      </c>
      <c r="W114" s="233">
        <f>IFERROR(__xludf.DUMMYFUNCTION("""COMPUTED_VALUE"""),13.0)</f>
        <v>13</v>
      </c>
      <c r="X114" s="233">
        <f>IFERROR(__xludf.DUMMYFUNCTION("""COMPUTED_VALUE"""),8.0)</f>
        <v>8</v>
      </c>
      <c r="Y114" s="233">
        <f>IFERROR(__xludf.DUMMYFUNCTION("""COMPUTED_VALUE"""),1.0)</f>
        <v>1</v>
      </c>
      <c r="Z114" s="233">
        <f>IFERROR(__xludf.DUMMYFUNCTION("""COMPUTED_VALUE"""),1020.0)</f>
        <v>1020</v>
      </c>
    </row>
    <row r="115">
      <c r="A115" s="232">
        <f>IFERROR(__xludf.DUMMYFUNCTION("""COMPUTED_VALUE"""),44040.0)</f>
        <v>44040</v>
      </c>
      <c r="B115" s="233">
        <f>IFERROR(__xludf.DUMMYFUNCTION("""COMPUTED_VALUE"""),106.0)</f>
        <v>106</v>
      </c>
      <c r="C115" s="233">
        <f>IFERROR(__xludf.DUMMYFUNCTION("""COMPUTED_VALUE"""),119.0)</f>
        <v>119</v>
      </c>
      <c r="D115" s="233">
        <f>IFERROR(__xludf.DUMMYFUNCTION("""COMPUTED_VALUE"""),27440.0)</f>
        <v>27440</v>
      </c>
      <c r="E115" s="233">
        <f>IFERROR(__xludf.DUMMYFUNCTION("""COMPUTED_VALUE"""),3834.0)</f>
        <v>3834</v>
      </c>
      <c r="F115" s="171">
        <f>IFERROR(__xludf.DUMMYFUNCTION("""COMPUTED_VALUE"""),331269.0)</f>
        <v>331269</v>
      </c>
      <c r="G115" s="171">
        <f>IFERROR(__xludf.DUMMYFUNCTION("""COMPUTED_VALUE"""),3940.0)</f>
        <v>3940</v>
      </c>
      <c r="H115" s="171">
        <f>IFERROR(__xludf.DUMMYFUNCTION("""COMPUTED_VALUE"""),358709.0)</f>
        <v>358709</v>
      </c>
      <c r="I115" s="233">
        <f>IFERROR(__xludf.DUMMYFUNCTION("""COMPUTED_VALUE"""),95.0)</f>
        <v>95</v>
      </c>
      <c r="J115" s="233">
        <f>IFERROR(__xludf.DUMMYFUNCTION("""COMPUTED_VALUE"""),96.0)</f>
        <v>96</v>
      </c>
      <c r="K115" s="233">
        <f>IFERROR(__xludf.DUMMYFUNCTION("""COMPUTED_VALUE"""),18804.0)</f>
        <v>18804</v>
      </c>
      <c r="L115" s="233">
        <f>IFERROR(__xludf.DUMMYFUNCTION("""COMPUTED_VALUE"""),1632.0)</f>
        <v>1632</v>
      </c>
      <c r="M115" s="233">
        <f>IFERROR(__xludf.DUMMYFUNCTION("""COMPUTED_VALUE"""),183490.0)</f>
        <v>183490</v>
      </c>
      <c r="N115" s="233">
        <f>IFERROR(__xludf.DUMMYFUNCTION("""COMPUTED_VALUE"""),202294.0)</f>
        <v>202294</v>
      </c>
      <c r="O115" s="233">
        <f>IFERROR(__xludf.DUMMYFUNCTION("""COMPUTED_VALUE"""),5.0)</f>
        <v>5</v>
      </c>
      <c r="P115" s="233">
        <f>IFERROR(__xludf.DUMMYFUNCTION("""COMPUTED_VALUE"""),2240.0)</f>
        <v>2240</v>
      </c>
      <c r="Q115" s="233">
        <f>IFERROR(__xludf.DUMMYFUNCTION("""COMPUTED_VALUE"""),5.0)</f>
        <v>5</v>
      </c>
      <c r="R115" s="233">
        <f>IFERROR(__xludf.DUMMYFUNCTION("""COMPUTED_VALUE"""),1841.0)</f>
        <v>1841</v>
      </c>
      <c r="S115" s="233">
        <f>IFERROR(__xludf.DUMMYFUNCTION("""COMPUTED_VALUE"""),0.0)</f>
        <v>0</v>
      </c>
      <c r="T115" s="233">
        <f>IFERROR(__xludf.DUMMYFUNCTION("""COMPUTED_VALUE"""),315.0)</f>
        <v>315</v>
      </c>
      <c r="U115" s="233">
        <f>IFERROR(__xludf.DUMMYFUNCTION("""COMPUTED_VALUE"""),84.0)</f>
        <v>84</v>
      </c>
      <c r="V115" s="233">
        <f>IFERROR(__xludf.DUMMYFUNCTION("""COMPUTED_VALUE"""),82.0)</f>
        <v>82</v>
      </c>
      <c r="W115" s="233">
        <f>IFERROR(__xludf.DUMMYFUNCTION("""COMPUTED_VALUE"""),14.0)</f>
        <v>14</v>
      </c>
      <c r="X115" s="233">
        <f>IFERROR(__xludf.DUMMYFUNCTION("""COMPUTED_VALUE"""),7.0)</f>
        <v>7</v>
      </c>
      <c r="Y115" s="233">
        <f>IFERROR(__xludf.DUMMYFUNCTION("""COMPUTED_VALUE"""),1.0)</f>
        <v>1</v>
      </c>
      <c r="Z115" s="233">
        <f>IFERROR(__xludf.DUMMYFUNCTION("""COMPUTED_VALUE"""),1021.0)</f>
        <v>1021</v>
      </c>
    </row>
    <row r="116">
      <c r="A116" s="232">
        <f>IFERROR(__xludf.DUMMYFUNCTION("""COMPUTED_VALUE"""),44041.0)</f>
        <v>44041</v>
      </c>
      <c r="B116" s="233">
        <f>IFERROR(__xludf.DUMMYFUNCTION("""COMPUTED_VALUE"""),191.0)</f>
        <v>191</v>
      </c>
      <c r="C116" s="233">
        <f>IFERROR(__xludf.DUMMYFUNCTION("""COMPUTED_VALUE"""),162.0)</f>
        <v>162</v>
      </c>
      <c r="D116" s="233">
        <f>IFERROR(__xludf.DUMMYFUNCTION("""COMPUTED_VALUE"""),27631.0)</f>
        <v>27631</v>
      </c>
      <c r="E116" s="233">
        <f>IFERROR(__xludf.DUMMYFUNCTION("""COMPUTED_VALUE"""),5137.0)</f>
        <v>5137</v>
      </c>
      <c r="F116" s="171">
        <f>IFERROR(__xludf.DUMMYFUNCTION("""COMPUTED_VALUE"""),336406.0)</f>
        <v>336406</v>
      </c>
      <c r="G116" s="171">
        <f>IFERROR(__xludf.DUMMYFUNCTION("""COMPUTED_VALUE"""),5328.0)</f>
        <v>5328</v>
      </c>
      <c r="H116" s="171">
        <f>IFERROR(__xludf.DUMMYFUNCTION("""COMPUTED_VALUE"""),364037.0)</f>
        <v>364037</v>
      </c>
      <c r="I116" s="233">
        <f>IFERROR(__xludf.DUMMYFUNCTION("""COMPUTED_VALUE"""),154.0)</f>
        <v>154</v>
      </c>
      <c r="J116" s="233">
        <f>IFERROR(__xludf.DUMMYFUNCTION("""COMPUTED_VALUE"""),129.0)</f>
        <v>129</v>
      </c>
      <c r="K116" s="233">
        <f>IFERROR(__xludf.DUMMYFUNCTION("""COMPUTED_VALUE"""),18958.0)</f>
        <v>18958</v>
      </c>
      <c r="L116" s="233">
        <f>IFERROR(__xludf.DUMMYFUNCTION("""COMPUTED_VALUE"""),2314.0)</f>
        <v>2314</v>
      </c>
      <c r="M116" s="233">
        <f>IFERROR(__xludf.DUMMYFUNCTION("""COMPUTED_VALUE"""),185804.0)</f>
        <v>185804</v>
      </c>
      <c r="N116" s="233">
        <f>IFERROR(__xludf.DUMMYFUNCTION("""COMPUTED_VALUE"""),204762.0)</f>
        <v>204762</v>
      </c>
      <c r="O116" s="233">
        <f>IFERROR(__xludf.DUMMYFUNCTION("""COMPUTED_VALUE"""),11.0)</f>
        <v>11</v>
      </c>
      <c r="P116" s="233">
        <f>IFERROR(__xludf.DUMMYFUNCTION("""COMPUTED_VALUE"""),2251.0)</f>
        <v>2251</v>
      </c>
      <c r="Q116" s="233">
        <f>IFERROR(__xludf.DUMMYFUNCTION("""COMPUTED_VALUE"""),12.0)</f>
        <v>12</v>
      </c>
      <c r="R116" s="233">
        <f>IFERROR(__xludf.DUMMYFUNCTION("""COMPUTED_VALUE"""),1853.0)</f>
        <v>1853</v>
      </c>
      <c r="S116" s="233">
        <f>IFERROR(__xludf.DUMMYFUNCTION("""COMPUTED_VALUE"""),0.0)</f>
        <v>0</v>
      </c>
      <c r="T116" s="233">
        <f>IFERROR(__xludf.DUMMYFUNCTION("""COMPUTED_VALUE"""),315.0)</f>
        <v>315</v>
      </c>
      <c r="U116" s="233">
        <f>IFERROR(__xludf.DUMMYFUNCTION("""COMPUTED_VALUE"""),83.0)</f>
        <v>83</v>
      </c>
      <c r="V116" s="233">
        <f>IFERROR(__xludf.DUMMYFUNCTION("""COMPUTED_VALUE"""),84.0)</f>
        <v>84</v>
      </c>
      <c r="W116" s="233">
        <f>IFERROR(__xludf.DUMMYFUNCTION("""COMPUTED_VALUE"""),15.0)</f>
        <v>15</v>
      </c>
      <c r="X116" s="233">
        <f>IFERROR(__xludf.DUMMYFUNCTION("""COMPUTED_VALUE"""),7.0)</f>
        <v>7</v>
      </c>
      <c r="Y116" s="233">
        <f>IFERROR(__xludf.DUMMYFUNCTION("""COMPUTED_VALUE"""),0.0)</f>
        <v>0</v>
      </c>
      <c r="Z116" s="233">
        <f>IFERROR(__xludf.DUMMYFUNCTION("""COMPUTED_VALUE"""),1021.0)</f>
        <v>1021</v>
      </c>
    </row>
    <row r="117">
      <c r="A117" s="232">
        <f>IFERROR(__xludf.DUMMYFUNCTION("""COMPUTED_VALUE"""),44042.0)</f>
        <v>44042</v>
      </c>
      <c r="B117" s="233">
        <f>IFERROR(__xludf.DUMMYFUNCTION("""COMPUTED_VALUE"""),121.0)</f>
        <v>121</v>
      </c>
      <c r="C117" s="233">
        <f>IFERROR(__xludf.DUMMYFUNCTION("""COMPUTED_VALUE"""),139.0)</f>
        <v>139</v>
      </c>
      <c r="D117" s="233">
        <f>IFERROR(__xludf.DUMMYFUNCTION("""COMPUTED_VALUE"""),27752.0)</f>
        <v>27752</v>
      </c>
      <c r="E117" s="233">
        <f>IFERROR(__xludf.DUMMYFUNCTION("""COMPUTED_VALUE"""),4344.0)</f>
        <v>4344</v>
      </c>
      <c r="F117" s="171">
        <f>IFERROR(__xludf.DUMMYFUNCTION("""COMPUTED_VALUE"""),340750.0)</f>
        <v>340750</v>
      </c>
      <c r="G117" s="171">
        <f>IFERROR(__xludf.DUMMYFUNCTION("""COMPUTED_VALUE"""),4465.0)</f>
        <v>4465</v>
      </c>
      <c r="H117" s="171">
        <f>IFERROR(__xludf.DUMMYFUNCTION("""COMPUTED_VALUE"""),368502.0)</f>
        <v>368502</v>
      </c>
      <c r="I117" s="233">
        <f>IFERROR(__xludf.DUMMYFUNCTION("""COMPUTED_VALUE"""),97.0)</f>
        <v>97</v>
      </c>
      <c r="J117" s="233">
        <f>IFERROR(__xludf.DUMMYFUNCTION("""COMPUTED_VALUE"""),115.0)</f>
        <v>115</v>
      </c>
      <c r="K117" s="233">
        <f>IFERROR(__xludf.DUMMYFUNCTION("""COMPUTED_VALUE"""),19055.0)</f>
        <v>19055</v>
      </c>
      <c r="L117" s="233">
        <f>IFERROR(__xludf.DUMMYFUNCTION("""COMPUTED_VALUE"""),1644.0)</f>
        <v>1644</v>
      </c>
      <c r="M117" s="233">
        <f>IFERROR(__xludf.DUMMYFUNCTION("""COMPUTED_VALUE"""),187448.0)</f>
        <v>187448</v>
      </c>
      <c r="N117" s="233">
        <f>IFERROR(__xludf.DUMMYFUNCTION("""COMPUTED_VALUE"""),206503.0)</f>
        <v>206503</v>
      </c>
      <c r="O117" s="233">
        <f>IFERROR(__xludf.DUMMYFUNCTION("""COMPUTED_VALUE"""),6.0)</f>
        <v>6</v>
      </c>
      <c r="P117" s="233">
        <f>IFERROR(__xludf.DUMMYFUNCTION("""COMPUTED_VALUE"""),2257.0)</f>
        <v>2257</v>
      </c>
      <c r="Q117" s="233">
        <f>IFERROR(__xludf.DUMMYFUNCTION("""COMPUTED_VALUE"""),2.0)</f>
        <v>2</v>
      </c>
      <c r="R117" s="233">
        <f>IFERROR(__xludf.DUMMYFUNCTION("""COMPUTED_VALUE"""),1855.0)</f>
        <v>1855</v>
      </c>
      <c r="S117" s="233">
        <f>IFERROR(__xludf.DUMMYFUNCTION("""COMPUTED_VALUE"""),1.0)</f>
        <v>1</v>
      </c>
      <c r="T117" s="233">
        <f>IFERROR(__xludf.DUMMYFUNCTION("""COMPUTED_VALUE"""),316.0)</f>
        <v>316</v>
      </c>
      <c r="U117" s="233">
        <f>IFERROR(__xludf.DUMMYFUNCTION("""COMPUTED_VALUE"""),86.0)</f>
        <v>86</v>
      </c>
      <c r="V117" s="233">
        <f>IFERROR(__xludf.DUMMYFUNCTION("""COMPUTED_VALUE"""),84.0)</f>
        <v>84</v>
      </c>
      <c r="W117" s="233">
        <f>IFERROR(__xludf.DUMMYFUNCTION("""COMPUTED_VALUE"""),15.0)</f>
        <v>15</v>
      </c>
      <c r="X117" s="233">
        <f>IFERROR(__xludf.DUMMYFUNCTION("""COMPUTED_VALUE"""),6.0)</f>
        <v>6</v>
      </c>
      <c r="Y117" s="233">
        <f>IFERROR(__xludf.DUMMYFUNCTION("""COMPUTED_VALUE"""),1.0)</f>
        <v>1</v>
      </c>
      <c r="Z117" s="233">
        <f>IFERROR(__xludf.DUMMYFUNCTION("""COMPUTED_VALUE"""),1022.0)</f>
        <v>1022</v>
      </c>
    </row>
    <row r="118">
      <c r="A118" s="232">
        <f>IFERROR(__xludf.DUMMYFUNCTION("""COMPUTED_VALUE"""),44043.0)</f>
        <v>44043</v>
      </c>
      <c r="B118" s="233">
        <f>IFERROR(__xludf.DUMMYFUNCTION("""COMPUTED_VALUE"""),131.0)</f>
        <v>131</v>
      </c>
      <c r="C118" s="233">
        <f>IFERROR(__xludf.DUMMYFUNCTION("""COMPUTED_VALUE"""),148.0)</f>
        <v>148</v>
      </c>
      <c r="D118" s="233">
        <f>IFERROR(__xludf.DUMMYFUNCTION("""COMPUTED_VALUE"""),27883.0)</f>
        <v>27883</v>
      </c>
      <c r="E118" s="233">
        <f>IFERROR(__xludf.DUMMYFUNCTION("""COMPUTED_VALUE"""),5509.0)</f>
        <v>5509</v>
      </c>
      <c r="F118" s="171">
        <f>IFERROR(__xludf.DUMMYFUNCTION("""COMPUTED_VALUE"""),346259.0)</f>
        <v>346259</v>
      </c>
      <c r="G118" s="171">
        <f>IFERROR(__xludf.DUMMYFUNCTION("""COMPUTED_VALUE"""),5640.0)</f>
        <v>5640</v>
      </c>
      <c r="H118" s="171">
        <f>IFERROR(__xludf.DUMMYFUNCTION("""COMPUTED_VALUE"""),374142.0)</f>
        <v>374142</v>
      </c>
      <c r="I118" s="233">
        <f>IFERROR(__xludf.DUMMYFUNCTION("""COMPUTED_VALUE"""),89.0)</f>
        <v>89</v>
      </c>
      <c r="J118" s="233">
        <f>IFERROR(__xludf.DUMMYFUNCTION("""COMPUTED_VALUE"""),113.0)</f>
        <v>113</v>
      </c>
      <c r="K118" s="233">
        <f>IFERROR(__xludf.DUMMYFUNCTION("""COMPUTED_VALUE"""),19144.0)</f>
        <v>19144</v>
      </c>
      <c r="L118" s="233">
        <f>IFERROR(__xludf.DUMMYFUNCTION("""COMPUTED_VALUE"""),1848.0)</f>
        <v>1848</v>
      </c>
      <c r="M118" s="233">
        <f>IFERROR(__xludf.DUMMYFUNCTION("""COMPUTED_VALUE"""),189296.0)</f>
        <v>189296</v>
      </c>
      <c r="N118" s="233">
        <f>IFERROR(__xludf.DUMMYFUNCTION("""COMPUTED_VALUE"""),208440.0)</f>
        <v>208440</v>
      </c>
      <c r="O118" s="233">
        <f>IFERROR(__xludf.DUMMYFUNCTION("""COMPUTED_VALUE"""),8.0)</f>
        <v>8</v>
      </c>
      <c r="P118" s="233">
        <f>IFERROR(__xludf.DUMMYFUNCTION("""COMPUTED_VALUE"""),2265.0)</f>
        <v>2265</v>
      </c>
      <c r="Q118" s="233">
        <f>IFERROR(__xludf.DUMMYFUNCTION("""COMPUTED_VALUE"""),10.0)</f>
        <v>10</v>
      </c>
      <c r="R118" s="233">
        <f>IFERROR(__xludf.DUMMYFUNCTION("""COMPUTED_VALUE"""),1865.0)</f>
        <v>1865</v>
      </c>
      <c r="S118" s="233">
        <f>IFERROR(__xludf.DUMMYFUNCTION("""COMPUTED_VALUE"""),0.0)</f>
        <v>0</v>
      </c>
      <c r="T118" s="233">
        <f>IFERROR(__xludf.DUMMYFUNCTION("""COMPUTED_VALUE"""),316.0)</f>
        <v>316</v>
      </c>
      <c r="U118" s="233">
        <f>IFERROR(__xludf.DUMMYFUNCTION("""COMPUTED_VALUE"""),84.0)</f>
        <v>84</v>
      </c>
      <c r="V118" s="233">
        <f>IFERROR(__xludf.DUMMYFUNCTION("""COMPUTED_VALUE"""),84.0)</f>
        <v>84</v>
      </c>
      <c r="W118" s="233">
        <f>IFERROR(__xludf.DUMMYFUNCTION("""COMPUTED_VALUE"""),15.0)</f>
        <v>15</v>
      </c>
      <c r="X118" s="233">
        <f>IFERROR(__xludf.DUMMYFUNCTION("""COMPUTED_VALUE"""),7.0)</f>
        <v>7</v>
      </c>
      <c r="Y118" s="233">
        <f>IFERROR(__xludf.DUMMYFUNCTION("""COMPUTED_VALUE"""),1.0)</f>
        <v>1</v>
      </c>
      <c r="Z118" s="233">
        <f>IFERROR(__xludf.DUMMYFUNCTION("""COMPUTED_VALUE"""),1023.0)</f>
        <v>1023</v>
      </c>
    </row>
    <row r="119">
      <c r="A119" s="232">
        <f>IFERROR(__xludf.DUMMYFUNCTION("""COMPUTED_VALUE"""),44044.0)</f>
        <v>44044</v>
      </c>
      <c r="B119" s="233">
        <f>IFERROR(__xludf.DUMMYFUNCTION("""COMPUTED_VALUE"""),108.0)</f>
        <v>108</v>
      </c>
      <c r="C119" s="233">
        <f>IFERROR(__xludf.DUMMYFUNCTION("""COMPUTED_VALUE"""),120.0)</f>
        <v>120</v>
      </c>
      <c r="D119" s="233">
        <f>IFERROR(__xludf.DUMMYFUNCTION("""COMPUTED_VALUE"""),27991.0)</f>
        <v>27991</v>
      </c>
      <c r="E119" s="233">
        <f>IFERROR(__xludf.DUMMYFUNCTION("""COMPUTED_VALUE"""),4292.0)</f>
        <v>4292</v>
      </c>
      <c r="F119" s="171">
        <f>IFERROR(__xludf.DUMMYFUNCTION("""COMPUTED_VALUE"""),350551.0)</f>
        <v>350551</v>
      </c>
      <c r="G119" s="171">
        <f>IFERROR(__xludf.DUMMYFUNCTION("""COMPUTED_VALUE"""),4400.0)</f>
        <v>4400</v>
      </c>
      <c r="H119" s="171">
        <f>IFERROR(__xludf.DUMMYFUNCTION("""COMPUTED_VALUE"""),378542.0)</f>
        <v>378542</v>
      </c>
      <c r="I119" s="233">
        <f>IFERROR(__xludf.DUMMYFUNCTION("""COMPUTED_VALUE"""),88.0)</f>
        <v>88</v>
      </c>
      <c r="J119" s="233">
        <f>IFERROR(__xludf.DUMMYFUNCTION("""COMPUTED_VALUE"""),91.0)</f>
        <v>91</v>
      </c>
      <c r="K119" s="233">
        <f>IFERROR(__xludf.DUMMYFUNCTION("""COMPUTED_VALUE"""),19232.0)</f>
        <v>19232</v>
      </c>
      <c r="L119" s="233">
        <f>IFERROR(__xludf.DUMMYFUNCTION("""COMPUTED_VALUE"""),1559.0)</f>
        <v>1559</v>
      </c>
      <c r="M119" s="233">
        <f>IFERROR(__xludf.DUMMYFUNCTION("""COMPUTED_VALUE"""),190855.0)</f>
        <v>190855</v>
      </c>
      <c r="N119" s="233">
        <f>IFERROR(__xludf.DUMMYFUNCTION("""COMPUTED_VALUE"""),210087.0)</f>
        <v>210087</v>
      </c>
      <c r="O119" s="233">
        <f>IFERROR(__xludf.DUMMYFUNCTION("""COMPUTED_VALUE"""),7.0)</f>
        <v>7</v>
      </c>
      <c r="P119" s="233">
        <f>IFERROR(__xludf.DUMMYFUNCTION("""COMPUTED_VALUE"""),2272.0)</f>
        <v>2272</v>
      </c>
      <c r="Q119" s="233">
        <f>IFERROR(__xludf.DUMMYFUNCTION("""COMPUTED_VALUE"""),2.0)</f>
        <v>2</v>
      </c>
      <c r="R119" s="233">
        <f>IFERROR(__xludf.DUMMYFUNCTION("""COMPUTED_VALUE"""),1867.0)</f>
        <v>1867</v>
      </c>
      <c r="S119" s="233">
        <f>IFERROR(__xludf.DUMMYFUNCTION("""COMPUTED_VALUE"""),0.0)</f>
        <v>0</v>
      </c>
      <c r="T119" s="233">
        <f>IFERROR(__xludf.DUMMYFUNCTION("""COMPUTED_VALUE"""),316.0)</f>
        <v>316</v>
      </c>
      <c r="U119" s="233">
        <f>IFERROR(__xludf.DUMMYFUNCTION("""COMPUTED_VALUE"""),89.0)</f>
        <v>89</v>
      </c>
      <c r="V119" s="233">
        <f>IFERROR(__xludf.DUMMYFUNCTION("""COMPUTED_VALUE"""),86.0)</f>
        <v>86</v>
      </c>
      <c r="W119" s="233">
        <f>IFERROR(__xludf.DUMMYFUNCTION("""COMPUTED_VALUE"""),14.0)</f>
        <v>14</v>
      </c>
      <c r="X119" s="233">
        <f>IFERROR(__xludf.DUMMYFUNCTION("""COMPUTED_VALUE"""),7.0)</f>
        <v>7</v>
      </c>
      <c r="Y119" s="233">
        <f>IFERROR(__xludf.DUMMYFUNCTION("""COMPUTED_VALUE"""),1.0)</f>
        <v>1</v>
      </c>
      <c r="Z119" s="233">
        <f>IFERROR(__xludf.DUMMYFUNCTION("""COMPUTED_VALUE"""),1024.0)</f>
        <v>1024</v>
      </c>
    </row>
    <row r="120">
      <c r="A120" s="232">
        <f>IFERROR(__xludf.DUMMYFUNCTION("""COMPUTED_VALUE"""),44045.0)</f>
        <v>44045</v>
      </c>
      <c r="B120" s="233">
        <f>IFERROR(__xludf.DUMMYFUNCTION("""COMPUTED_VALUE"""),84.0)</f>
        <v>84</v>
      </c>
      <c r="C120" s="233">
        <f>IFERROR(__xludf.DUMMYFUNCTION("""COMPUTED_VALUE"""),108.0)</f>
        <v>108</v>
      </c>
      <c r="D120" s="233">
        <f>IFERROR(__xludf.DUMMYFUNCTION("""COMPUTED_VALUE"""),28075.0)</f>
        <v>28075</v>
      </c>
      <c r="E120" s="233">
        <f>IFERROR(__xludf.DUMMYFUNCTION("""COMPUTED_VALUE"""),2802.0)</f>
        <v>2802</v>
      </c>
      <c r="F120" s="171">
        <f>IFERROR(__xludf.DUMMYFUNCTION("""COMPUTED_VALUE"""),353353.0)</f>
        <v>353353</v>
      </c>
      <c r="G120" s="171">
        <f>IFERROR(__xludf.DUMMYFUNCTION("""COMPUTED_VALUE"""),2886.0)</f>
        <v>2886</v>
      </c>
      <c r="H120" s="171">
        <f>IFERROR(__xludf.DUMMYFUNCTION("""COMPUTED_VALUE"""),381428.0)</f>
        <v>381428</v>
      </c>
      <c r="I120" s="233">
        <f>IFERROR(__xludf.DUMMYFUNCTION("""COMPUTED_VALUE"""),62.0)</f>
        <v>62</v>
      </c>
      <c r="J120" s="233">
        <f>IFERROR(__xludf.DUMMYFUNCTION("""COMPUTED_VALUE"""),80.0)</f>
        <v>80</v>
      </c>
      <c r="K120" s="233">
        <f>IFERROR(__xludf.DUMMYFUNCTION("""COMPUTED_VALUE"""),19294.0)</f>
        <v>19294</v>
      </c>
      <c r="L120" s="233">
        <f>IFERROR(__xludf.DUMMYFUNCTION("""COMPUTED_VALUE"""),1269.0)</f>
        <v>1269</v>
      </c>
      <c r="M120" s="233">
        <f>IFERROR(__xludf.DUMMYFUNCTION("""COMPUTED_VALUE"""),192124.0)</f>
        <v>192124</v>
      </c>
      <c r="N120" s="233">
        <f>IFERROR(__xludf.DUMMYFUNCTION("""COMPUTED_VALUE"""),211418.0)</f>
        <v>211418</v>
      </c>
      <c r="O120" s="233">
        <f>IFERROR(__xludf.DUMMYFUNCTION("""COMPUTED_VALUE"""),12.0)</f>
        <v>12</v>
      </c>
      <c r="P120" s="233">
        <f>IFERROR(__xludf.DUMMYFUNCTION("""COMPUTED_VALUE"""),2284.0)</f>
        <v>2284</v>
      </c>
      <c r="Q120" s="233">
        <f>IFERROR(__xludf.DUMMYFUNCTION("""COMPUTED_VALUE"""),12.0)</f>
        <v>12</v>
      </c>
      <c r="R120" s="233">
        <f>IFERROR(__xludf.DUMMYFUNCTION("""COMPUTED_VALUE"""),1879.0)</f>
        <v>1879</v>
      </c>
      <c r="S120" s="233">
        <f>IFERROR(__xludf.DUMMYFUNCTION("""COMPUTED_VALUE"""),2.0)</f>
        <v>2</v>
      </c>
      <c r="T120" s="233">
        <f>IFERROR(__xludf.DUMMYFUNCTION("""COMPUTED_VALUE"""),318.0)</f>
        <v>318</v>
      </c>
      <c r="U120" s="233">
        <f>IFERROR(__xludf.DUMMYFUNCTION("""COMPUTED_VALUE"""),87.0)</f>
        <v>87</v>
      </c>
      <c r="V120" s="233">
        <f>IFERROR(__xludf.DUMMYFUNCTION("""COMPUTED_VALUE"""),87.0)</f>
        <v>87</v>
      </c>
      <c r="W120" s="233">
        <f>IFERROR(__xludf.DUMMYFUNCTION("""COMPUTED_VALUE"""),14.0)</f>
        <v>14</v>
      </c>
      <c r="X120" s="233">
        <f>IFERROR(__xludf.DUMMYFUNCTION("""COMPUTED_VALUE"""),8.0)</f>
        <v>8</v>
      </c>
      <c r="Y120" s="233">
        <f>IFERROR(__xludf.DUMMYFUNCTION("""COMPUTED_VALUE"""),2.0)</f>
        <v>2</v>
      </c>
      <c r="Z120" s="233">
        <f>IFERROR(__xludf.DUMMYFUNCTION("""COMPUTED_VALUE"""),1026.0)</f>
        <v>1026</v>
      </c>
    </row>
    <row r="121">
      <c r="A121" s="232">
        <f>IFERROR(__xludf.DUMMYFUNCTION("""COMPUTED_VALUE"""),44046.0)</f>
        <v>44046</v>
      </c>
      <c r="B121" s="233">
        <f>IFERROR(__xludf.DUMMYFUNCTION("""COMPUTED_VALUE"""),187.0)</f>
        <v>187</v>
      </c>
      <c r="C121" s="233">
        <f>IFERROR(__xludf.DUMMYFUNCTION("""COMPUTED_VALUE"""),126.0)</f>
        <v>126</v>
      </c>
      <c r="D121" s="233">
        <f>IFERROR(__xludf.DUMMYFUNCTION("""COMPUTED_VALUE"""),28262.0)</f>
        <v>28262</v>
      </c>
      <c r="E121" s="233">
        <f>IFERROR(__xludf.DUMMYFUNCTION("""COMPUTED_VALUE"""),5238.0)</f>
        <v>5238</v>
      </c>
      <c r="F121" s="171">
        <f>IFERROR(__xludf.DUMMYFUNCTION("""COMPUTED_VALUE"""),358591.0)</f>
        <v>358591</v>
      </c>
      <c r="G121" s="171">
        <f>IFERROR(__xludf.DUMMYFUNCTION("""COMPUTED_VALUE"""),5425.0)</f>
        <v>5425</v>
      </c>
      <c r="H121" s="171">
        <f>IFERROR(__xludf.DUMMYFUNCTION("""COMPUTED_VALUE"""),386853.0)</f>
        <v>386853</v>
      </c>
      <c r="I121" s="233">
        <f>IFERROR(__xludf.DUMMYFUNCTION("""COMPUTED_VALUE"""),150.0)</f>
        <v>150</v>
      </c>
      <c r="J121" s="233">
        <f>IFERROR(__xludf.DUMMYFUNCTION("""COMPUTED_VALUE"""),100.0)</f>
        <v>100</v>
      </c>
      <c r="K121" s="233">
        <f>IFERROR(__xludf.DUMMYFUNCTION("""COMPUTED_VALUE"""),19444.0)</f>
        <v>19444</v>
      </c>
      <c r="L121" s="233">
        <f>IFERROR(__xludf.DUMMYFUNCTION("""COMPUTED_VALUE"""),2195.0)</f>
        <v>2195</v>
      </c>
      <c r="M121" s="233">
        <f>IFERROR(__xludf.DUMMYFUNCTION("""COMPUTED_VALUE"""),194319.0)</f>
        <v>194319</v>
      </c>
      <c r="N121" s="233">
        <f>IFERROR(__xludf.DUMMYFUNCTION("""COMPUTED_VALUE"""),213763.0)</f>
        <v>213763</v>
      </c>
      <c r="O121" s="233">
        <f>IFERROR(__xludf.DUMMYFUNCTION("""COMPUTED_VALUE"""),13.0)</f>
        <v>13</v>
      </c>
      <c r="P121" s="233">
        <f>IFERROR(__xludf.DUMMYFUNCTION("""COMPUTED_VALUE"""),2297.0)</f>
        <v>2297</v>
      </c>
      <c r="Q121" s="233">
        <f>IFERROR(__xludf.DUMMYFUNCTION("""COMPUTED_VALUE"""),12.0)</f>
        <v>12</v>
      </c>
      <c r="R121" s="233">
        <f>IFERROR(__xludf.DUMMYFUNCTION("""COMPUTED_VALUE"""),1891.0)</f>
        <v>1891</v>
      </c>
      <c r="S121" s="233">
        <f>IFERROR(__xludf.DUMMYFUNCTION("""COMPUTED_VALUE"""),0.0)</f>
        <v>0</v>
      </c>
      <c r="T121" s="233">
        <f>IFERROR(__xludf.DUMMYFUNCTION("""COMPUTED_VALUE"""),318.0)</f>
        <v>318</v>
      </c>
      <c r="U121" s="233">
        <f>IFERROR(__xludf.DUMMYFUNCTION("""COMPUTED_VALUE"""),88.0)</f>
        <v>88</v>
      </c>
      <c r="V121" s="233">
        <f>IFERROR(__xludf.DUMMYFUNCTION("""COMPUTED_VALUE"""),88.0)</f>
        <v>88</v>
      </c>
      <c r="W121" s="233">
        <f>IFERROR(__xludf.DUMMYFUNCTION("""COMPUTED_VALUE"""),16.0)</f>
        <v>16</v>
      </c>
      <c r="X121" s="233">
        <f>IFERROR(__xludf.DUMMYFUNCTION("""COMPUTED_VALUE"""),7.0)</f>
        <v>7</v>
      </c>
      <c r="Y121" s="233">
        <f>IFERROR(__xludf.DUMMYFUNCTION("""COMPUTED_VALUE"""),1.0)</f>
        <v>1</v>
      </c>
      <c r="Z121" s="233">
        <f>IFERROR(__xludf.DUMMYFUNCTION("""COMPUTED_VALUE"""),1027.0)</f>
        <v>1027</v>
      </c>
    </row>
    <row r="122">
      <c r="A122" s="232">
        <f>IFERROR(__xludf.DUMMYFUNCTION("""COMPUTED_VALUE"""),44047.0)</f>
        <v>44047</v>
      </c>
      <c r="B122" s="233">
        <f>IFERROR(__xludf.DUMMYFUNCTION("""COMPUTED_VALUE"""),126.0)</f>
        <v>126</v>
      </c>
      <c r="C122" s="233">
        <f>IFERROR(__xludf.DUMMYFUNCTION("""COMPUTED_VALUE"""),132.0)</f>
        <v>132</v>
      </c>
      <c r="D122" s="233">
        <f>IFERROR(__xludf.DUMMYFUNCTION("""COMPUTED_VALUE"""),28388.0)</f>
        <v>28388</v>
      </c>
      <c r="E122" s="233">
        <f>IFERROR(__xludf.DUMMYFUNCTION("""COMPUTED_VALUE"""),3691.0)</f>
        <v>3691</v>
      </c>
      <c r="F122" s="171">
        <f>IFERROR(__xludf.DUMMYFUNCTION("""COMPUTED_VALUE"""),362282.0)</f>
        <v>362282</v>
      </c>
      <c r="G122" s="171">
        <f>IFERROR(__xludf.DUMMYFUNCTION("""COMPUTED_VALUE"""),3817.0)</f>
        <v>3817</v>
      </c>
      <c r="H122" s="171">
        <f>IFERROR(__xludf.DUMMYFUNCTION("""COMPUTED_VALUE"""),390670.0)</f>
        <v>390670</v>
      </c>
      <c r="I122" s="233">
        <f>IFERROR(__xludf.DUMMYFUNCTION("""COMPUTED_VALUE"""),99.0)</f>
        <v>99</v>
      </c>
      <c r="J122" s="233">
        <f>IFERROR(__xludf.DUMMYFUNCTION("""COMPUTED_VALUE"""),104.0)</f>
        <v>104</v>
      </c>
      <c r="K122" s="233">
        <f>IFERROR(__xludf.DUMMYFUNCTION("""COMPUTED_VALUE"""),19543.0)</f>
        <v>19543</v>
      </c>
      <c r="L122" s="233">
        <f>IFERROR(__xludf.DUMMYFUNCTION("""COMPUTED_VALUE"""),1769.0)</f>
        <v>1769</v>
      </c>
      <c r="M122" s="233">
        <f>IFERROR(__xludf.DUMMYFUNCTION("""COMPUTED_VALUE"""),196088.0)</f>
        <v>196088</v>
      </c>
      <c r="N122" s="233">
        <f>IFERROR(__xludf.DUMMYFUNCTION("""COMPUTED_VALUE"""),215631.0)</f>
        <v>215631</v>
      </c>
      <c r="O122" s="233">
        <f>IFERROR(__xludf.DUMMYFUNCTION("""COMPUTED_VALUE"""),9.0)</f>
        <v>9</v>
      </c>
      <c r="P122" s="233">
        <f>IFERROR(__xludf.DUMMYFUNCTION("""COMPUTED_VALUE"""),2306.0)</f>
        <v>2306</v>
      </c>
      <c r="Q122" s="233">
        <f>IFERROR(__xludf.DUMMYFUNCTION("""COMPUTED_VALUE"""),6.0)</f>
        <v>6</v>
      </c>
      <c r="R122" s="233">
        <f>IFERROR(__xludf.DUMMYFUNCTION("""COMPUTED_VALUE"""),1897.0)</f>
        <v>1897</v>
      </c>
      <c r="S122" s="233">
        <f>IFERROR(__xludf.DUMMYFUNCTION("""COMPUTED_VALUE"""),1.0)</f>
        <v>1</v>
      </c>
      <c r="T122" s="233">
        <f>IFERROR(__xludf.DUMMYFUNCTION("""COMPUTED_VALUE"""),319.0)</f>
        <v>319</v>
      </c>
      <c r="U122" s="233">
        <f>IFERROR(__xludf.DUMMYFUNCTION("""COMPUTED_VALUE"""),90.0)</f>
        <v>90</v>
      </c>
      <c r="V122" s="233">
        <f>IFERROR(__xludf.DUMMYFUNCTION("""COMPUTED_VALUE"""),88.0)</f>
        <v>88</v>
      </c>
      <c r="W122" s="233">
        <f>IFERROR(__xludf.DUMMYFUNCTION("""COMPUTED_VALUE"""),12.0)</f>
        <v>12</v>
      </c>
      <c r="X122" s="233">
        <f>IFERROR(__xludf.DUMMYFUNCTION("""COMPUTED_VALUE"""),5.0)</f>
        <v>5</v>
      </c>
      <c r="Y122" s="233">
        <f>IFERROR(__xludf.DUMMYFUNCTION("""COMPUTED_VALUE"""),2.0)</f>
        <v>2</v>
      </c>
      <c r="Z122" s="233">
        <f>IFERROR(__xludf.DUMMYFUNCTION("""COMPUTED_VALUE"""),1029.0)</f>
        <v>1029</v>
      </c>
    </row>
    <row r="123">
      <c r="A123" s="232">
        <f>IFERROR(__xludf.DUMMYFUNCTION("""COMPUTED_VALUE"""),44048.0)</f>
        <v>44048</v>
      </c>
      <c r="B123" s="233">
        <f>IFERROR(__xludf.DUMMYFUNCTION("""COMPUTED_VALUE"""),148.0)</f>
        <v>148</v>
      </c>
      <c r="C123" s="233">
        <f>IFERROR(__xludf.DUMMYFUNCTION("""COMPUTED_VALUE"""),154.0)</f>
        <v>154</v>
      </c>
      <c r="D123" s="233">
        <f>IFERROR(__xludf.DUMMYFUNCTION("""COMPUTED_VALUE"""),28536.0)</f>
        <v>28536</v>
      </c>
      <c r="E123" s="233">
        <f>IFERROR(__xludf.DUMMYFUNCTION("""COMPUTED_VALUE"""),5934.0)</f>
        <v>5934</v>
      </c>
      <c r="F123" s="171">
        <f>IFERROR(__xludf.DUMMYFUNCTION("""COMPUTED_VALUE"""),368216.0)</f>
        <v>368216</v>
      </c>
      <c r="G123" s="171">
        <f>IFERROR(__xludf.DUMMYFUNCTION("""COMPUTED_VALUE"""),6082.0)</f>
        <v>6082</v>
      </c>
      <c r="H123" s="171">
        <f>IFERROR(__xludf.DUMMYFUNCTION("""COMPUTED_VALUE"""),396752.0)</f>
        <v>396752</v>
      </c>
      <c r="I123" s="233">
        <f>IFERROR(__xludf.DUMMYFUNCTION("""COMPUTED_VALUE"""),118.0)</f>
        <v>118</v>
      </c>
      <c r="J123" s="233">
        <f>IFERROR(__xludf.DUMMYFUNCTION("""COMPUTED_VALUE"""),122.0)</f>
        <v>122</v>
      </c>
      <c r="K123" s="233">
        <f>IFERROR(__xludf.DUMMYFUNCTION("""COMPUTED_VALUE"""),19661.0)</f>
        <v>19661</v>
      </c>
      <c r="L123" s="233">
        <f>IFERROR(__xludf.DUMMYFUNCTION("""COMPUTED_VALUE"""),2468.0)</f>
        <v>2468</v>
      </c>
      <c r="M123" s="233">
        <f>IFERROR(__xludf.DUMMYFUNCTION("""COMPUTED_VALUE"""),198556.0)</f>
        <v>198556</v>
      </c>
      <c r="N123" s="233">
        <f>IFERROR(__xludf.DUMMYFUNCTION("""COMPUTED_VALUE"""),218217.0)</f>
        <v>218217</v>
      </c>
      <c r="O123" s="233">
        <f>IFERROR(__xludf.DUMMYFUNCTION("""COMPUTED_VALUE"""),12.0)</f>
        <v>12</v>
      </c>
      <c r="P123" s="233">
        <f>IFERROR(__xludf.DUMMYFUNCTION("""COMPUTED_VALUE"""),2318.0)</f>
        <v>2318</v>
      </c>
      <c r="Q123" s="233">
        <f>IFERROR(__xludf.DUMMYFUNCTION("""COMPUTED_VALUE"""),10.0)</f>
        <v>10</v>
      </c>
      <c r="R123" s="233">
        <f>IFERROR(__xludf.DUMMYFUNCTION("""COMPUTED_VALUE"""),1907.0)</f>
        <v>1907</v>
      </c>
      <c r="S123" s="233">
        <f>IFERROR(__xludf.DUMMYFUNCTION("""COMPUTED_VALUE"""),1.0)</f>
        <v>1</v>
      </c>
      <c r="T123" s="233">
        <f>IFERROR(__xludf.DUMMYFUNCTION("""COMPUTED_VALUE"""),320.0)</f>
        <v>320</v>
      </c>
      <c r="U123" s="233">
        <f>IFERROR(__xludf.DUMMYFUNCTION("""COMPUTED_VALUE"""),91.0)</f>
        <v>91</v>
      </c>
      <c r="V123" s="233">
        <f>IFERROR(__xludf.DUMMYFUNCTION("""COMPUTED_VALUE"""),90.0)</f>
        <v>90</v>
      </c>
      <c r="W123" s="233">
        <f>IFERROR(__xludf.DUMMYFUNCTION("""COMPUTED_VALUE"""),10.0)</f>
        <v>10</v>
      </c>
      <c r="X123" s="233">
        <f>IFERROR(__xludf.DUMMYFUNCTION("""COMPUTED_VALUE"""),5.0)</f>
        <v>5</v>
      </c>
      <c r="Y123" s="233">
        <f>IFERROR(__xludf.DUMMYFUNCTION("""COMPUTED_VALUE"""),2.0)</f>
        <v>2</v>
      </c>
      <c r="Z123" s="233">
        <f>IFERROR(__xludf.DUMMYFUNCTION("""COMPUTED_VALUE"""),1031.0)</f>
        <v>1031</v>
      </c>
    </row>
    <row r="124">
      <c r="A124" s="232">
        <f>IFERROR(__xludf.DUMMYFUNCTION("""COMPUTED_VALUE"""),44049.0)</f>
        <v>44049</v>
      </c>
      <c r="B124" s="233">
        <f>IFERROR(__xludf.DUMMYFUNCTION("""COMPUTED_VALUE"""),169.0)</f>
        <v>169</v>
      </c>
      <c r="C124" s="233">
        <f>IFERROR(__xludf.DUMMYFUNCTION("""COMPUTED_VALUE"""),148.0)</f>
        <v>148</v>
      </c>
      <c r="D124" s="233">
        <f>IFERROR(__xludf.DUMMYFUNCTION("""COMPUTED_VALUE"""),28705.0)</f>
        <v>28705</v>
      </c>
      <c r="E124" s="233">
        <f>IFERROR(__xludf.DUMMYFUNCTION("""COMPUTED_VALUE"""),5533.0)</f>
        <v>5533</v>
      </c>
      <c r="F124" s="171">
        <f>IFERROR(__xludf.DUMMYFUNCTION("""COMPUTED_VALUE"""),373749.0)</f>
        <v>373749</v>
      </c>
      <c r="G124" s="171">
        <f>IFERROR(__xludf.DUMMYFUNCTION("""COMPUTED_VALUE"""),5702.0)</f>
        <v>5702</v>
      </c>
      <c r="H124" s="171">
        <f>IFERROR(__xludf.DUMMYFUNCTION("""COMPUTED_VALUE"""),402454.0)</f>
        <v>402454</v>
      </c>
      <c r="I124" s="233">
        <f>IFERROR(__xludf.DUMMYFUNCTION("""COMPUTED_VALUE"""),121.0)</f>
        <v>121</v>
      </c>
      <c r="J124" s="233">
        <f>IFERROR(__xludf.DUMMYFUNCTION("""COMPUTED_VALUE"""),113.0)</f>
        <v>113</v>
      </c>
      <c r="K124" s="233">
        <f>IFERROR(__xludf.DUMMYFUNCTION("""COMPUTED_VALUE"""),19782.0)</f>
        <v>19782</v>
      </c>
      <c r="L124" s="233">
        <f>IFERROR(__xludf.DUMMYFUNCTION("""COMPUTED_VALUE"""),2401.0)</f>
        <v>2401</v>
      </c>
      <c r="M124" s="233">
        <f>IFERROR(__xludf.DUMMYFUNCTION("""COMPUTED_VALUE"""),200957.0)</f>
        <v>200957</v>
      </c>
      <c r="N124" s="233">
        <f>IFERROR(__xludf.DUMMYFUNCTION("""COMPUTED_VALUE"""),220739.0)</f>
        <v>220739</v>
      </c>
      <c r="O124" s="233">
        <f>IFERROR(__xludf.DUMMYFUNCTION("""COMPUTED_VALUE"""),7.0)</f>
        <v>7</v>
      </c>
      <c r="P124" s="233">
        <f>IFERROR(__xludf.DUMMYFUNCTION("""COMPUTED_VALUE"""),2325.0)</f>
        <v>2325</v>
      </c>
      <c r="Q124" s="233">
        <f>IFERROR(__xludf.DUMMYFUNCTION("""COMPUTED_VALUE"""),9.0)</f>
        <v>9</v>
      </c>
      <c r="R124" s="233">
        <f>IFERROR(__xludf.DUMMYFUNCTION("""COMPUTED_VALUE"""),1916.0)</f>
        <v>1916</v>
      </c>
      <c r="S124" s="233">
        <f>IFERROR(__xludf.DUMMYFUNCTION("""COMPUTED_VALUE"""),0.0)</f>
        <v>0</v>
      </c>
      <c r="T124" s="233">
        <f>IFERROR(__xludf.DUMMYFUNCTION("""COMPUTED_VALUE"""),320.0)</f>
        <v>320</v>
      </c>
      <c r="U124" s="233">
        <f>IFERROR(__xludf.DUMMYFUNCTION("""COMPUTED_VALUE"""),89.0)</f>
        <v>89</v>
      </c>
      <c r="V124" s="233">
        <f>IFERROR(__xludf.DUMMYFUNCTION("""COMPUTED_VALUE"""),90.0)</f>
        <v>90</v>
      </c>
      <c r="W124" s="233">
        <f>IFERROR(__xludf.DUMMYFUNCTION("""COMPUTED_VALUE"""),9.0)</f>
        <v>9</v>
      </c>
      <c r="X124" s="233">
        <f>IFERROR(__xludf.DUMMYFUNCTION("""COMPUTED_VALUE"""),4.0)</f>
        <v>4</v>
      </c>
      <c r="Y124" s="233">
        <f>IFERROR(__xludf.DUMMYFUNCTION("""COMPUTED_VALUE"""),0.0)</f>
        <v>0</v>
      </c>
      <c r="Z124" s="233">
        <f>IFERROR(__xludf.DUMMYFUNCTION("""COMPUTED_VALUE"""),1031.0)</f>
        <v>1031</v>
      </c>
    </row>
    <row r="125">
      <c r="A125" s="232">
        <f>IFERROR(__xludf.DUMMYFUNCTION("""COMPUTED_VALUE"""),44050.0)</f>
        <v>44050</v>
      </c>
      <c r="B125" s="233">
        <f>IFERROR(__xludf.DUMMYFUNCTION("""COMPUTED_VALUE"""),122.0)</f>
        <v>122</v>
      </c>
      <c r="C125" s="233">
        <f>IFERROR(__xludf.DUMMYFUNCTION("""COMPUTED_VALUE"""),146.0)</f>
        <v>146</v>
      </c>
      <c r="D125" s="233">
        <f>IFERROR(__xludf.DUMMYFUNCTION("""COMPUTED_VALUE"""),28827.0)</f>
        <v>28827</v>
      </c>
      <c r="E125" s="233">
        <f>IFERROR(__xludf.DUMMYFUNCTION("""COMPUTED_VALUE"""),4847.0)</f>
        <v>4847</v>
      </c>
      <c r="F125" s="171">
        <f>IFERROR(__xludf.DUMMYFUNCTION("""COMPUTED_VALUE"""),378596.0)</f>
        <v>378596</v>
      </c>
      <c r="G125" s="171">
        <f>IFERROR(__xludf.DUMMYFUNCTION("""COMPUTED_VALUE"""),4969.0)</f>
        <v>4969</v>
      </c>
      <c r="H125" s="171">
        <f>IFERROR(__xludf.DUMMYFUNCTION("""COMPUTED_VALUE"""),407423.0)</f>
        <v>407423</v>
      </c>
      <c r="I125" s="233">
        <f>IFERROR(__xludf.DUMMYFUNCTION("""COMPUTED_VALUE"""),87.0)</f>
        <v>87</v>
      </c>
      <c r="J125" s="233">
        <f>IFERROR(__xludf.DUMMYFUNCTION("""COMPUTED_VALUE"""),109.0)</f>
        <v>109</v>
      </c>
      <c r="K125" s="233">
        <f>IFERROR(__xludf.DUMMYFUNCTION("""COMPUTED_VALUE"""),19869.0)</f>
        <v>19869</v>
      </c>
      <c r="L125" s="233">
        <f>IFERROR(__xludf.DUMMYFUNCTION("""COMPUTED_VALUE"""),2141.0)</f>
        <v>2141</v>
      </c>
      <c r="M125" s="233">
        <f>IFERROR(__xludf.DUMMYFUNCTION("""COMPUTED_VALUE"""),203098.0)</f>
        <v>203098</v>
      </c>
      <c r="N125" s="233">
        <f>IFERROR(__xludf.DUMMYFUNCTION("""COMPUTED_VALUE"""),222967.0)</f>
        <v>222967</v>
      </c>
      <c r="O125" s="233">
        <f>IFERROR(__xludf.DUMMYFUNCTION("""COMPUTED_VALUE"""),13.0)</f>
        <v>13</v>
      </c>
      <c r="P125" s="233">
        <f>IFERROR(__xludf.DUMMYFUNCTION("""COMPUTED_VALUE"""),2338.0)</f>
        <v>2338</v>
      </c>
      <c r="Q125" s="233">
        <f>IFERROR(__xludf.DUMMYFUNCTION("""COMPUTED_VALUE"""),10.0)</f>
        <v>10</v>
      </c>
      <c r="R125" s="233">
        <f>IFERROR(__xludf.DUMMYFUNCTION("""COMPUTED_VALUE"""),1926.0)</f>
        <v>1926</v>
      </c>
      <c r="S125" s="233">
        <f>IFERROR(__xludf.DUMMYFUNCTION("""COMPUTED_VALUE"""),1.0)</f>
        <v>1</v>
      </c>
      <c r="T125" s="233">
        <f>IFERROR(__xludf.DUMMYFUNCTION("""COMPUTED_VALUE"""),321.0)</f>
        <v>321</v>
      </c>
      <c r="U125" s="233">
        <f>IFERROR(__xludf.DUMMYFUNCTION("""COMPUTED_VALUE"""),91.0)</f>
        <v>91</v>
      </c>
      <c r="V125" s="233">
        <f>IFERROR(__xludf.DUMMYFUNCTION("""COMPUTED_VALUE"""),90.0)</f>
        <v>90</v>
      </c>
      <c r="W125" s="233">
        <f>IFERROR(__xludf.DUMMYFUNCTION("""COMPUTED_VALUE"""),9.0)</f>
        <v>9</v>
      </c>
      <c r="X125" s="233">
        <f>IFERROR(__xludf.DUMMYFUNCTION("""COMPUTED_VALUE"""),3.0)</f>
        <v>3</v>
      </c>
      <c r="Y125" s="233">
        <f>IFERROR(__xludf.DUMMYFUNCTION("""COMPUTED_VALUE"""),2.0)</f>
        <v>2</v>
      </c>
      <c r="Z125" s="233">
        <f>IFERROR(__xludf.DUMMYFUNCTION("""COMPUTED_VALUE"""),1033.0)</f>
        <v>1033</v>
      </c>
    </row>
    <row r="126">
      <c r="A126" s="232">
        <f>IFERROR(__xludf.DUMMYFUNCTION("""COMPUTED_VALUE"""),44051.0)</f>
        <v>44051</v>
      </c>
      <c r="B126" s="233">
        <f>IFERROR(__xludf.DUMMYFUNCTION("""COMPUTED_VALUE"""),123.0)</f>
        <v>123</v>
      </c>
      <c r="C126" s="233">
        <f>IFERROR(__xludf.DUMMYFUNCTION("""COMPUTED_VALUE"""),138.0)</f>
        <v>138</v>
      </c>
      <c r="D126" s="233">
        <f>IFERROR(__xludf.DUMMYFUNCTION("""COMPUTED_VALUE"""),28950.0)</f>
        <v>28950</v>
      </c>
      <c r="E126" s="233">
        <f>IFERROR(__xludf.DUMMYFUNCTION("""COMPUTED_VALUE"""),4107.0)</f>
        <v>4107</v>
      </c>
      <c r="F126" s="171">
        <f>IFERROR(__xludf.DUMMYFUNCTION("""COMPUTED_VALUE"""),382703.0)</f>
        <v>382703</v>
      </c>
      <c r="G126" s="171">
        <f>IFERROR(__xludf.DUMMYFUNCTION("""COMPUTED_VALUE"""),4230.0)</f>
        <v>4230</v>
      </c>
      <c r="H126" s="171">
        <f>IFERROR(__xludf.DUMMYFUNCTION("""COMPUTED_VALUE"""),411653.0)</f>
        <v>411653</v>
      </c>
      <c r="I126" s="233">
        <f>IFERROR(__xludf.DUMMYFUNCTION("""COMPUTED_VALUE"""),92.0)</f>
        <v>92</v>
      </c>
      <c r="J126" s="233">
        <f>IFERROR(__xludf.DUMMYFUNCTION("""COMPUTED_VALUE"""),100.0)</f>
        <v>100</v>
      </c>
      <c r="K126" s="233">
        <f>IFERROR(__xludf.DUMMYFUNCTION("""COMPUTED_VALUE"""),19961.0)</f>
        <v>19961</v>
      </c>
      <c r="L126" s="233">
        <f>IFERROR(__xludf.DUMMYFUNCTION("""COMPUTED_VALUE"""),1777.0)</f>
        <v>1777</v>
      </c>
      <c r="M126" s="233">
        <f>IFERROR(__xludf.DUMMYFUNCTION("""COMPUTED_VALUE"""),204875.0)</f>
        <v>204875</v>
      </c>
      <c r="N126" s="233">
        <f>IFERROR(__xludf.DUMMYFUNCTION("""COMPUTED_VALUE"""),224836.0)</f>
        <v>224836</v>
      </c>
      <c r="O126" s="233">
        <f>IFERROR(__xludf.DUMMYFUNCTION("""COMPUTED_VALUE"""),19.0)</f>
        <v>19</v>
      </c>
      <c r="P126" s="233">
        <f>IFERROR(__xludf.DUMMYFUNCTION("""COMPUTED_VALUE"""),2357.0)</f>
        <v>2357</v>
      </c>
      <c r="Q126" s="233">
        <f>IFERROR(__xludf.DUMMYFUNCTION("""COMPUTED_VALUE"""),6.0)</f>
        <v>6</v>
      </c>
      <c r="R126" s="233">
        <f>IFERROR(__xludf.DUMMYFUNCTION("""COMPUTED_VALUE"""),1932.0)</f>
        <v>1932</v>
      </c>
      <c r="S126" s="233">
        <f>IFERROR(__xludf.DUMMYFUNCTION("""COMPUTED_VALUE"""),1.0)</f>
        <v>1</v>
      </c>
      <c r="T126" s="233">
        <f>IFERROR(__xludf.DUMMYFUNCTION("""COMPUTED_VALUE"""),322.0)</f>
        <v>322</v>
      </c>
      <c r="U126" s="233">
        <f>IFERROR(__xludf.DUMMYFUNCTION("""COMPUTED_VALUE"""),103.0)</f>
        <v>103</v>
      </c>
      <c r="V126" s="233">
        <f>IFERROR(__xludf.DUMMYFUNCTION("""COMPUTED_VALUE"""),94.0)</f>
        <v>94</v>
      </c>
      <c r="W126" s="233">
        <f>IFERROR(__xludf.DUMMYFUNCTION("""COMPUTED_VALUE"""),8.0)</f>
        <v>8</v>
      </c>
      <c r="X126" s="233">
        <f>IFERROR(__xludf.DUMMYFUNCTION("""COMPUTED_VALUE"""),3.0)</f>
        <v>3</v>
      </c>
      <c r="Y126" s="233">
        <f>IFERROR(__xludf.DUMMYFUNCTION("""COMPUTED_VALUE"""),1.0)</f>
        <v>1</v>
      </c>
      <c r="Z126" s="233">
        <f>IFERROR(__xludf.DUMMYFUNCTION("""COMPUTED_VALUE"""),1034.0)</f>
        <v>1034</v>
      </c>
    </row>
    <row r="127">
      <c r="A127" s="232">
        <f>IFERROR(__xludf.DUMMYFUNCTION("""COMPUTED_VALUE"""),44052.0)</f>
        <v>44052</v>
      </c>
      <c r="B127" s="233">
        <f>IFERROR(__xludf.DUMMYFUNCTION("""COMPUTED_VALUE"""),42.0)</f>
        <v>42</v>
      </c>
      <c r="C127" s="233">
        <f>IFERROR(__xludf.DUMMYFUNCTION("""COMPUTED_VALUE"""),96.0)</f>
        <v>96</v>
      </c>
      <c r="D127" s="233">
        <f>IFERROR(__xludf.DUMMYFUNCTION("""COMPUTED_VALUE"""),28992.0)</f>
        <v>28992</v>
      </c>
      <c r="E127" s="233">
        <f>IFERROR(__xludf.DUMMYFUNCTION("""COMPUTED_VALUE"""),1722.0)</f>
        <v>1722</v>
      </c>
      <c r="F127" s="171">
        <f>IFERROR(__xludf.DUMMYFUNCTION("""COMPUTED_VALUE"""),384425.0)</f>
        <v>384425</v>
      </c>
      <c r="G127" s="171">
        <f>IFERROR(__xludf.DUMMYFUNCTION("""COMPUTED_VALUE"""),1764.0)</f>
        <v>1764</v>
      </c>
      <c r="H127" s="171">
        <f>IFERROR(__xludf.DUMMYFUNCTION("""COMPUTED_VALUE"""),413417.0)</f>
        <v>413417</v>
      </c>
      <c r="I127" s="233">
        <f>IFERROR(__xludf.DUMMYFUNCTION("""COMPUTED_VALUE"""),35.0)</f>
        <v>35</v>
      </c>
      <c r="J127" s="233">
        <f>IFERROR(__xludf.DUMMYFUNCTION("""COMPUTED_VALUE"""),71.0)</f>
        <v>71</v>
      </c>
      <c r="K127" s="233">
        <f>IFERROR(__xludf.DUMMYFUNCTION("""COMPUTED_VALUE"""),19996.0)</f>
        <v>19996</v>
      </c>
      <c r="L127" s="233">
        <f>IFERROR(__xludf.DUMMYFUNCTION("""COMPUTED_VALUE"""),1070.0)</f>
        <v>1070</v>
      </c>
      <c r="M127" s="233">
        <f>IFERROR(__xludf.DUMMYFUNCTION("""COMPUTED_VALUE"""),205945.0)</f>
        <v>205945</v>
      </c>
      <c r="N127" s="233">
        <f>IFERROR(__xludf.DUMMYFUNCTION("""COMPUTED_VALUE"""),225941.0)</f>
        <v>225941</v>
      </c>
      <c r="O127" s="233">
        <f>IFERROR(__xludf.DUMMYFUNCTION("""COMPUTED_VALUE"""),8.0)</f>
        <v>8</v>
      </c>
      <c r="P127" s="233">
        <f>IFERROR(__xludf.DUMMYFUNCTION("""COMPUTED_VALUE"""),2365.0)</f>
        <v>2365</v>
      </c>
      <c r="Q127" s="233">
        <f>IFERROR(__xludf.DUMMYFUNCTION("""COMPUTED_VALUE"""),10.0)</f>
        <v>10</v>
      </c>
      <c r="R127" s="233">
        <f>IFERROR(__xludf.DUMMYFUNCTION("""COMPUTED_VALUE"""),1942.0)</f>
        <v>1942</v>
      </c>
      <c r="S127" s="233">
        <f>IFERROR(__xludf.DUMMYFUNCTION("""COMPUTED_VALUE"""),0.0)</f>
        <v>0</v>
      </c>
      <c r="T127" s="233">
        <f>IFERROR(__xludf.DUMMYFUNCTION("""COMPUTED_VALUE"""),322.0)</f>
        <v>322</v>
      </c>
      <c r="U127" s="233">
        <f>IFERROR(__xludf.DUMMYFUNCTION("""COMPUTED_VALUE"""),101.0)</f>
        <v>101</v>
      </c>
      <c r="V127" s="233">
        <f>IFERROR(__xludf.DUMMYFUNCTION("""COMPUTED_VALUE"""),98.0)</f>
        <v>98</v>
      </c>
      <c r="W127" s="233">
        <f>IFERROR(__xludf.DUMMYFUNCTION("""COMPUTED_VALUE"""),9.0)</f>
        <v>9</v>
      </c>
      <c r="X127" s="233">
        <f>IFERROR(__xludf.DUMMYFUNCTION("""COMPUTED_VALUE"""),4.0)</f>
        <v>4</v>
      </c>
      <c r="Y127" s="233">
        <f>IFERROR(__xludf.DUMMYFUNCTION("""COMPUTED_VALUE"""),0.0)</f>
        <v>0</v>
      </c>
      <c r="Z127" s="233">
        <f>IFERROR(__xludf.DUMMYFUNCTION("""COMPUTED_VALUE"""),1034.0)</f>
        <v>1034</v>
      </c>
    </row>
    <row r="128">
      <c r="A128" s="232">
        <f>IFERROR(__xludf.DUMMYFUNCTION("""COMPUTED_VALUE"""),44053.0)</f>
        <v>44053</v>
      </c>
      <c r="B128" s="233">
        <f>IFERROR(__xludf.DUMMYFUNCTION("""COMPUTED_VALUE"""),149.0)</f>
        <v>149</v>
      </c>
      <c r="C128" s="233">
        <f>IFERROR(__xludf.DUMMYFUNCTION("""COMPUTED_VALUE"""),105.0)</f>
        <v>105</v>
      </c>
      <c r="D128" s="233">
        <f>IFERROR(__xludf.DUMMYFUNCTION("""COMPUTED_VALUE"""),29141.0)</f>
        <v>29141</v>
      </c>
      <c r="E128" s="233">
        <f>IFERROR(__xludf.DUMMYFUNCTION("""COMPUTED_VALUE"""),4584.0)</f>
        <v>4584</v>
      </c>
      <c r="F128" s="171">
        <f>IFERROR(__xludf.DUMMYFUNCTION("""COMPUTED_VALUE"""),389009.0)</f>
        <v>389009</v>
      </c>
      <c r="G128" s="171">
        <f>IFERROR(__xludf.DUMMYFUNCTION("""COMPUTED_VALUE"""),4733.0)</f>
        <v>4733</v>
      </c>
      <c r="H128" s="171">
        <f>IFERROR(__xludf.DUMMYFUNCTION("""COMPUTED_VALUE"""),418150.0)</f>
        <v>418150</v>
      </c>
      <c r="I128" s="233">
        <f>IFERROR(__xludf.DUMMYFUNCTION("""COMPUTED_VALUE"""),113.0)</f>
        <v>113</v>
      </c>
      <c r="J128" s="233">
        <f>IFERROR(__xludf.DUMMYFUNCTION("""COMPUTED_VALUE"""),80.0)</f>
        <v>80</v>
      </c>
      <c r="K128" s="233">
        <f>IFERROR(__xludf.DUMMYFUNCTION("""COMPUTED_VALUE"""),20109.0)</f>
        <v>20109</v>
      </c>
      <c r="L128" s="233">
        <f>IFERROR(__xludf.DUMMYFUNCTION("""COMPUTED_VALUE"""),2020.0)</f>
        <v>2020</v>
      </c>
      <c r="M128" s="233">
        <f>IFERROR(__xludf.DUMMYFUNCTION("""COMPUTED_VALUE"""),207965.0)</f>
        <v>207965</v>
      </c>
      <c r="N128" s="233">
        <f>IFERROR(__xludf.DUMMYFUNCTION("""COMPUTED_VALUE"""),228074.0)</f>
        <v>228074</v>
      </c>
      <c r="O128" s="233">
        <f>IFERROR(__xludf.DUMMYFUNCTION("""COMPUTED_VALUE"""),11.0)</f>
        <v>11</v>
      </c>
      <c r="P128" s="233">
        <f>IFERROR(__xludf.DUMMYFUNCTION("""COMPUTED_VALUE"""),2376.0)</f>
        <v>2376</v>
      </c>
      <c r="Q128" s="233">
        <f>IFERROR(__xludf.DUMMYFUNCTION("""COMPUTED_VALUE"""),12.0)</f>
        <v>12</v>
      </c>
      <c r="R128" s="233">
        <f>IFERROR(__xludf.DUMMYFUNCTION("""COMPUTED_VALUE"""),1954.0)</f>
        <v>1954</v>
      </c>
      <c r="S128" s="233">
        <f>IFERROR(__xludf.DUMMYFUNCTION("""COMPUTED_VALUE"""),0.0)</f>
        <v>0</v>
      </c>
      <c r="T128" s="233">
        <f>IFERROR(__xludf.DUMMYFUNCTION("""COMPUTED_VALUE"""),322.0)</f>
        <v>322</v>
      </c>
      <c r="U128" s="233">
        <f>IFERROR(__xludf.DUMMYFUNCTION("""COMPUTED_VALUE"""),100.0)</f>
        <v>100</v>
      </c>
      <c r="V128" s="233">
        <f>IFERROR(__xludf.DUMMYFUNCTION("""COMPUTED_VALUE"""),101.0)</f>
        <v>101</v>
      </c>
      <c r="W128" s="233">
        <f>IFERROR(__xludf.DUMMYFUNCTION("""COMPUTED_VALUE"""),9.0)</f>
        <v>9</v>
      </c>
      <c r="X128" s="233">
        <f>IFERROR(__xludf.DUMMYFUNCTION("""COMPUTED_VALUE"""),4.0)</f>
        <v>4</v>
      </c>
      <c r="Y128" s="233">
        <f>IFERROR(__xludf.DUMMYFUNCTION("""COMPUTED_VALUE"""),1.0)</f>
        <v>1</v>
      </c>
      <c r="Z128" s="233">
        <f>IFERROR(__xludf.DUMMYFUNCTION("""COMPUTED_VALUE"""),1035.0)</f>
        <v>1035</v>
      </c>
    </row>
    <row r="129">
      <c r="A129" s="232">
        <f>IFERROR(__xludf.DUMMYFUNCTION("""COMPUTED_VALUE"""),44054.0)</f>
        <v>44054</v>
      </c>
      <c r="B129" s="233">
        <f>IFERROR(__xludf.DUMMYFUNCTION("""COMPUTED_VALUE"""),105.0)</f>
        <v>105</v>
      </c>
      <c r="C129" s="233">
        <f>IFERROR(__xludf.DUMMYFUNCTION("""COMPUTED_VALUE"""),99.0)</f>
        <v>99</v>
      </c>
      <c r="D129" s="233">
        <f>IFERROR(__xludf.DUMMYFUNCTION("""COMPUTED_VALUE"""),29246.0)</f>
        <v>29246</v>
      </c>
      <c r="E129" s="233">
        <f>IFERROR(__xludf.DUMMYFUNCTION("""COMPUTED_VALUE"""),4329.0)</f>
        <v>4329</v>
      </c>
      <c r="F129" s="171">
        <f>IFERROR(__xludf.DUMMYFUNCTION("""COMPUTED_VALUE"""),393338.0)</f>
        <v>393338</v>
      </c>
      <c r="G129" s="171">
        <f>IFERROR(__xludf.DUMMYFUNCTION("""COMPUTED_VALUE"""),4434.0)</f>
        <v>4434</v>
      </c>
      <c r="H129" s="171">
        <f>IFERROR(__xludf.DUMMYFUNCTION("""COMPUTED_VALUE"""),422584.0)</f>
        <v>422584</v>
      </c>
      <c r="I129" s="233">
        <f>IFERROR(__xludf.DUMMYFUNCTION("""COMPUTED_VALUE"""),92.0)</f>
        <v>92</v>
      </c>
      <c r="J129" s="233">
        <f>IFERROR(__xludf.DUMMYFUNCTION("""COMPUTED_VALUE"""),80.0)</f>
        <v>80</v>
      </c>
      <c r="K129" s="233">
        <f>IFERROR(__xludf.DUMMYFUNCTION("""COMPUTED_VALUE"""),20201.0)</f>
        <v>20201</v>
      </c>
      <c r="L129" s="233">
        <f>IFERROR(__xludf.DUMMYFUNCTION("""COMPUTED_VALUE"""),2262.0)</f>
        <v>2262</v>
      </c>
      <c r="M129" s="233">
        <f>IFERROR(__xludf.DUMMYFUNCTION("""COMPUTED_VALUE"""),210227.0)</f>
        <v>210227</v>
      </c>
      <c r="N129" s="233">
        <f>IFERROR(__xludf.DUMMYFUNCTION("""COMPUTED_VALUE"""),230428.0)</f>
        <v>230428</v>
      </c>
      <c r="O129" s="233">
        <f>IFERROR(__xludf.DUMMYFUNCTION("""COMPUTED_VALUE"""),6.0)</f>
        <v>6</v>
      </c>
      <c r="P129" s="233">
        <f>IFERROR(__xludf.DUMMYFUNCTION("""COMPUTED_VALUE"""),2382.0)</f>
        <v>2382</v>
      </c>
      <c r="Q129" s="233">
        <f>IFERROR(__xludf.DUMMYFUNCTION("""COMPUTED_VALUE"""),14.0)</f>
        <v>14</v>
      </c>
      <c r="R129" s="233">
        <f>IFERROR(__xludf.DUMMYFUNCTION("""COMPUTED_VALUE"""),1968.0)</f>
        <v>1968</v>
      </c>
      <c r="S129" s="233">
        <f>IFERROR(__xludf.DUMMYFUNCTION("""COMPUTED_VALUE"""),0.0)</f>
        <v>0</v>
      </c>
      <c r="T129" s="233">
        <f>IFERROR(__xludf.DUMMYFUNCTION("""COMPUTED_VALUE"""),322.0)</f>
        <v>322</v>
      </c>
      <c r="U129" s="233">
        <f>IFERROR(__xludf.DUMMYFUNCTION("""COMPUTED_VALUE"""),92.0)</f>
        <v>92</v>
      </c>
      <c r="V129" s="233">
        <f>IFERROR(__xludf.DUMMYFUNCTION("""COMPUTED_VALUE"""),98.0)</f>
        <v>98</v>
      </c>
      <c r="W129" s="233">
        <f>IFERROR(__xludf.DUMMYFUNCTION("""COMPUTED_VALUE"""),10.0)</f>
        <v>10</v>
      </c>
      <c r="X129" s="233">
        <f>IFERROR(__xludf.DUMMYFUNCTION("""COMPUTED_VALUE"""),4.0)</f>
        <v>4</v>
      </c>
      <c r="Y129" s="233">
        <f>IFERROR(__xludf.DUMMYFUNCTION("""COMPUTED_VALUE"""),3.0)</f>
        <v>3</v>
      </c>
      <c r="Z129" s="233">
        <f>IFERROR(__xludf.DUMMYFUNCTION("""COMPUTED_VALUE"""),1038.0)</f>
        <v>1038</v>
      </c>
    </row>
    <row r="130">
      <c r="A130" s="232">
        <f>IFERROR(__xludf.DUMMYFUNCTION("""COMPUTED_VALUE"""),44055.0)</f>
        <v>44055</v>
      </c>
      <c r="B130" s="233">
        <f>IFERROR(__xludf.DUMMYFUNCTION("""COMPUTED_VALUE"""),121.0)</f>
        <v>121</v>
      </c>
      <c r="C130" s="233">
        <f>IFERROR(__xludf.DUMMYFUNCTION("""COMPUTED_VALUE"""),125.0)</f>
        <v>125</v>
      </c>
      <c r="D130" s="233">
        <f>IFERROR(__xludf.DUMMYFUNCTION("""COMPUTED_VALUE"""),29367.0)</f>
        <v>29367</v>
      </c>
      <c r="E130" s="233">
        <f>IFERROR(__xludf.DUMMYFUNCTION("""COMPUTED_VALUE"""),5184.0)</f>
        <v>5184</v>
      </c>
      <c r="F130" s="171">
        <f>IFERROR(__xludf.DUMMYFUNCTION("""COMPUTED_VALUE"""),398522.0)</f>
        <v>398522</v>
      </c>
      <c r="G130" s="171">
        <f>IFERROR(__xludf.DUMMYFUNCTION("""COMPUTED_VALUE"""),5305.0)</f>
        <v>5305</v>
      </c>
      <c r="H130" s="171">
        <f>IFERROR(__xludf.DUMMYFUNCTION("""COMPUTED_VALUE"""),427889.0)</f>
        <v>427889</v>
      </c>
      <c r="I130" s="233">
        <f>IFERROR(__xludf.DUMMYFUNCTION("""COMPUTED_VALUE"""),101.0)</f>
        <v>101</v>
      </c>
      <c r="J130" s="233">
        <f>IFERROR(__xludf.DUMMYFUNCTION("""COMPUTED_VALUE"""),102.0)</f>
        <v>102</v>
      </c>
      <c r="K130" s="233">
        <f>IFERROR(__xludf.DUMMYFUNCTION("""COMPUTED_VALUE"""),20302.0)</f>
        <v>20302</v>
      </c>
      <c r="L130" s="233">
        <f>IFERROR(__xludf.DUMMYFUNCTION("""COMPUTED_VALUE"""),2622.0)</f>
        <v>2622</v>
      </c>
      <c r="M130" s="233">
        <f>IFERROR(__xludf.DUMMYFUNCTION("""COMPUTED_VALUE"""),212849.0)</f>
        <v>212849</v>
      </c>
      <c r="N130" s="233">
        <f>IFERROR(__xludf.DUMMYFUNCTION("""COMPUTED_VALUE"""),233151.0)</f>
        <v>233151</v>
      </c>
      <c r="O130" s="233">
        <f>IFERROR(__xludf.DUMMYFUNCTION("""COMPUTED_VALUE"""),8.0)</f>
        <v>8</v>
      </c>
      <c r="P130" s="233">
        <f>IFERROR(__xludf.DUMMYFUNCTION("""COMPUTED_VALUE"""),2390.0)</f>
        <v>2390</v>
      </c>
      <c r="Q130" s="233">
        <f>IFERROR(__xludf.DUMMYFUNCTION("""COMPUTED_VALUE"""),11.0)</f>
        <v>11</v>
      </c>
      <c r="R130" s="233">
        <f>IFERROR(__xludf.DUMMYFUNCTION("""COMPUTED_VALUE"""),1979.0)</f>
        <v>1979</v>
      </c>
      <c r="S130" s="233">
        <f>IFERROR(__xludf.DUMMYFUNCTION("""COMPUTED_VALUE"""),0.0)</f>
        <v>0</v>
      </c>
      <c r="T130" s="233">
        <f>IFERROR(__xludf.DUMMYFUNCTION("""COMPUTED_VALUE"""),322.0)</f>
        <v>322</v>
      </c>
      <c r="U130" s="233">
        <f>IFERROR(__xludf.DUMMYFUNCTION("""COMPUTED_VALUE"""),89.0)</f>
        <v>89</v>
      </c>
      <c r="V130" s="233">
        <f>IFERROR(__xludf.DUMMYFUNCTION("""COMPUTED_VALUE"""),94.0)</f>
        <v>94</v>
      </c>
      <c r="W130" s="233">
        <f>IFERROR(__xludf.DUMMYFUNCTION("""COMPUTED_VALUE"""),9.0)</f>
        <v>9</v>
      </c>
      <c r="X130" s="233">
        <f>IFERROR(__xludf.DUMMYFUNCTION("""COMPUTED_VALUE"""),3.0)</f>
        <v>3</v>
      </c>
      <c r="Y130" s="233">
        <f>IFERROR(__xludf.DUMMYFUNCTION("""COMPUTED_VALUE"""),1.0)</f>
        <v>1</v>
      </c>
      <c r="Z130" s="233">
        <f>IFERROR(__xludf.DUMMYFUNCTION("""COMPUTED_VALUE"""),1039.0)</f>
        <v>1039</v>
      </c>
    </row>
    <row r="131">
      <c r="A131" s="232">
        <f>IFERROR(__xludf.DUMMYFUNCTION("""COMPUTED_VALUE"""),44056.0)</f>
        <v>44056</v>
      </c>
      <c r="B131" s="233">
        <f>IFERROR(__xludf.DUMMYFUNCTION("""COMPUTED_VALUE"""),135.0)</f>
        <v>135</v>
      </c>
      <c r="C131" s="233">
        <f>IFERROR(__xludf.DUMMYFUNCTION("""COMPUTED_VALUE"""),120.0)</f>
        <v>120</v>
      </c>
      <c r="D131" s="233">
        <f>IFERROR(__xludf.DUMMYFUNCTION("""COMPUTED_VALUE"""),29502.0)</f>
        <v>29502</v>
      </c>
      <c r="E131" s="233">
        <f>IFERROR(__xludf.DUMMYFUNCTION("""COMPUTED_VALUE"""),4192.0)</f>
        <v>4192</v>
      </c>
      <c r="F131" s="171">
        <f>IFERROR(__xludf.DUMMYFUNCTION("""COMPUTED_VALUE"""),402714.0)</f>
        <v>402714</v>
      </c>
      <c r="G131" s="171">
        <f>IFERROR(__xludf.DUMMYFUNCTION("""COMPUTED_VALUE"""),4327.0)</f>
        <v>4327</v>
      </c>
      <c r="H131" s="171">
        <f>IFERROR(__xludf.DUMMYFUNCTION("""COMPUTED_VALUE"""),432216.0)</f>
        <v>432216</v>
      </c>
      <c r="I131" s="233">
        <f>IFERROR(__xludf.DUMMYFUNCTION("""COMPUTED_VALUE"""),95.0)</f>
        <v>95</v>
      </c>
      <c r="J131" s="233">
        <f>IFERROR(__xludf.DUMMYFUNCTION("""COMPUTED_VALUE"""),96.0)</f>
        <v>96</v>
      </c>
      <c r="K131" s="233">
        <f>IFERROR(__xludf.DUMMYFUNCTION("""COMPUTED_VALUE"""),20397.0)</f>
        <v>20397</v>
      </c>
      <c r="L131" s="233">
        <f>IFERROR(__xludf.DUMMYFUNCTION("""COMPUTED_VALUE"""),1900.0)</f>
        <v>1900</v>
      </c>
      <c r="M131" s="233">
        <f>IFERROR(__xludf.DUMMYFUNCTION("""COMPUTED_VALUE"""),214749.0)</f>
        <v>214749</v>
      </c>
      <c r="N131" s="233">
        <f>IFERROR(__xludf.DUMMYFUNCTION("""COMPUTED_VALUE"""),235146.0)</f>
        <v>235146</v>
      </c>
      <c r="O131" s="233">
        <f>IFERROR(__xludf.DUMMYFUNCTION("""COMPUTED_VALUE"""),13.0)</f>
        <v>13</v>
      </c>
      <c r="P131" s="233">
        <f>IFERROR(__xludf.DUMMYFUNCTION("""COMPUTED_VALUE"""),2403.0)</f>
        <v>2403</v>
      </c>
      <c r="Q131" s="233">
        <f>IFERROR(__xludf.DUMMYFUNCTION("""COMPUTED_VALUE"""),12.0)</f>
        <v>12</v>
      </c>
      <c r="R131" s="233">
        <f>IFERROR(__xludf.DUMMYFUNCTION("""COMPUTED_VALUE"""),1991.0)</f>
        <v>1991</v>
      </c>
      <c r="S131" s="233">
        <f>IFERROR(__xludf.DUMMYFUNCTION("""COMPUTED_VALUE"""),0.0)</f>
        <v>0</v>
      </c>
      <c r="T131" s="233">
        <f>IFERROR(__xludf.DUMMYFUNCTION("""COMPUTED_VALUE"""),322.0)</f>
        <v>322</v>
      </c>
      <c r="U131" s="233">
        <f>IFERROR(__xludf.DUMMYFUNCTION("""COMPUTED_VALUE"""),90.0)</f>
        <v>90</v>
      </c>
      <c r="V131" s="233">
        <f>IFERROR(__xludf.DUMMYFUNCTION("""COMPUTED_VALUE"""),90.0)</f>
        <v>90</v>
      </c>
      <c r="W131" s="233">
        <f>IFERROR(__xludf.DUMMYFUNCTION("""COMPUTED_VALUE"""),11.0)</f>
        <v>11</v>
      </c>
      <c r="X131" s="233">
        <f>IFERROR(__xludf.DUMMYFUNCTION("""COMPUTED_VALUE"""),3.0)</f>
        <v>3</v>
      </c>
      <c r="Y131" s="233">
        <f>IFERROR(__xludf.DUMMYFUNCTION("""COMPUTED_VALUE"""),0.0)</f>
        <v>0</v>
      </c>
      <c r="Z131" s="233">
        <f>IFERROR(__xludf.DUMMYFUNCTION("""COMPUTED_VALUE"""),1039.0)</f>
        <v>1039</v>
      </c>
    </row>
    <row r="132">
      <c r="A132" s="232">
        <f>IFERROR(__xludf.DUMMYFUNCTION("""COMPUTED_VALUE"""),44057.0)</f>
        <v>44057</v>
      </c>
      <c r="B132" s="233">
        <f>IFERROR(__xludf.DUMMYFUNCTION("""COMPUTED_VALUE"""),145.0)</f>
        <v>145</v>
      </c>
      <c r="C132" s="233">
        <f>IFERROR(__xludf.DUMMYFUNCTION("""COMPUTED_VALUE"""),134.0)</f>
        <v>134</v>
      </c>
      <c r="D132" s="233">
        <f>IFERROR(__xludf.DUMMYFUNCTION("""COMPUTED_VALUE"""),29647.0)</f>
        <v>29647</v>
      </c>
      <c r="E132" s="233">
        <f>IFERROR(__xludf.DUMMYFUNCTION("""COMPUTED_VALUE"""),5494.0)</f>
        <v>5494</v>
      </c>
      <c r="F132" s="171">
        <f>IFERROR(__xludf.DUMMYFUNCTION("""COMPUTED_VALUE"""),408208.0)</f>
        <v>408208</v>
      </c>
      <c r="G132" s="171">
        <f>IFERROR(__xludf.DUMMYFUNCTION("""COMPUTED_VALUE"""),5639.0)</f>
        <v>5639</v>
      </c>
      <c r="H132" s="171">
        <f>IFERROR(__xludf.DUMMYFUNCTION("""COMPUTED_VALUE"""),437855.0)</f>
        <v>437855</v>
      </c>
      <c r="I132" s="233">
        <f>IFERROR(__xludf.DUMMYFUNCTION("""COMPUTED_VALUE"""),99.0)</f>
        <v>99</v>
      </c>
      <c r="J132" s="233">
        <f>IFERROR(__xludf.DUMMYFUNCTION("""COMPUTED_VALUE"""),98.0)</f>
        <v>98</v>
      </c>
      <c r="K132" s="233">
        <f>IFERROR(__xludf.DUMMYFUNCTION("""COMPUTED_VALUE"""),20496.0)</f>
        <v>20496</v>
      </c>
      <c r="L132" s="233">
        <f>IFERROR(__xludf.DUMMYFUNCTION("""COMPUTED_VALUE"""),1971.0)</f>
        <v>1971</v>
      </c>
      <c r="M132" s="233">
        <f>IFERROR(__xludf.DUMMYFUNCTION("""COMPUTED_VALUE"""),216720.0)</f>
        <v>216720</v>
      </c>
      <c r="N132" s="233">
        <f>IFERROR(__xludf.DUMMYFUNCTION("""COMPUTED_VALUE"""),237216.0)</f>
        <v>237216</v>
      </c>
      <c r="O132" s="233">
        <f>IFERROR(__xludf.DUMMYFUNCTION("""COMPUTED_VALUE"""),13.0)</f>
        <v>13</v>
      </c>
      <c r="P132" s="233">
        <f>IFERROR(__xludf.DUMMYFUNCTION("""COMPUTED_VALUE"""),2416.0)</f>
        <v>2416</v>
      </c>
      <c r="Q132" s="233">
        <f>IFERROR(__xludf.DUMMYFUNCTION("""COMPUTED_VALUE"""),11.0)</f>
        <v>11</v>
      </c>
      <c r="R132" s="233">
        <f>IFERROR(__xludf.DUMMYFUNCTION("""COMPUTED_VALUE"""),2002.0)</f>
        <v>2002</v>
      </c>
      <c r="S132" s="233">
        <f>IFERROR(__xludf.DUMMYFUNCTION("""COMPUTED_VALUE"""),0.0)</f>
        <v>0</v>
      </c>
      <c r="T132" s="233">
        <f>IFERROR(__xludf.DUMMYFUNCTION("""COMPUTED_VALUE"""),322.0)</f>
        <v>322</v>
      </c>
      <c r="U132" s="233">
        <f>IFERROR(__xludf.DUMMYFUNCTION("""COMPUTED_VALUE"""),92.0)</f>
        <v>92</v>
      </c>
      <c r="V132" s="233">
        <f>IFERROR(__xludf.DUMMYFUNCTION("""COMPUTED_VALUE"""),90.0)</f>
        <v>90</v>
      </c>
      <c r="W132" s="233">
        <f>IFERROR(__xludf.DUMMYFUNCTION("""COMPUTED_VALUE"""),11.0)</f>
        <v>11</v>
      </c>
      <c r="X132" s="233">
        <f>IFERROR(__xludf.DUMMYFUNCTION("""COMPUTED_VALUE"""),4.0)</f>
        <v>4</v>
      </c>
      <c r="Y132" s="233">
        <f>IFERROR(__xludf.DUMMYFUNCTION("""COMPUTED_VALUE"""),3.0)</f>
        <v>3</v>
      </c>
      <c r="Z132" s="233">
        <f>IFERROR(__xludf.DUMMYFUNCTION("""COMPUTED_VALUE"""),1042.0)</f>
        <v>1042</v>
      </c>
    </row>
    <row r="133">
      <c r="A133" s="232">
        <f>IFERROR(__xludf.DUMMYFUNCTION("""COMPUTED_VALUE"""),44058.0)</f>
        <v>44058</v>
      </c>
      <c r="B133" s="233">
        <f>IFERROR(__xludf.DUMMYFUNCTION("""COMPUTED_VALUE"""),105.0)</f>
        <v>105</v>
      </c>
      <c r="C133" s="233">
        <f>IFERROR(__xludf.DUMMYFUNCTION("""COMPUTED_VALUE"""),128.0)</f>
        <v>128</v>
      </c>
      <c r="D133" s="233">
        <f>IFERROR(__xludf.DUMMYFUNCTION("""COMPUTED_VALUE"""),29752.0)</f>
        <v>29752</v>
      </c>
      <c r="E133" s="233">
        <f>IFERROR(__xludf.DUMMYFUNCTION("""COMPUTED_VALUE"""),4533.0)</f>
        <v>4533</v>
      </c>
      <c r="F133" s="171">
        <f>IFERROR(__xludf.DUMMYFUNCTION("""COMPUTED_VALUE"""),412741.0)</f>
        <v>412741</v>
      </c>
      <c r="G133" s="171">
        <f>IFERROR(__xludf.DUMMYFUNCTION("""COMPUTED_VALUE"""),4638.0)</f>
        <v>4638</v>
      </c>
      <c r="H133" s="171">
        <f>IFERROR(__xludf.DUMMYFUNCTION("""COMPUTED_VALUE"""),442493.0)</f>
        <v>442493</v>
      </c>
      <c r="I133" s="233">
        <f>IFERROR(__xludf.DUMMYFUNCTION("""COMPUTED_VALUE"""),89.0)</f>
        <v>89</v>
      </c>
      <c r="J133" s="233">
        <f>IFERROR(__xludf.DUMMYFUNCTION("""COMPUTED_VALUE"""),94.0)</f>
        <v>94</v>
      </c>
      <c r="K133" s="233">
        <f>IFERROR(__xludf.DUMMYFUNCTION("""COMPUTED_VALUE"""),20585.0)</f>
        <v>20585</v>
      </c>
      <c r="L133" s="233">
        <f>IFERROR(__xludf.DUMMYFUNCTION("""COMPUTED_VALUE"""),1689.0)</f>
        <v>1689</v>
      </c>
      <c r="M133" s="233">
        <f>IFERROR(__xludf.DUMMYFUNCTION("""COMPUTED_VALUE"""),218409.0)</f>
        <v>218409</v>
      </c>
      <c r="N133" s="233">
        <f>IFERROR(__xludf.DUMMYFUNCTION("""COMPUTED_VALUE"""),238994.0)</f>
        <v>238994</v>
      </c>
      <c r="O133" s="233">
        <f>IFERROR(__xludf.DUMMYFUNCTION("""COMPUTED_VALUE"""),9.0)</f>
        <v>9</v>
      </c>
      <c r="P133" s="233">
        <f>IFERROR(__xludf.DUMMYFUNCTION("""COMPUTED_VALUE"""),2425.0)</f>
        <v>2425</v>
      </c>
      <c r="Q133" s="233">
        <f>IFERROR(__xludf.DUMMYFUNCTION("""COMPUTED_VALUE"""),11.0)</f>
        <v>11</v>
      </c>
      <c r="R133" s="233">
        <f>IFERROR(__xludf.DUMMYFUNCTION("""COMPUTED_VALUE"""),2013.0)</f>
        <v>2013</v>
      </c>
      <c r="S133" s="233">
        <f>IFERROR(__xludf.DUMMYFUNCTION("""COMPUTED_VALUE"""),1.0)</f>
        <v>1</v>
      </c>
      <c r="T133" s="233">
        <f>IFERROR(__xludf.DUMMYFUNCTION("""COMPUTED_VALUE"""),323.0)</f>
        <v>323</v>
      </c>
      <c r="U133" s="233">
        <f>IFERROR(__xludf.DUMMYFUNCTION("""COMPUTED_VALUE"""),89.0)</f>
        <v>89</v>
      </c>
      <c r="V133" s="233">
        <f>IFERROR(__xludf.DUMMYFUNCTION("""COMPUTED_VALUE"""),90.0)</f>
        <v>90</v>
      </c>
      <c r="W133" s="233">
        <f>IFERROR(__xludf.DUMMYFUNCTION("""COMPUTED_VALUE"""),11.0)</f>
        <v>11</v>
      </c>
      <c r="X133" s="233">
        <f>IFERROR(__xludf.DUMMYFUNCTION("""COMPUTED_VALUE"""),5.0)</f>
        <v>5</v>
      </c>
      <c r="Y133" s="233">
        <f>IFERROR(__xludf.DUMMYFUNCTION("""COMPUTED_VALUE"""),0.0)</f>
        <v>0</v>
      </c>
      <c r="Z133" s="233">
        <f>IFERROR(__xludf.DUMMYFUNCTION("""COMPUTED_VALUE"""),1042.0)</f>
        <v>1042</v>
      </c>
    </row>
    <row r="134">
      <c r="A134" s="232">
        <f>IFERROR(__xludf.DUMMYFUNCTION("""COMPUTED_VALUE"""),44059.0)</f>
        <v>44059</v>
      </c>
      <c r="B134" s="233">
        <f>IFERROR(__xludf.DUMMYFUNCTION("""COMPUTED_VALUE"""),83.0)</f>
        <v>83</v>
      </c>
      <c r="C134" s="233">
        <f>IFERROR(__xludf.DUMMYFUNCTION("""COMPUTED_VALUE"""),111.0)</f>
        <v>111</v>
      </c>
      <c r="D134" s="233">
        <f>IFERROR(__xludf.DUMMYFUNCTION("""COMPUTED_VALUE"""),29835.0)</f>
        <v>29835</v>
      </c>
      <c r="E134" s="233">
        <f>IFERROR(__xludf.DUMMYFUNCTION("""COMPUTED_VALUE"""),2472.0)</f>
        <v>2472</v>
      </c>
      <c r="F134" s="171">
        <f>IFERROR(__xludf.DUMMYFUNCTION("""COMPUTED_VALUE"""),415213.0)</f>
        <v>415213</v>
      </c>
      <c r="G134" s="171">
        <f>IFERROR(__xludf.DUMMYFUNCTION("""COMPUTED_VALUE"""),2555.0)</f>
        <v>2555</v>
      </c>
      <c r="H134" s="171">
        <f>IFERROR(__xludf.DUMMYFUNCTION("""COMPUTED_VALUE"""),445048.0)</f>
        <v>445048</v>
      </c>
      <c r="I134" s="233">
        <f>IFERROR(__xludf.DUMMYFUNCTION("""COMPUTED_VALUE"""),70.0)</f>
        <v>70</v>
      </c>
      <c r="J134" s="233">
        <f>IFERROR(__xludf.DUMMYFUNCTION("""COMPUTED_VALUE"""),86.0)</f>
        <v>86</v>
      </c>
      <c r="K134" s="233">
        <f>IFERROR(__xludf.DUMMYFUNCTION("""COMPUTED_VALUE"""),20655.0)</f>
        <v>20655</v>
      </c>
      <c r="L134" s="233">
        <f>IFERROR(__xludf.DUMMYFUNCTION("""COMPUTED_VALUE"""),961.0)</f>
        <v>961</v>
      </c>
      <c r="M134" s="233">
        <f>IFERROR(__xludf.DUMMYFUNCTION("""COMPUTED_VALUE"""),219370.0)</f>
        <v>219370</v>
      </c>
      <c r="N134" s="233">
        <f>IFERROR(__xludf.DUMMYFUNCTION("""COMPUTED_VALUE"""),240025.0)</f>
        <v>240025</v>
      </c>
      <c r="O134" s="233">
        <f>IFERROR(__xludf.DUMMYFUNCTION("""COMPUTED_VALUE"""),7.0)</f>
        <v>7</v>
      </c>
      <c r="P134" s="233">
        <f>IFERROR(__xludf.DUMMYFUNCTION("""COMPUTED_VALUE"""),2432.0)</f>
        <v>2432</v>
      </c>
      <c r="Q134" s="233">
        <f>IFERROR(__xludf.DUMMYFUNCTION("""COMPUTED_VALUE"""),6.0)</f>
        <v>6</v>
      </c>
      <c r="R134" s="233">
        <f>IFERROR(__xludf.DUMMYFUNCTION("""COMPUTED_VALUE"""),2019.0)</f>
        <v>2019</v>
      </c>
      <c r="S134" s="233">
        <f>IFERROR(__xludf.DUMMYFUNCTION("""COMPUTED_VALUE"""),4.0)</f>
        <v>4</v>
      </c>
      <c r="T134" s="233">
        <f>IFERROR(__xludf.DUMMYFUNCTION("""COMPUTED_VALUE"""),327.0)</f>
        <v>327</v>
      </c>
      <c r="U134" s="233">
        <f>IFERROR(__xludf.DUMMYFUNCTION("""COMPUTED_VALUE"""),86.0)</f>
        <v>86</v>
      </c>
      <c r="V134" s="233">
        <f>IFERROR(__xludf.DUMMYFUNCTION("""COMPUTED_VALUE"""),89.0)</f>
        <v>89</v>
      </c>
      <c r="W134" s="233">
        <f>IFERROR(__xludf.DUMMYFUNCTION("""COMPUTED_VALUE"""),8.0)</f>
        <v>8</v>
      </c>
      <c r="X134" s="233">
        <f>IFERROR(__xludf.DUMMYFUNCTION("""COMPUTED_VALUE"""),4.0)</f>
        <v>4</v>
      </c>
      <c r="Y134" s="233">
        <f>IFERROR(__xludf.DUMMYFUNCTION("""COMPUTED_VALUE"""),6.0)</f>
        <v>6</v>
      </c>
      <c r="Z134" s="233">
        <f>IFERROR(__xludf.DUMMYFUNCTION("""COMPUTED_VALUE"""),1048.0)</f>
        <v>1048</v>
      </c>
    </row>
    <row r="135">
      <c r="A135" s="232">
        <f>IFERROR(__xludf.DUMMYFUNCTION("""COMPUTED_VALUE"""),44060.0)</f>
        <v>44060</v>
      </c>
      <c r="B135" s="233">
        <f>IFERROR(__xludf.DUMMYFUNCTION("""COMPUTED_VALUE"""),106.0)</f>
        <v>106</v>
      </c>
      <c r="C135" s="233">
        <f>IFERROR(__xludf.DUMMYFUNCTION("""COMPUTED_VALUE"""),98.0)</f>
        <v>98</v>
      </c>
      <c r="D135" s="233">
        <f>IFERROR(__xludf.DUMMYFUNCTION("""COMPUTED_VALUE"""),29941.0)</f>
        <v>29941</v>
      </c>
      <c r="E135" s="233">
        <f>IFERROR(__xludf.DUMMYFUNCTION("""COMPUTED_VALUE"""),4570.0)</f>
        <v>4570</v>
      </c>
      <c r="F135" s="171">
        <f>IFERROR(__xludf.DUMMYFUNCTION("""COMPUTED_VALUE"""),419783.0)</f>
        <v>419783</v>
      </c>
      <c r="G135" s="171">
        <f>IFERROR(__xludf.DUMMYFUNCTION("""COMPUTED_VALUE"""),4676.0)</f>
        <v>4676</v>
      </c>
      <c r="H135" s="171">
        <f>IFERROR(__xludf.DUMMYFUNCTION("""COMPUTED_VALUE"""),449724.0)</f>
        <v>449724</v>
      </c>
      <c r="I135" s="233">
        <f>IFERROR(__xludf.DUMMYFUNCTION("""COMPUTED_VALUE"""),88.0)</f>
        <v>88</v>
      </c>
      <c r="J135" s="233">
        <f>IFERROR(__xludf.DUMMYFUNCTION("""COMPUTED_VALUE"""),82.0)</f>
        <v>82</v>
      </c>
      <c r="K135" s="233">
        <f>IFERROR(__xludf.DUMMYFUNCTION("""COMPUTED_VALUE"""),20743.0)</f>
        <v>20743</v>
      </c>
      <c r="L135" s="233">
        <f>IFERROR(__xludf.DUMMYFUNCTION("""COMPUTED_VALUE"""),2391.0)</f>
        <v>2391</v>
      </c>
      <c r="M135" s="233">
        <f>IFERROR(__xludf.DUMMYFUNCTION("""COMPUTED_VALUE"""),221761.0)</f>
        <v>221761</v>
      </c>
      <c r="N135" s="233">
        <f>IFERROR(__xludf.DUMMYFUNCTION("""COMPUTED_VALUE"""),242504.0)</f>
        <v>242504</v>
      </c>
      <c r="O135" s="233">
        <f>IFERROR(__xludf.DUMMYFUNCTION("""COMPUTED_VALUE"""),10.0)</f>
        <v>10</v>
      </c>
      <c r="P135" s="233">
        <f>IFERROR(__xludf.DUMMYFUNCTION("""COMPUTED_VALUE"""),2442.0)</f>
        <v>2442</v>
      </c>
      <c r="Q135" s="233">
        <f>IFERROR(__xludf.DUMMYFUNCTION("""COMPUTED_VALUE"""),7.0)</f>
        <v>7</v>
      </c>
      <c r="R135" s="233">
        <f>IFERROR(__xludf.DUMMYFUNCTION("""COMPUTED_VALUE"""),2026.0)</f>
        <v>2026</v>
      </c>
      <c r="S135" s="233">
        <f>IFERROR(__xludf.DUMMYFUNCTION("""COMPUTED_VALUE"""),0.0)</f>
        <v>0</v>
      </c>
      <c r="T135" s="233">
        <f>IFERROR(__xludf.DUMMYFUNCTION("""COMPUTED_VALUE"""),327.0)</f>
        <v>327</v>
      </c>
      <c r="U135" s="233">
        <f>IFERROR(__xludf.DUMMYFUNCTION("""COMPUTED_VALUE"""),89.0)</f>
        <v>89</v>
      </c>
      <c r="V135" s="233">
        <f>IFERROR(__xludf.DUMMYFUNCTION("""COMPUTED_VALUE"""),88.0)</f>
        <v>88</v>
      </c>
      <c r="W135" s="233">
        <f>IFERROR(__xludf.DUMMYFUNCTION("""COMPUTED_VALUE"""),8.0)</f>
        <v>8</v>
      </c>
      <c r="X135" s="233">
        <f>IFERROR(__xludf.DUMMYFUNCTION("""COMPUTED_VALUE"""),5.0)</f>
        <v>5</v>
      </c>
      <c r="Y135" s="233">
        <f>IFERROR(__xludf.DUMMYFUNCTION("""COMPUTED_VALUE"""),2.0)</f>
        <v>2</v>
      </c>
      <c r="Z135" s="233">
        <f>IFERROR(__xludf.DUMMYFUNCTION("""COMPUTED_VALUE"""),1050.0)</f>
        <v>1050</v>
      </c>
    </row>
    <row r="136">
      <c r="A136" s="232">
        <f>IFERROR(__xludf.DUMMYFUNCTION("""COMPUTED_VALUE"""),44061.0)</f>
        <v>44061</v>
      </c>
      <c r="B136" s="233">
        <f>IFERROR(__xludf.DUMMYFUNCTION("""COMPUTED_VALUE"""),128.0)</f>
        <v>128</v>
      </c>
      <c r="C136" s="233">
        <f>IFERROR(__xludf.DUMMYFUNCTION("""COMPUTED_VALUE"""),106.0)</f>
        <v>106</v>
      </c>
      <c r="D136" s="233">
        <f>IFERROR(__xludf.DUMMYFUNCTION("""COMPUTED_VALUE"""),30069.0)</f>
        <v>30069</v>
      </c>
      <c r="E136" s="233">
        <f>IFERROR(__xludf.DUMMYFUNCTION("""COMPUTED_VALUE"""),4904.0)</f>
        <v>4904</v>
      </c>
      <c r="F136" s="171">
        <f>IFERROR(__xludf.DUMMYFUNCTION("""COMPUTED_VALUE"""),424687.0)</f>
        <v>424687</v>
      </c>
      <c r="G136" s="171">
        <f>IFERROR(__xludf.DUMMYFUNCTION("""COMPUTED_VALUE"""),5032.0)</f>
        <v>5032</v>
      </c>
      <c r="H136" s="171">
        <f>IFERROR(__xludf.DUMMYFUNCTION("""COMPUTED_VALUE"""),454756.0)</f>
        <v>454756</v>
      </c>
      <c r="I136" s="233">
        <f>IFERROR(__xludf.DUMMYFUNCTION("""COMPUTED_VALUE"""),94.0)</f>
        <v>94</v>
      </c>
      <c r="J136" s="233">
        <f>IFERROR(__xludf.DUMMYFUNCTION("""COMPUTED_VALUE"""),84.0)</f>
        <v>84</v>
      </c>
      <c r="K136" s="233">
        <f>IFERROR(__xludf.DUMMYFUNCTION("""COMPUTED_VALUE"""),20837.0)</f>
        <v>20837</v>
      </c>
      <c r="L136" s="233">
        <f>IFERROR(__xludf.DUMMYFUNCTION("""COMPUTED_VALUE"""),2748.0)</f>
        <v>2748</v>
      </c>
      <c r="M136" s="233">
        <f>IFERROR(__xludf.DUMMYFUNCTION("""COMPUTED_VALUE"""),224509.0)</f>
        <v>224509</v>
      </c>
      <c r="N136" s="233">
        <f>IFERROR(__xludf.DUMMYFUNCTION("""COMPUTED_VALUE"""),245346.0)</f>
        <v>245346</v>
      </c>
      <c r="O136" s="233">
        <f>IFERROR(__xludf.DUMMYFUNCTION("""COMPUTED_VALUE"""),11.0)</f>
        <v>11</v>
      </c>
      <c r="P136" s="233">
        <f>IFERROR(__xludf.DUMMYFUNCTION("""COMPUTED_VALUE"""),2453.0)</f>
        <v>2453</v>
      </c>
      <c r="Q136" s="233">
        <f>IFERROR(__xludf.DUMMYFUNCTION("""COMPUTED_VALUE"""),9.0)</f>
        <v>9</v>
      </c>
      <c r="R136" s="233">
        <f>IFERROR(__xludf.DUMMYFUNCTION("""COMPUTED_VALUE"""),2035.0)</f>
        <v>2035</v>
      </c>
      <c r="S136" s="233">
        <f>IFERROR(__xludf.DUMMYFUNCTION("""COMPUTED_VALUE"""),1.0)</f>
        <v>1</v>
      </c>
      <c r="T136" s="233">
        <f>IFERROR(__xludf.DUMMYFUNCTION("""COMPUTED_VALUE"""),328.0)</f>
        <v>328</v>
      </c>
      <c r="U136" s="233">
        <f>IFERROR(__xludf.DUMMYFUNCTION("""COMPUTED_VALUE"""),90.0)</f>
        <v>90</v>
      </c>
      <c r="V136" s="233">
        <f>IFERROR(__xludf.DUMMYFUNCTION("""COMPUTED_VALUE"""),88.0)</f>
        <v>88</v>
      </c>
      <c r="W136" s="233">
        <f>IFERROR(__xludf.DUMMYFUNCTION("""COMPUTED_VALUE"""),8.0)</f>
        <v>8</v>
      </c>
      <c r="X136" s="233">
        <f>IFERROR(__xludf.DUMMYFUNCTION("""COMPUTED_VALUE"""),4.0)</f>
        <v>4</v>
      </c>
      <c r="Y136" s="233">
        <f>IFERROR(__xludf.DUMMYFUNCTION("""COMPUTED_VALUE"""),5.0)</f>
        <v>5</v>
      </c>
      <c r="Z136" s="233">
        <f>IFERROR(__xludf.DUMMYFUNCTION("""COMPUTED_VALUE"""),1055.0)</f>
        <v>1055</v>
      </c>
    </row>
    <row r="137">
      <c r="A137" s="232">
        <f>IFERROR(__xludf.DUMMYFUNCTION("""COMPUTED_VALUE"""),44062.0)</f>
        <v>44062</v>
      </c>
      <c r="B137" s="233">
        <f>IFERROR(__xludf.DUMMYFUNCTION("""COMPUTED_VALUE"""),113.0)</f>
        <v>113</v>
      </c>
      <c r="C137" s="233">
        <f>IFERROR(__xludf.DUMMYFUNCTION("""COMPUTED_VALUE"""),116.0)</f>
        <v>116</v>
      </c>
      <c r="D137" s="233">
        <f>IFERROR(__xludf.DUMMYFUNCTION("""COMPUTED_VALUE"""),30182.0)</f>
        <v>30182</v>
      </c>
      <c r="E137" s="233">
        <f>IFERROR(__xludf.DUMMYFUNCTION("""COMPUTED_VALUE"""),5065.0)</f>
        <v>5065</v>
      </c>
      <c r="F137" s="171">
        <f>IFERROR(__xludf.DUMMYFUNCTION("""COMPUTED_VALUE"""),429752.0)</f>
        <v>429752</v>
      </c>
      <c r="G137" s="171">
        <f>IFERROR(__xludf.DUMMYFUNCTION("""COMPUTED_VALUE"""),5178.0)</f>
        <v>5178</v>
      </c>
      <c r="H137" s="171">
        <f>IFERROR(__xludf.DUMMYFUNCTION("""COMPUTED_VALUE"""),459934.0)</f>
        <v>459934</v>
      </c>
      <c r="I137" s="233">
        <f>IFERROR(__xludf.DUMMYFUNCTION("""COMPUTED_VALUE"""),90.0)</f>
        <v>90</v>
      </c>
      <c r="J137" s="233">
        <f>IFERROR(__xludf.DUMMYFUNCTION("""COMPUTED_VALUE"""),91.0)</f>
        <v>91</v>
      </c>
      <c r="K137" s="233">
        <f>IFERROR(__xludf.DUMMYFUNCTION("""COMPUTED_VALUE"""),20927.0)</f>
        <v>20927</v>
      </c>
      <c r="L137" s="233">
        <f>IFERROR(__xludf.DUMMYFUNCTION("""COMPUTED_VALUE"""),2641.0)</f>
        <v>2641</v>
      </c>
      <c r="M137" s="233">
        <f>IFERROR(__xludf.DUMMYFUNCTION("""COMPUTED_VALUE"""),227150.0)</f>
        <v>227150</v>
      </c>
      <c r="N137" s="233">
        <f>IFERROR(__xludf.DUMMYFUNCTION("""COMPUTED_VALUE"""),248077.0)</f>
        <v>248077</v>
      </c>
      <c r="O137" s="233">
        <f>IFERROR(__xludf.DUMMYFUNCTION("""COMPUTED_VALUE"""),8.0)</f>
        <v>8</v>
      </c>
      <c r="P137" s="233">
        <f>IFERROR(__xludf.DUMMYFUNCTION("""COMPUTED_VALUE"""),2461.0)</f>
        <v>2461</v>
      </c>
      <c r="Q137" s="233">
        <f>IFERROR(__xludf.DUMMYFUNCTION("""COMPUTED_VALUE"""),9.0)</f>
        <v>9</v>
      </c>
      <c r="R137" s="233">
        <f>IFERROR(__xludf.DUMMYFUNCTION("""COMPUTED_VALUE"""),2044.0)</f>
        <v>2044</v>
      </c>
      <c r="S137" s="233">
        <f>IFERROR(__xludf.DUMMYFUNCTION("""COMPUTED_VALUE"""),1.0)</f>
        <v>1</v>
      </c>
      <c r="T137" s="233">
        <f>IFERROR(__xludf.DUMMYFUNCTION("""COMPUTED_VALUE"""),329.0)</f>
        <v>329</v>
      </c>
      <c r="U137" s="233">
        <f>IFERROR(__xludf.DUMMYFUNCTION("""COMPUTED_VALUE"""),88.0)</f>
        <v>88</v>
      </c>
      <c r="V137" s="233">
        <f>IFERROR(__xludf.DUMMYFUNCTION("""COMPUTED_VALUE"""),89.0)</f>
        <v>89</v>
      </c>
      <c r="W137" s="233">
        <f>IFERROR(__xludf.DUMMYFUNCTION("""COMPUTED_VALUE"""),9.0)</f>
        <v>9</v>
      </c>
      <c r="X137" s="233">
        <f>IFERROR(__xludf.DUMMYFUNCTION("""COMPUTED_VALUE"""),5.0)</f>
        <v>5</v>
      </c>
      <c r="Y137" s="233">
        <f>IFERROR(__xludf.DUMMYFUNCTION("""COMPUTED_VALUE"""),0.0)</f>
        <v>0</v>
      </c>
      <c r="Z137" s="233">
        <f>IFERROR(__xludf.DUMMYFUNCTION("""COMPUTED_VALUE"""),1055.0)</f>
        <v>1055</v>
      </c>
    </row>
    <row r="138">
      <c r="A138" s="232">
        <f>IFERROR(__xludf.DUMMYFUNCTION("""COMPUTED_VALUE"""),44063.0)</f>
        <v>44063</v>
      </c>
      <c r="B138" s="233">
        <f>IFERROR(__xludf.DUMMYFUNCTION("""COMPUTED_VALUE"""),173.0)</f>
        <v>173</v>
      </c>
      <c r="C138" s="233">
        <f>IFERROR(__xludf.DUMMYFUNCTION("""COMPUTED_VALUE"""),138.0)</f>
        <v>138</v>
      </c>
      <c r="D138" s="233">
        <f>IFERROR(__xludf.DUMMYFUNCTION("""COMPUTED_VALUE"""),30355.0)</f>
        <v>30355</v>
      </c>
      <c r="E138" s="233">
        <f>IFERROR(__xludf.DUMMYFUNCTION("""COMPUTED_VALUE"""),7405.0)</f>
        <v>7405</v>
      </c>
      <c r="F138" s="171">
        <f>IFERROR(__xludf.DUMMYFUNCTION("""COMPUTED_VALUE"""),437157.0)</f>
        <v>437157</v>
      </c>
      <c r="G138" s="171">
        <f>IFERROR(__xludf.DUMMYFUNCTION("""COMPUTED_VALUE"""),7578.0)</f>
        <v>7578</v>
      </c>
      <c r="H138" s="171">
        <f>IFERROR(__xludf.DUMMYFUNCTION("""COMPUTED_VALUE"""),467512.0)</f>
        <v>467512</v>
      </c>
      <c r="I138" s="233">
        <f>IFERROR(__xludf.DUMMYFUNCTION("""COMPUTED_VALUE"""),139.0)</f>
        <v>139</v>
      </c>
      <c r="J138" s="233">
        <f>IFERROR(__xludf.DUMMYFUNCTION("""COMPUTED_VALUE"""),108.0)</f>
        <v>108</v>
      </c>
      <c r="K138" s="233">
        <f>IFERROR(__xludf.DUMMYFUNCTION("""COMPUTED_VALUE"""),21066.0)</f>
        <v>21066</v>
      </c>
      <c r="L138" s="233">
        <f>IFERROR(__xludf.DUMMYFUNCTION("""COMPUTED_VALUE"""),3515.0)</f>
        <v>3515</v>
      </c>
      <c r="M138" s="233">
        <f>IFERROR(__xludf.DUMMYFUNCTION("""COMPUTED_VALUE"""),230665.0)</f>
        <v>230665</v>
      </c>
      <c r="N138" s="233">
        <f>IFERROR(__xludf.DUMMYFUNCTION("""COMPUTED_VALUE"""),251731.0)</f>
        <v>251731</v>
      </c>
      <c r="O138" s="233">
        <f>IFERROR(__xludf.DUMMYFUNCTION("""COMPUTED_VALUE"""),12.0)</f>
        <v>12</v>
      </c>
      <c r="P138" s="233">
        <f>IFERROR(__xludf.DUMMYFUNCTION("""COMPUTED_VALUE"""),2473.0)</f>
        <v>2473</v>
      </c>
      <c r="Q138" s="233">
        <f>IFERROR(__xludf.DUMMYFUNCTION("""COMPUTED_VALUE"""),6.0)</f>
        <v>6</v>
      </c>
      <c r="R138" s="233">
        <f>IFERROR(__xludf.DUMMYFUNCTION("""COMPUTED_VALUE"""),2050.0)</f>
        <v>2050</v>
      </c>
      <c r="S138" s="233">
        <f>IFERROR(__xludf.DUMMYFUNCTION("""COMPUTED_VALUE"""),2.0)</f>
        <v>2</v>
      </c>
      <c r="T138" s="233">
        <f>IFERROR(__xludf.DUMMYFUNCTION("""COMPUTED_VALUE"""),331.0)</f>
        <v>331</v>
      </c>
      <c r="U138" s="233">
        <f>IFERROR(__xludf.DUMMYFUNCTION("""COMPUTED_VALUE"""),92.0)</f>
        <v>92</v>
      </c>
      <c r="V138" s="233">
        <f>IFERROR(__xludf.DUMMYFUNCTION("""COMPUTED_VALUE"""),90.0)</f>
        <v>90</v>
      </c>
      <c r="W138" s="233">
        <f>IFERROR(__xludf.DUMMYFUNCTION("""COMPUTED_VALUE"""),10.0)</f>
        <v>10</v>
      </c>
      <c r="X138" s="233">
        <f>IFERROR(__xludf.DUMMYFUNCTION("""COMPUTED_VALUE"""),5.0)</f>
        <v>5</v>
      </c>
      <c r="Y138" s="233">
        <f>IFERROR(__xludf.DUMMYFUNCTION("""COMPUTED_VALUE"""),3.0)</f>
        <v>3</v>
      </c>
      <c r="Z138" s="233">
        <f>IFERROR(__xludf.DUMMYFUNCTION("""COMPUTED_VALUE"""),1058.0)</f>
        <v>1058</v>
      </c>
    </row>
    <row r="139">
      <c r="A139" s="232">
        <f>IFERROR(__xludf.DUMMYFUNCTION("""COMPUTED_VALUE"""),44064.0)</f>
        <v>44064</v>
      </c>
      <c r="B139" s="233">
        <f>IFERROR(__xludf.DUMMYFUNCTION("""COMPUTED_VALUE"""),151.0)</f>
        <v>151</v>
      </c>
      <c r="C139" s="233">
        <f>IFERROR(__xludf.DUMMYFUNCTION("""COMPUTED_VALUE"""),146.0)</f>
        <v>146</v>
      </c>
      <c r="D139" s="233">
        <f>IFERROR(__xludf.DUMMYFUNCTION("""COMPUTED_VALUE"""),30506.0)</f>
        <v>30506</v>
      </c>
      <c r="E139" s="233">
        <f>IFERROR(__xludf.DUMMYFUNCTION("""COMPUTED_VALUE"""),6571.0)</f>
        <v>6571</v>
      </c>
      <c r="F139" s="171">
        <f>IFERROR(__xludf.DUMMYFUNCTION("""COMPUTED_VALUE"""),443728.0)</f>
        <v>443728</v>
      </c>
      <c r="G139" s="171">
        <f>IFERROR(__xludf.DUMMYFUNCTION("""COMPUTED_VALUE"""),6722.0)</f>
        <v>6722</v>
      </c>
      <c r="H139" s="171">
        <f>IFERROR(__xludf.DUMMYFUNCTION("""COMPUTED_VALUE"""),474234.0)</f>
        <v>474234</v>
      </c>
      <c r="I139" s="233">
        <f>IFERROR(__xludf.DUMMYFUNCTION("""COMPUTED_VALUE"""),125.0)</f>
        <v>125</v>
      </c>
      <c r="J139" s="233">
        <f>IFERROR(__xludf.DUMMYFUNCTION("""COMPUTED_VALUE"""),118.0)</f>
        <v>118</v>
      </c>
      <c r="K139" s="233">
        <f>IFERROR(__xludf.DUMMYFUNCTION("""COMPUTED_VALUE"""),21191.0)</f>
        <v>21191</v>
      </c>
      <c r="L139" s="233">
        <f>IFERROR(__xludf.DUMMYFUNCTION("""COMPUTED_VALUE"""),2945.0)</f>
        <v>2945</v>
      </c>
      <c r="M139" s="233">
        <f>IFERROR(__xludf.DUMMYFUNCTION("""COMPUTED_VALUE"""),233610.0)</f>
        <v>233610</v>
      </c>
      <c r="N139" s="233">
        <f>IFERROR(__xludf.DUMMYFUNCTION("""COMPUTED_VALUE"""),254801.0)</f>
        <v>254801</v>
      </c>
      <c r="O139" s="233">
        <f>IFERROR(__xludf.DUMMYFUNCTION("""COMPUTED_VALUE"""),8.0)</f>
        <v>8</v>
      </c>
      <c r="P139" s="233">
        <f>IFERROR(__xludf.DUMMYFUNCTION("""COMPUTED_VALUE"""),2481.0)</f>
        <v>2481</v>
      </c>
      <c r="Q139" s="233">
        <f>IFERROR(__xludf.DUMMYFUNCTION("""COMPUTED_VALUE"""),5.0)</f>
        <v>5</v>
      </c>
      <c r="R139" s="233">
        <f>IFERROR(__xludf.DUMMYFUNCTION("""COMPUTED_VALUE"""),2055.0)</f>
        <v>2055</v>
      </c>
      <c r="S139" s="233">
        <f>IFERROR(__xludf.DUMMYFUNCTION("""COMPUTED_VALUE"""),1.0)</f>
        <v>1</v>
      </c>
      <c r="T139" s="233">
        <f>IFERROR(__xludf.DUMMYFUNCTION("""COMPUTED_VALUE"""),332.0)</f>
        <v>332</v>
      </c>
      <c r="U139" s="233">
        <f>IFERROR(__xludf.DUMMYFUNCTION("""COMPUTED_VALUE"""),94.0)</f>
        <v>94</v>
      </c>
      <c r="V139" s="233">
        <f>IFERROR(__xludf.DUMMYFUNCTION("""COMPUTED_VALUE"""),91.0)</f>
        <v>91</v>
      </c>
      <c r="W139" s="233">
        <f>IFERROR(__xludf.DUMMYFUNCTION("""COMPUTED_VALUE"""),9.0)</f>
        <v>9</v>
      </c>
      <c r="X139" s="233">
        <f>IFERROR(__xludf.DUMMYFUNCTION("""COMPUTED_VALUE"""),4.0)</f>
        <v>4</v>
      </c>
      <c r="Y139" s="233">
        <f>IFERROR(__xludf.DUMMYFUNCTION("""COMPUTED_VALUE"""),2.0)</f>
        <v>2</v>
      </c>
      <c r="Z139" s="233">
        <f>IFERROR(__xludf.DUMMYFUNCTION("""COMPUTED_VALUE"""),1060.0)</f>
        <v>1060</v>
      </c>
    </row>
    <row r="140">
      <c r="A140" s="232">
        <f>IFERROR(__xludf.DUMMYFUNCTION("""COMPUTED_VALUE"""),44065.0)</f>
        <v>44065</v>
      </c>
      <c r="B140" s="233">
        <f>IFERROR(__xludf.DUMMYFUNCTION("""COMPUTED_VALUE"""),96.0)</f>
        <v>96</v>
      </c>
      <c r="C140" s="233">
        <f>IFERROR(__xludf.DUMMYFUNCTION("""COMPUTED_VALUE"""),140.0)</f>
        <v>140</v>
      </c>
      <c r="D140" s="233">
        <f>IFERROR(__xludf.DUMMYFUNCTION("""COMPUTED_VALUE"""),30602.0)</f>
        <v>30602</v>
      </c>
      <c r="E140" s="233">
        <f>IFERROR(__xludf.DUMMYFUNCTION("""COMPUTED_VALUE"""),5547.0)</f>
        <v>5547</v>
      </c>
      <c r="F140" s="171">
        <f>IFERROR(__xludf.DUMMYFUNCTION("""COMPUTED_VALUE"""),449275.0)</f>
        <v>449275</v>
      </c>
      <c r="G140" s="171">
        <f>IFERROR(__xludf.DUMMYFUNCTION("""COMPUTED_VALUE"""),5643.0)</f>
        <v>5643</v>
      </c>
      <c r="H140" s="171">
        <f>IFERROR(__xludf.DUMMYFUNCTION("""COMPUTED_VALUE"""),479877.0)</f>
        <v>479877</v>
      </c>
      <c r="I140" s="233">
        <f>IFERROR(__xludf.DUMMYFUNCTION("""COMPUTED_VALUE"""),84.0)</f>
        <v>84</v>
      </c>
      <c r="J140" s="233">
        <f>IFERROR(__xludf.DUMMYFUNCTION("""COMPUTED_VALUE"""),116.0)</f>
        <v>116</v>
      </c>
      <c r="K140" s="233">
        <f>IFERROR(__xludf.DUMMYFUNCTION("""COMPUTED_VALUE"""),21275.0)</f>
        <v>21275</v>
      </c>
      <c r="L140" s="233">
        <f>IFERROR(__xludf.DUMMYFUNCTION("""COMPUTED_VALUE"""),2605.0)</f>
        <v>2605</v>
      </c>
      <c r="M140" s="233">
        <f>IFERROR(__xludf.DUMMYFUNCTION("""COMPUTED_VALUE"""),236215.0)</f>
        <v>236215</v>
      </c>
      <c r="N140" s="233">
        <f>IFERROR(__xludf.DUMMYFUNCTION("""COMPUTED_VALUE"""),257490.0)</f>
        <v>257490</v>
      </c>
      <c r="O140" s="233">
        <f>IFERROR(__xludf.DUMMYFUNCTION("""COMPUTED_VALUE"""),10.0)</f>
        <v>10</v>
      </c>
      <c r="P140" s="233">
        <f>IFERROR(__xludf.DUMMYFUNCTION("""COMPUTED_VALUE"""),2491.0)</f>
        <v>2491</v>
      </c>
      <c r="Q140" s="233">
        <f>IFERROR(__xludf.DUMMYFUNCTION("""COMPUTED_VALUE"""),12.0)</f>
        <v>12</v>
      </c>
      <c r="R140" s="233">
        <f>IFERROR(__xludf.DUMMYFUNCTION("""COMPUTED_VALUE"""),2067.0)</f>
        <v>2067</v>
      </c>
      <c r="S140" s="233">
        <f>IFERROR(__xludf.DUMMYFUNCTION("""COMPUTED_VALUE"""),0.0)</f>
        <v>0</v>
      </c>
      <c r="T140" s="233">
        <f>IFERROR(__xludf.DUMMYFUNCTION("""COMPUTED_VALUE"""),332.0)</f>
        <v>332</v>
      </c>
      <c r="U140" s="233">
        <f>IFERROR(__xludf.DUMMYFUNCTION("""COMPUTED_VALUE"""),92.0)</f>
        <v>92</v>
      </c>
      <c r="V140" s="233">
        <f>IFERROR(__xludf.DUMMYFUNCTION("""COMPUTED_VALUE"""),93.0)</f>
        <v>93</v>
      </c>
      <c r="W140" s="233">
        <f>IFERROR(__xludf.DUMMYFUNCTION("""COMPUTED_VALUE"""),11.0)</f>
        <v>11</v>
      </c>
      <c r="X140" s="233">
        <f>IFERROR(__xludf.DUMMYFUNCTION("""COMPUTED_VALUE"""),4.0)</f>
        <v>4</v>
      </c>
      <c r="Y140" s="233">
        <f>IFERROR(__xludf.DUMMYFUNCTION("""COMPUTED_VALUE"""),1.0)</f>
        <v>1</v>
      </c>
      <c r="Z140" s="233">
        <f>IFERROR(__xludf.DUMMYFUNCTION("""COMPUTED_VALUE"""),1061.0)</f>
        <v>1061</v>
      </c>
    </row>
    <row r="141">
      <c r="A141" s="232">
        <f>IFERROR(__xludf.DUMMYFUNCTION("""COMPUTED_VALUE"""),44066.0)</f>
        <v>44066</v>
      </c>
      <c r="B141" s="233">
        <f>IFERROR(__xludf.DUMMYFUNCTION("""COMPUTED_VALUE"""),70.0)</f>
        <v>70</v>
      </c>
      <c r="C141" s="233">
        <f>IFERROR(__xludf.DUMMYFUNCTION("""COMPUTED_VALUE"""),106.0)</f>
        <v>106</v>
      </c>
      <c r="D141" s="233">
        <f>IFERROR(__xludf.DUMMYFUNCTION("""COMPUTED_VALUE"""),30672.0)</f>
        <v>30672</v>
      </c>
      <c r="E141" s="233">
        <f>IFERROR(__xludf.DUMMYFUNCTION("""COMPUTED_VALUE"""),4370.0)</f>
        <v>4370</v>
      </c>
      <c r="F141" s="171">
        <f>IFERROR(__xludf.DUMMYFUNCTION("""COMPUTED_VALUE"""),453645.0)</f>
        <v>453645</v>
      </c>
      <c r="G141" s="171">
        <f>IFERROR(__xludf.DUMMYFUNCTION("""COMPUTED_VALUE"""),4440.0)</f>
        <v>4440</v>
      </c>
      <c r="H141" s="171">
        <f>IFERROR(__xludf.DUMMYFUNCTION("""COMPUTED_VALUE"""),484317.0)</f>
        <v>484317</v>
      </c>
      <c r="I141" s="233">
        <f>IFERROR(__xludf.DUMMYFUNCTION("""COMPUTED_VALUE"""),56.0)</f>
        <v>56</v>
      </c>
      <c r="J141" s="233">
        <f>IFERROR(__xludf.DUMMYFUNCTION("""COMPUTED_VALUE"""),88.0)</f>
        <v>88</v>
      </c>
      <c r="K141" s="233">
        <f>IFERROR(__xludf.DUMMYFUNCTION("""COMPUTED_VALUE"""),21331.0)</f>
        <v>21331</v>
      </c>
      <c r="L141" s="233">
        <f>IFERROR(__xludf.DUMMYFUNCTION("""COMPUTED_VALUE"""),2470.0)</f>
        <v>2470</v>
      </c>
      <c r="M141" s="233">
        <f>IFERROR(__xludf.DUMMYFUNCTION("""COMPUTED_VALUE"""),238685.0)</f>
        <v>238685</v>
      </c>
      <c r="N141" s="233">
        <f>IFERROR(__xludf.DUMMYFUNCTION("""COMPUTED_VALUE"""),260016.0)</f>
        <v>260016</v>
      </c>
      <c r="O141" s="233">
        <f>IFERROR(__xludf.DUMMYFUNCTION("""COMPUTED_VALUE"""),11.0)</f>
        <v>11</v>
      </c>
      <c r="P141" s="233">
        <f>IFERROR(__xludf.DUMMYFUNCTION("""COMPUTED_VALUE"""),2502.0)</f>
        <v>2502</v>
      </c>
      <c r="Q141" s="233">
        <f>IFERROR(__xludf.DUMMYFUNCTION("""COMPUTED_VALUE"""),6.0)</f>
        <v>6</v>
      </c>
      <c r="R141" s="233">
        <f>IFERROR(__xludf.DUMMYFUNCTION("""COMPUTED_VALUE"""),2073.0)</f>
        <v>2073</v>
      </c>
      <c r="S141" s="233">
        <f>IFERROR(__xludf.DUMMYFUNCTION("""COMPUTED_VALUE"""),0.0)</f>
        <v>0</v>
      </c>
      <c r="T141" s="233">
        <f>IFERROR(__xludf.DUMMYFUNCTION("""COMPUTED_VALUE"""),332.0)</f>
        <v>332</v>
      </c>
      <c r="U141" s="233">
        <f>IFERROR(__xludf.DUMMYFUNCTION("""COMPUTED_VALUE"""),97.0)</f>
        <v>97</v>
      </c>
      <c r="V141" s="233">
        <f>IFERROR(__xludf.DUMMYFUNCTION("""COMPUTED_VALUE"""),94.0)</f>
        <v>94</v>
      </c>
      <c r="W141" s="233">
        <f>IFERROR(__xludf.DUMMYFUNCTION("""COMPUTED_VALUE"""),11.0)</f>
        <v>11</v>
      </c>
      <c r="X141" s="233">
        <f>IFERROR(__xludf.DUMMYFUNCTION("""COMPUTED_VALUE"""),2.0)</f>
        <v>2</v>
      </c>
      <c r="Y141" s="233">
        <f>IFERROR(__xludf.DUMMYFUNCTION("""COMPUTED_VALUE"""),1.0)</f>
        <v>1</v>
      </c>
      <c r="Z141" s="233">
        <f>IFERROR(__xludf.DUMMYFUNCTION("""COMPUTED_VALUE"""),1062.0)</f>
        <v>1062</v>
      </c>
    </row>
    <row r="142">
      <c r="A142" s="232">
        <f>IFERROR(__xludf.DUMMYFUNCTION("""COMPUTED_VALUE"""),44067.0)</f>
        <v>44067</v>
      </c>
      <c r="B142" s="233">
        <f>IFERROR(__xludf.DUMMYFUNCTION("""COMPUTED_VALUE"""),105.0)</f>
        <v>105</v>
      </c>
      <c r="C142" s="233">
        <f>IFERROR(__xludf.DUMMYFUNCTION("""COMPUTED_VALUE"""),90.0)</f>
        <v>90</v>
      </c>
      <c r="D142" s="233">
        <f>IFERROR(__xludf.DUMMYFUNCTION("""COMPUTED_VALUE"""),30777.0)</f>
        <v>30777</v>
      </c>
      <c r="E142" s="233">
        <f>IFERROR(__xludf.DUMMYFUNCTION("""COMPUTED_VALUE"""),5776.0)</f>
        <v>5776</v>
      </c>
      <c r="F142" s="171">
        <f>IFERROR(__xludf.DUMMYFUNCTION("""COMPUTED_VALUE"""),459421.0)</f>
        <v>459421</v>
      </c>
      <c r="G142" s="171">
        <f>IFERROR(__xludf.DUMMYFUNCTION("""COMPUTED_VALUE"""),5881.0)</f>
        <v>5881</v>
      </c>
      <c r="H142" s="171">
        <f>IFERROR(__xludf.DUMMYFUNCTION("""COMPUTED_VALUE"""),490198.0)</f>
        <v>490198</v>
      </c>
      <c r="I142" s="233">
        <f>IFERROR(__xludf.DUMMYFUNCTION("""COMPUTED_VALUE"""),77.0)</f>
        <v>77</v>
      </c>
      <c r="J142" s="233">
        <f>IFERROR(__xludf.DUMMYFUNCTION("""COMPUTED_VALUE"""),72.0)</f>
        <v>72</v>
      </c>
      <c r="K142" s="233">
        <f>IFERROR(__xludf.DUMMYFUNCTION("""COMPUTED_VALUE"""),21408.0)</f>
        <v>21408</v>
      </c>
      <c r="L142" s="233">
        <f>IFERROR(__xludf.DUMMYFUNCTION("""COMPUTED_VALUE"""),3152.0)</f>
        <v>3152</v>
      </c>
      <c r="M142" s="233">
        <f>IFERROR(__xludf.DUMMYFUNCTION("""COMPUTED_VALUE"""),241837.0)</f>
        <v>241837</v>
      </c>
      <c r="N142" s="233">
        <f>IFERROR(__xludf.DUMMYFUNCTION("""COMPUTED_VALUE"""),263245.0)</f>
        <v>263245</v>
      </c>
      <c r="O142" s="233">
        <f>IFERROR(__xludf.DUMMYFUNCTION("""COMPUTED_VALUE"""),7.0)</f>
        <v>7</v>
      </c>
      <c r="P142" s="233">
        <f>IFERROR(__xludf.DUMMYFUNCTION("""COMPUTED_VALUE"""),2509.0)</f>
        <v>2509</v>
      </c>
      <c r="Q142" s="233">
        <f>IFERROR(__xludf.DUMMYFUNCTION("""COMPUTED_VALUE"""),10.0)</f>
        <v>10</v>
      </c>
      <c r="R142" s="233">
        <f>IFERROR(__xludf.DUMMYFUNCTION("""COMPUTED_VALUE"""),2083.0)</f>
        <v>2083</v>
      </c>
      <c r="S142" s="233">
        <f>IFERROR(__xludf.DUMMYFUNCTION("""COMPUTED_VALUE"""),1.0)</f>
        <v>1</v>
      </c>
      <c r="T142" s="233">
        <f>IFERROR(__xludf.DUMMYFUNCTION("""COMPUTED_VALUE"""),333.0)</f>
        <v>333</v>
      </c>
      <c r="U142" s="233">
        <f>IFERROR(__xludf.DUMMYFUNCTION("""COMPUTED_VALUE"""),93.0)</f>
        <v>93</v>
      </c>
      <c r="V142" s="233">
        <f>IFERROR(__xludf.DUMMYFUNCTION("""COMPUTED_VALUE"""),94.0)</f>
        <v>94</v>
      </c>
      <c r="W142" s="233">
        <f>IFERROR(__xludf.DUMMYFUNCTION("""COMPUTED_VALUE"""),13.0)</f>
        <v>13</v>
      </c>
      <c r="X142" s="233">
        <f>IFERROR(__xludf.DUMMYFUNCTION("""COMPUTED_VALUE"""),4.0)</f>
        <v>4</v>
      </c>
      <c r="Y142" s="233">
        <f>IFERROR(__xludf.DUMMYFUNCTION("""COMPUTED_VALUE"""),1.0)</f>
        <v>1</v>
      </c>
      <c r="Z142" s="233">
        <f>IFERROR(__xludf.DUMMYFUNCTION("""COMPUTED_VALUE"""),1063.0)</f>
        <v>1063</v>
      </c>
    </row>
    <row r="143">
      <c r="A143" s="232">
        <f>IFERROR(__xludf.DUMMYFUNCTION("""COMPUTED_VALUE"""),44068.0)</f>
        <v>44068</v>
      </c>
      <c r="B143" s="233">
        <f>IFERROR(__xludf.DUMMYFUNCTION("""COMPUTED_VALUE"""),108.0)</f>
        <v>108</v>
      </c>
      <c r="C143" s="233">
        <f>IFERROR(__xludf.DUMMYFUNCTION("""COMPUTED_VALUE"""),94.0)</f>
        <v>94</v>
      </c>
      <c r="D143" s="233">
        <f>IFERROR(__xludf.DUMMYFUNCTION("""COMPUTED_VALUE"""),30885.0)</f>
        <v>30885</v>
      </c>
      <c r="E143" s="233">
        <f>IFERROR(__xludf.DUMMYFUNCTION("""COMPUTED_VALUE"""),4759.0)</f>
        <v>4759</v>
      </c>
      <c r="F143" s="171">
        <f>IFERROR(__xludf.DUMMYFUNCTION("""COMPUTED_VALUE"""),464180.0)</f>
        <v>464180</v>
      </c>
      <c r="G143" s="171">
        <f>IFERROR(__xludf.DUMMYFUNCTION("""COMPUTED_VALUE"""),4867.0)</f>
        <v>4867</v>
      </c>
      <c r="H143" s="171">
        <f>IFERROR(__xludf.DUMMYFUNCTION("""COMPUTED_VALUE"""),495065.0)</f>
        <v>495065</v>
      </c>
      <c r="I143" s="233">
        <f>IFERROR(__xludf.DUMMYFUNCTION("""COMPUTED_VALUE"""),92.0)</f>
        <v>92</v>
      </c>
      <c r="J143" s="233">
        <f>IFERROR(__xludf.DUMMYFUNCTION("""COMPUTED_VALUE"""),75.0)</f>
        <v>75</v>
      </c>
      <c r="K143" s="233">
        <f>IFERROR(__xludf.DUMMYFUNCTION("""COMPUTED_VALUE"""),21500.0)</f>
        <v>21500</v>
      </c>
      <c r="L143" s="233">
        <f>IFERROR(__xludf.DUMMYFUNCTION("""COMPUTED_VALUE"""),2290.0)</f>
        <v>2290</v>
      </c>
      <c r="M143" s="233">
        <f>IFERROR(__xludf.DUMMYFUNCTION("""COMPUTED_VALUE"""),244127.0)</f>
        <v>244127</v>
      </c>
      <c r="N143" s="233">
        <f>IFERROR(__xludf.DUMMYFUNCTION("""COMPUTED_VALUE"""),265627.0)</f>
        <v>265627</v>
      </c>
      <c r="O143" s="233">
        <f>IFERROR(__xludf.DUMMYFUNCTION("""COMPUTED_VALUE"""),10.0)</f>
        <v>10</v>
      </c>
      <c r="P143" s="233">
        <f>IFERROR(__xludf.DUMMYFUNCTION("""COMPUTED_VALUE"""),2519.0)</f>
        <v>2519</v>
      </c>
      <c r="Q143" s="233">
        <f>IFERROR(__xludf.DUMMYFUNCTION("""COMPUTED_VALUE"""),4.0)</f>
        <v>4</v>
      </c>
      <c r="R143" s="233">
        <f>IFERROR(__xludf.DUMMYFUNCTION("""COMPUTED_VALUE"""),2087.0)</f>
        <v>2087</v>
      </c>
      <c r="S143" s="233">
        <f>IFERROR(__xludf.DUMMYFUNCTION("""COMPUTED_VALUE"""),1.0)</f>
        <v>1</v>
      </c>
      <c r="T143" s="233">
        <f>IFERROR(__xludf.DUMMYFUNCTION("""COMPUTED_VALUE"""),334.0)</f>
        <v>334</v>
      </c>
      <c r="U143" s="233">
        <f>IFERROR(__xludf.DUMMYFUNCTION("""COMPUTED_VALUE"""),98.0)</f>
        <v>98</v>
      </c>
      <c r="V143" s="233">
        <f>IFERROR(__xludf.DUMMYFUNCTION("""COMPUTED_VALUE"""),96.0)</f>
        <v>96</v>
      </c>
      <c r="W143" s="233">
        <f>IFERROR(__xludf.DUMMYFUNCTION("""COMPUTED_VALUE"""),11.0)</f>
        <v>11</v>
      </c>
      <c r="X143" s="233">
        <f>IFERROR(__xludf.DUMMYFUNCTION("""COMPUTED_VALUE"""),4.0)</f>
        <v>4</v>
      </c>
      <c r="Y143" s="233">
        <f>IFERROR(__xludf.DUMMYFUNCTION("""COMPUTED_VALUE"""),1.0)</f>
        <v>1</v>
      </c>
      <c r="Z143" s="233">
        <f>IFERROR(__xludf.DUMMYFUNCTION("""COMPUTED_VALUE"""),1064.0)</f>
        <v>1064</v>
      </c>
    </row>
    <row r="144">
      <c r="A144" s="232">
        <f>IFERROR(__xludf.DUMMYFUNCTION("""COMPUTED_VALUE"""),44069.0)</f>
        <v>44069</v>
      </c>
      <c r="B144" s="233">
        <f>IFERROR(__xludf.DUMMYFUNCTION("""COMPUTED_VALUE"""),170.0)</f>
        <v>170</v>
      </c>
      <c r="C144" s="233">
        <f>IFERROR(__xludf.DUMMYFUNCTION("""COMPUTED_VALUE"""),128.0)</f>
        <v>128</v>
      </c>
      <c r="D144" s="233">
        <f>IFERROR(__xludf.DUMMYFUNCTION("""COMPUTED_VALUE"""),31055.0)</f>
        <v>31055</v>
      </c>
      <c r="E144" s="233">
        <f>IFERROR(__xludf.DUMMYFUNCTION("""COMPUTED_VALUE"""),9477.0)</f>
        <v>9477</v>
      </c>
      <c r="F144" s="171">
        <f>IFERROR(__xludf.DUMMYFUNCTION("""COMPUTED_VALUE"""),473657.0)</f>
        <v>473657</v>
      </c>
      <c r="G144" s="171">
        <f>IFERROR(__xludf.DUMMYFUNCTION("""COMPUTED_VALUE"""),9647.0)</f>
        <v>9647</v>
      </c>
      <c r="H144" s="171">
        <f>IFERROR(__xludf.DUMMYFUNCTION("""COMPUTED_VALUE"""),504712.0)</f>
        <v>504712</v>
      </c>
      <c r="I144" s="233">
        <f>IFERROR(__xludf.DUMMYFUNCTION("""COMPUTED_VALUE"""),127.0)</f>
        <v>127</v>
      </c>
      <c r="J144" s="233">
        <f>IFERROR(__xludf.DUMMYFUNCTION("""COMPUTED_VALUE"""),99.0)</f>
        <v>99</v>
      </c>
      <c r="K144" s="233">
        <f>IFERROR(__xludf.DUMMYFUNCTION("""COMPUTED_VALUE"""),21627.0)</f>
        <v>21627</v>
      </c>
      <c r="L144" s="233">
        <f>IFERROR(__xludf.DUMMYFUNCTION("""COMPUTED_VALUE"""),3085.0)</f>
        <v>3085</v>
      </c>
      <c r="M144" s="233">
        <f>IFERROR(__xludf.DUMMYFUNCTION("""COMPUTED_VALUE"""),247212.0)</f>
        <v>247212</v>
      </c>
      <c r="N144" s="233">
        <f>IFERROR(__xludf.DUMMYFUNCTION("""COMPUTED_VALUE"""),268839.0)</f>
        <v>268839</v>
      </c>
      <c r="O144" s="233">
        <f>IFERROR(__xludf.DUMMYFUNCTION("""COMPUTED_VALUE"""),4.0)</f>
        <v>4</v>
      </c>
      <c r="P144" s="233">
        <f>IFERROR(__xludf.DUMMYFUNCTION("""COMPUTED_VALUE"""),2523.0)</f>
        <v>2523</v>
      </c>
      <c r="Q144" s="233">
        <f>IFERROR(__xludf.DUMMYFUNCTION("""COMPUTED_VALUE"""),8.0)</f>
        <v>8</v>
      </c>
      <c r="R144" s="233">
        <f>IFERROR(__xludf.DUMMYFUNCTION("""COMPUTED_VALUE"""),2095.0)</f>
        <v>2095</v>
      </c>
      <c r="S144" s="233">
        <f>IFERROR(__xludf.DUMMYFUNCTION("""COMPUTED_VALUE"""),0.0)</f>
        <v>0</v>
      </c>
      <c r="T144" s="233">
        <f>IFERROR(__xludf.DUMMYFUNCTION("""COMPUTED_VALUE"""),334.0)</f>
        <v>334</v>
      </c>
      <c r="U144" s="233">
        <f>IFERROR(__xludf.DUMMYFUNCTION("""COMPUTED_VALUE"""),94.0)</f>
        <v>94</v>
      </c>
      <c r="V144" s="233">
        <f>IFERROR(__xludf.DUMMYFUNCTION("""COMPUTED_VALUE"""),95.0)</f>
        <v>95</v>
      </c>
      <c r="W144" s="233">
        <f>IFERROR(__xludf.DUMMYFUNCTION("""COMPUTED_VALUE"""),9.0)</f>
        <v>9</v>
      </c>
      <c r="X144" s="233">
        <f>IFERROR(__xludf.DUMMYFUNCTION("""COMPUTED_VALUE"""),5.0)</f>
        <v>5</v>
      </c>
      <c r="Y144" s="233">
        <f>IFERROR(__xludf.DUMMYFUNCTION("""COMPUTED_VALUE"""),1.0)</f>
        <v>1</v>
      </c>
      <c r="Z144" s="233">
        <f>IFERROR(__xludf.DUMMYFUNCTION("""COMPUTED_VALUE"""),1065.0)</f>
        <v>1065</v>
      </c>
    </row>
    <row r="145">
      <c r="A145" s="232">
        <f>IFERROR(__xludf.DUMMYFUNCTION("""COMPUTED_VALUE"""),44070.0)</f>
        <v>44070</v>
      </c>
      <c r="B145" s="233">
        <f>IFERROR(__xludf.DUMMYFUNCTION("""COMPUTED_VALUE"""),92.0)</f>
        <v>92</v>
      </c>
      <c r="C145" s="233">
        <f>IFERROR(__xludf.DUMMYFUNCTION("""COMPUTED_VALUE"""),123.0)</f>
        <v>123</v>
      </c>
      <c r="D145" s="233">
        <f>IFERROR(__xludf.DUMMYFUNCTION("""COMPUTED_VALUE"""),31147.0)</f>
        <v>31147</v>
      </c>
      <c r="E145" s="233">
        <f>IFERROR(__xludf.DUMMYFUNCTION("""COMPUTED_VALUE"""),8564.0)</f>
        <v>8564</v>
      </c>
      <c r="F145" s="171">
        <f>IFERROR(__xludf.DUMMYFUNCTION("""COMPUTED_VALUE"""),482221.0)</f>
        <v>482221</v>
      </c>
      <c r="G145" s="171">
        <f>IFERROR(__xludf.DUMMYFUNCTION("""COMPUTED_VALUE"""),8656.0)</f>
        <v>8656</v>
      </c>
      <c r="H145" s="171">
        <f>IFERROR(__xludf.DUMMYFUNCTION("""COMPUTED_VALUE"""),513368.0)</f>
        <v>513368</v>
      </c>
      <c r="I145" s="233">
        <f>IFERROR(__xludf.DUMMYFUNCTION("""COMPUTED_VALUE"""),70.0)</f>
        <v>70</v>
      </c>
      <c r="J145" s="233">
        <f>IFERROR(__xludf.DUMMYFUNCTION("""COMPUTED_VALUE"""),96.0)</f>
        <v>96</v>
      </c>
      <c r="K145" s="233">
        <f>IFERROR(__xludf.DUMMYFUNCTION("""COMPUTED_VALUE"""),21697.0)</f>
        <v>21697</v>
      </c>
      <c r="L145" s="233">
        <f>IFERROR(__xludf.DUMMYFUNCTION("""COMPUTED_VALUE"""),3165.0)</f>
        <v>3165</v>
      </c>
      <c r="M145" s="233">
        <f>IFERROR(__xludf.DUMMYFUNCTION("""COMPUTED_VALUE"""),250377.0)</f>
        <v>250377</v>
      </c>
      <c r="N145" s="233">
        <f>IFERROR(__xludf.DUMMYFUNCTION("""COMPUTED_VALUE"""),272074.0)</f>
        <v>272074</v>
      </c>
      <c r="O145" s="233">
        <f>IFERROR(__xludf.DUMMYFUNCTION("""COMPUTED_VALUE"""),6.0)</f>
        <v>6</v>
      </c>
      <c r="P145" s="233">
        <f>IFERROR(__xludf.DUMMYFUNCTION("""COMPUTED_VALUE"""),2529.0)</f>
        <v>2529</v>
      </c>
      <c r="Q145" s="233">
        <f>IFERROR(__xludf.DUMMYFUNCTION("""COMPUTED_VALUE"""),13.0)</f>
        <v>13</v>
      </c>
      <c r="R145" s="233">
        <f>IFERROR(__xludf.DUMMYFUNCTION("""COMPUTED_VALUE"""),2108.0)</f>
        <v>2108</v>
      </c>
      <c r="S145" s="233">
        <f>IFERROR(__xludf.DUMMYFUNCTION("""COMPUTED_VALUE"""),1.0)</f>
        <v>1</v>
      </c>
      <c r="T145" s="233">
        <f>IFERROR(__xludf.DUMMYFUNCTION("""COMPUTED_VALUE"""),335.0)</f>
        <v>335</v>
      </c>
      <c r="U145" s="233">
        <f>IFERROR(__xludf.DUMMYFUNCTION("""COMPUTED_VALUE"""),86.0)</f>
        <v>86</v>
      </c>
      <c r="V145" s="233">
        <f>IFERROR(__xludf.DUMMYFUNCTION("""COMPUTED_VALUE"""),93.0)</f>
        <v>93</v>
      </c>
      <c r="W145" s="233">
        <f>IFERROR(__xludf.DUMMYFUNCTION("""COMPUTED_VALUE"""),6.0)</f>
        <v>6</v>
      </c>
      <c r="X145" s="233">
        <f>IFERROR(__xludf.DUMMYFUNCTION("""COMPUTED_VALUE"""),5.0)</f>
        <v>5</v>
      </c>
      <c r="Y145" s="233">
        <f>IFERROR(__xludf.DUMMYFUNCTION("""COMPUTED_VALUE"""),2.0)</f>
        <v>2</v>
      </c>
      <c r="Z145" s="233">
        <f>IFERROR(__xludf.DUMMYFUNCTION("""COMPUTED_VALUE"""),1067.0)</f>
        <v>1067</v>
      </c>
    </row>
    <row r="146">
      <c r="A146" s="232">
        <f>IFERROR(__xludf.DUMMYFUNCTION("""COMPUTED_VALUE"""),44071.0)</f>
        <v>44071</v>
      </c>
      <c r="B146" s="233">
        <f>IFERROR(__xludf.DUMMYFUNCTION("""COMPUTED_VALUE"""),112.0)</f>
        <v>112</v>
      </c>
      <c r="C146" s="233">
        <f>IFERROR(__xludf.DUMMYFUNCTION("""COMPUTED_VALUE"""),125.0)</f>
        <v>125</v>
      </c>
      <c r="D146" s="233">
        <f>IFERROR(__xludf.DUMMYFUNCTION("""COMPUTED_VALUE"""),31259.0)</f>
        <v>31259</v>
      </c>
      <c r="E146" s="233">
        <f>IFERROR(__xludf.DUMMYFUNCTION("""COMPUTED_VALUE"""),7991.0)</f>
        <v>7991</v>
      </c>
      <c r="F146" s="171">
        <f>IFERROR(__xludf.DUMMYFUNCTION("""COMPUTED_VALUE"""),490212.0)</f>
        <v>490212</v>
      </c>
      <c r="G146" s="171">
        <f>IFERROR(__xludf.DUMMYFUNCTION("""COMPUTED_VALUE"""),8103.0)</f>
        <v>8103</v>
      </c>
      <c r="H146" s="171">
        <f>IFERROR(__xludf.DUMMYFUNCTION("""COMPUTED_VALUE"""),521471.0)</f>
        <v>521471</v>
      </c>
      <c r="I146" s="233">
        <f>IFERROR(__xludf.DUMMYFUNCTION("""COMPUTED_VALUE"""),87.0)</f>
        <v>87</v>
      </c>
      <c r="J146" s="233">
        <f>IFERROR(__xludf.DUMMYFUNCTION("""COMPUTED_VALUE"""),95.0)</f>
        <v>95</v>
      </c>
      <c r="K146" s="233">
        <f>IFERROR(__xludf.DUMMYFUNCTION("""COMPUTED_VALUE"""),21784.0)</f>
        <v>21784</v>
      </c>
      <c r="L146" s="233">
        <f>IFERROR(__xludf.DUMMYFUNCTION("""COMPUTED_VALUE"""),2434.0)</f>
        <v>2434</v>
      </c>
      <c r="M146" s="233">
        <f>IFERROR(__xludf.DUMMYFUNCTION("""COMPUTED_VALUE"""),252811.0)</f>
        <v>252811</v>
      </c>
      <c r="N146" s="233">
        <f>IFERROR(__xludf.DUMMYFUNCTION("""COMPUTED_VALUE"""),274595.0)</f>
        <v>274595</v>
      </c>
      <c r="O146" s="233">
        <f>IFERROR(__xludf.DUMMYFUNCTION("""COMPUTED_VALUE"""),14.0)</f>
        <v>14</v>
      </c>
      <c r="P146" s="233">
        <f>IFERROR(__xludf.DUMMYFUNCTION("""COMPUTED_VALUE"""),2543.0)</f>
        <v>2543</v>
      </c>
      <c r="Q146" s="233">
        <f>IFERROR(__xludf.DUMMYFUNCTION("""COMPUTED_VALUE"""),4.0)</f>
        <v>4</v>
      </c>
      <c r="R146" s="233">
        <f>IFERROR(__xludf.DUMMYFUNCTION("""COMPUTED_VALUE"""),2112.0)</f>
        <v>2112</v>
      </c>
      <c r="S146" s="233">
        <f>IFERROR(__xludf.DUMMYFUNCTION("""COMPUTED_VALUE"""),0.0)</f>
        <v>0</v>
      </c>
      <c r="T146" s="233">
        <f>IFERROR(__xludf.DUMMYFUNCTION("""COMPUTED_VALUE"""),335.0)</f>
        <v>335</v>
      </c>
      <c r="U146" s="233">
        <f>IFERROR(__xludf.DUMMYFUNCTION("""COMPUTED_VALUE"""),96.0)</f>
        <v>96</v>
      </c>
      <c r="V146" s="233">
        <f>IFERROR(__xludf.DUMMYFUNCTION("""COMPUTED_VALUE"""),92.0)</f>
        <v>92</v>
      </c>
      <c r="W146" s="233">
        <f>IFERROR(__xludf.DUMMYFUNCTION("""COMPUTED_VALUE"""),9.0)</f>
        <v>9</v>
      </c>
      <c r="X146" s="233">
        <f>IFERROR(__xludf.DUMMYFUNCTION("""COMPUTED_VALUE"""),7.0)</f>
        <v>7</v>
      </c>
      <c r="Y146" s="233">
        <f>IFERROR(__xludf.DUMMYFUNCTION("""COMPUTED_VALUE"""),2.0)</f>
        <v>2</v>
      </c>
      <c r="Z146" s="233">
        <f>IFERROR(__xludf.DUMMYFUNCTION("""COMPUTED_VALUE"""),1069.0)</f>
        <v>1069</v>
      </c>
    </row>
    <row r="147">
      <c r="A147" s="232">
        <f>IFERROR(__xludf.DUMMYFUNCTION("""COMPUTED_VALUE"""),44072.0)</f>
        <v>44072</v>
      </c>
      <c r="B147" s="233">
        <f>IFERROR(__xludf.DUMMYFUNCTION("""COMPUTED_VALUE"""),65.0)</f>
        <v>65</v>
      </c>
      <c r="C147" s="233">
        <f>IFERROR(__xludf.DUMMYFUNCTION("""COMPUTED_VALUE"""),90.0)</f>
        <v>90</v>
      </c>
      <c r="D147" s="233">
        <f>IFERROR(__xludf.DUMMYFUNCTION("""COMPUTED_VALUE"""),31324.0)</f>
        <v>31324</v>
      </c>
      <c r="E147" s="233">
        <f>IFERROR(__xludf.DUMMYFUNCTION("""COMPUTED_VALUE"""),5368.0)</f>
        <v>5368</v>
      </c>
      <c r="F147" s="171">
        <f>IFERROR(__xludf.DUMMYFUNCTION("""COMPUTED_VALUE"""),495580.0)</f>
        <v>495580</v>
      </c>
      <c r="G147" s="171">
        <f>IFERROR(__xludf.DUMMYFUNCTION("""COMPUTED_VALUE"""),5433.0)</f>
        <v>5433</v>
      </c>
      <c r="H147" s="171">
        <f>IFERROR(__xludf.DUMMYFUNCTION("""COMPUTED_VALUE"""),526904.0)</f>
        <v>526904</v>
      </c>
      <c r="I147" s="233">
        <f>IFERROR(__xludf.DUMMYFUNCTION("""COMPUTED_VALUE"""),51.0)</f>
        <v>51</v>
      </c>
      <c r="J147" s="233">
        <f>IFERROR(__xludf.DUMMYFUNCTION("""COMPUTED_VALUE"""),69.0)</f>
        <v>69</v>
      </c>
      <c r="K147" s="233">
        <f>IFERROR(__xludf.DUMMYFUNCTION("""COMPUTED_VALUE"""),21835.0)</f>
        <v>21835</v>
      </c>
      <c r="L147" s="233">
        <f>IFERROR(__xludf.DUMMYFUNCTION("""COMPUTED_VALUE"""),1912.0)</f>
        <v>1912</v>
      </c>
      <c r="M147" s="233">
        <f>IFERROR(__xludf.DUMMYFUNCTION("""COMPUTED_VALUE"""),254723.0)</f>
        <v>254723</v>
      </c>
      <c r="N147" s="233">
        <f>IFERROR(__xludf.DUMMYFUNCTION("""COMPUTED_VALUE"""),276558.0)</f>
        <v>276558</v>
      </c>
      <c r="O147" s="233">
        <f>IFERROR(__xludf.DUMMYFUNCTION("""COMPUTED_VALUE"""),6.0)</f>
        <v>6</v>
      </c>
      <c r="P147" s="233">
        <f>IFERROR(__xludf.DUMMYFUNCTION("""COMPUTED_VALUE"""),2549.0)</f>
        <v>2549</v>
      </c>
      <c r="Q147" s="233">
        <f>IFERROR(__xludf.DUMMYFUNCTION("""COMPUTED_VALUE"""),8.0)</f>
        <v>8</v>
      </c>
      <c r="R147" s="233">
        <f>IFERROR(__xludf.DUMMYFUNCTION("""COMPUTED_VALUE"""),2120.0)</f>
        <v>2120</v>
      </c>
      <c r="S147" s="233">
        <f>IFERROR(__xludf.DUMMYFUNCTION("""COMPUTED_VALUE"""),1.0)</f>
        <v>1</v>
      </c>
      <c r="T147" s="233">
        <f>IFERROR(__xludf.DUMMYFUNCTION("""COMPUTED_VALUE"""),336.0)</f>
        <v>336</v>
      </c>
      <c r="U147" s="233">
        <f>IFERROR(__xludf.DUMMYFUNCTION("""COMPUTED_VALUE"""),93.0)</f>
        <v>93</v>
      </c>
      <c r="V147" s="233">
        <f>IFERROR(__xludf.DUMMYFUNCTION("""COMPUTED_VALUE"""),92.0)</f>
        <v>92</v>
      </c>
      <c r="W147" s="233">
        <f>IFERROR(__xludf.DUMMYFUNCTION("""COMPUTED_VALUE"""),10.0)</f>
        <v>10</v>
      </c>
      <c r="X147" s="233">
        <f>IFERROR(__xludf.DUMMYFUNCTION("""COMPUTED_VALUE"""),6.0)</f>
        <v>6</v>
      </c>
      <c r="Y147" s="233">
        <f>IFERROR(__xludf.DUMMYFUNCTION("""COMPUTED_VALUE"""),2.0)</f>
        <v>2</v>
      </c>
      <c r="Z147" s="233">
        <f>IFERROR(__xludf.DUMMYFUNCTION("""COMPUTED_VALUE"""),1071.0)</f>
        <v>1071</v>
      </c>
    </row>
    <row r="148">
      <c r="A148" s="232">
        <f>IFERROR(__xludf.DUMMYFUNCTION("""COMPUTED_VALUE"""),44073.0)</f>
        <v>44073</v>
      </c>
      <c r="B148" s="233">
        <f>IFERROR(__xludf.DUMMYFUNCTION("""COMPUTED_VALUE"""),66.0)</f>
        <v>66</v>
      </c>
      <c r="C148" s="233">
        <f>IFERROR(__xludf.DUMMYFUNCTION("""COMPUTED_VALUE"""),81.0)</f>
        <v>81</v>
      </c>
      <c r="D148" s="233">
        <f>IFERROR(__xludf.DUMMYFUNCTION("""COMPUTED_VALUE"""),31390.0)</f>
        <v>31390</v>
      </c>
      <c r="E148" s="233">
        <f>IFERROR(__xludf.DUMMYFUNCTION("""COMPUTED_VALUE"""),4320.0)</f>
        <v>4320</v>
      </c>
      <c r="F148" s="171">
        <f>IFERROR(__xludf.DUMMYFUNCTION("""COMPUTED_VALUE"""),499900.0)</f>
        <v>499900</v>
      </c>
      <c r="G148" s="171">
        <f>IFERROR(__xludf.DUMMYFUNCTION("""COMPUTED_VALUE"""),4386.0)</f>
        <v>4386</v>
      </c>
      <c r="H148" s="171">
        <f>IFERROR(__xludf.DUMMYFUNCTION("""COMPUTED_VALUE"""),531290.0)</f>
        <v>531290</v>
      </c>
      <c r="I148" s="233">
        <f>IFERROR(__xludf.DUMMYFUNCTION("""COMPUTED_VALUE"""),48.0)</f>
        <v>48</v>
      </c>
      <c r="J148" s="233">
        <f>IFERROR(__xludf.DUMMYFUNCTION("""COMPUTED_VALUE"""),62.0)</f>
        <v>62</v>
      </c>
      <c r="K148" s="233">
        <f>IFERROR(__xludf.DUMMYFUNCTION("""COMPUTED_VALUE"""),21883.0)</f>
        <v>21883</v>
      </c>
      <c r="L148" s="233">
        <f>IFERROR(__xludf.DUMMYFUNCTION("""COMPUTED_VALUE"""),1994.0)</f>
        <v>1994</v>
      </c>
      <c r="M148" s="233">
        <f>IFERROR(__xludf.DUMMYFUNCTION("""COMPUTED_VALUE"""),256717.0)</f>
        <v>256717</v>
      </c>
      <c r="N148" s="233">
        <f>IFERROR(__xludf.DUMMYFUNCTION("""COMPUTED_VALUE"""),278600.0)</f>
        <v>278600</v>
      </c>
      <c r="O148" s="233">
        <f>IFERROR(__xludf.DUMMYFUNCTION("""COMPUTED_VALUE"""),7.0)</f>
        <v>7</v>
      </c>
      <c r="P148" s="233">
        <f>IFERROR(__xludf.DUMMYFUNCTION("""COMPUTED_VALUE"""),2556.0)</f>
        <v>2556</v>
      </c>
      <c r="Q148" s="233">
        <f>IFERROR(__xludf.DUMMYFUNCTION("""COMPUTED_VALUE"""),4.0)</f>
        <v>4</v>
      </c>
      <c r="R148" s="233">
        <f>IFERROR(__xludf.DUMMYFUNCTION("""COMPUTED_VALUE"""),2124.0)</f>
        <v>2124</v>
      </c>
      <c r="S148" s="233">
        <f>IFERROR(__xludf.DUMMYFUNCTION("""COMPUTED_VALUE"""),0.0)</f>
        <v>0</v>
      </c>
      <c r="T148" s="233">
        <f>IFERROR(__xludf.DUMMYFUNCTION("""COMPUTED_VALUE"""),336.0)</f>
        <v>336</v>
      </c>
      <c r="U148" s="233">
        <f>IFERROR(__xludf.DUMMYFUNCTION("""COMPUTED_VALUE"""),96.0)</f>
        <v>96</v>
      </c>
      <c r="V148" s="233">
        <f>IFERROR(__xludf.DUMMYFUNCTION("""COMPUTED_VALUE"""),95.0)</f>
        <v>95</v>
      </c>
      <c r="W148" s="233">
        <f>IFERROR(__xludf.DUMMYFUNCTION("""COMPUTED_VALUE"""),8.0)</f>
        <v>8</v>
      </c>
      <c r="X148" s="233">
        <f>IFERROR(__xludf.DUMMYFUNCTION("""COMPUTED_VALUE"""),5.0)</f>
        <v>5</v>
      </c>
      <c r="Y148" s="233">
        <f>IFERROR(__xludf.DUMMYFUNCTION("""COMPUTED_VALUE"""),2.0)</f>
        <v>2</v>
      </c>
      <c r="Z148" s="233">
        <f>IFERROR(__xludf.DUMMYFUNCTION("""COMPUTED_VALUE"""),1073.0)</f>
        <v>1073</v>
      </c>
    </row>
    <row r="149">
      <c r="A149" s="232">
        <f>IFERROR(__xludf.DUMMYFUNCTION("""COMPUTED_VALUE"""),44074.0)</f>
        <v>44074</v>
      </c>
      <c r="B149" s="233">
        <f>IFERROR(__xludf.DUMMYFUNCTION("""COMPUTED_VALUE"""),105.0)</f>
        <v>105</v>
      </c>
      <c r="C149" s="233">
        <f>IFERROR(__xludf.DUMMYFUNCTION("""COMPUTED_VALUE"""),79.0)</f>
        <v>79</v>
      </c>
      <c r="D149" s="233">
        <f>IFERROR(__xludf.DUMMYFUNCTION("""COMPUTED_VALUE"""),31495.0)</f>
        <v>31495</v>
      </c>
      <c r="E149" s="233">
        <f>IFERROR(__xludf.DUMMYFUNCTION("""COMPUTED_VALUE"""),4863.0)</f>
        <v>4863</v>
      </c>
      <c r="F149" s="171">
        <f>IFERROR(__xludf.DUMMYFUNCTION("""COMPUTED_VALUE"""),504763.0)</f>
        <v>504763</v>
      </c>
      <c r="G149" s="171">
        <f>IFERROR(__xludf.DUMMYFUNCTION("""COMPUTED_VALUE"""),4968.0)</f>
        <v>4968</v>
      </c>
      <c r="H149" s="171">
        <f>IFERROR(__xludf.DUMMYFUNCTION("""COMPUTED_VALUE"""),536258.0)</f>
        <v>536258</v>
      </c>
      <c r="I149" s="233">
        <f>IFERROR(__xludf.DUMMYFUNCTION("""COMPUTED_VALUE"""),81.0)</f>
        <v>81</v>
      </c>
      <c r="J149" s="233">
        <f>IFERROR(__xludf.DUMMYFUNCTION("""COMPUTED_VALUE"""),60.0)</f>
        <v>60</v>
      </c>
      <c r="K149" s="233">
        <f>IFERROR(__xludf.DUMMYFUNCTION("""COMPUTED_VALUE"""),21964.0)</f>
        <v>21964</v>
      </c>
      <c r="L149" s="233">
        <f>IFERROR(__xludf.DUMMYFUNCTION("""COMPUTED_VALUE"""),2186.0)</f>
        <v>2186</v>
      </c>
      <c r="M149" s="233">
        <f>IFERROR(__xludf.DUMMYFUNCTION("""COMPUTED_VALUE"""),258903.0)</f>
        <v>258903</v>
      </c>
      <c r="N149" s="233">
        <f>IFERROR(__xludf.DUMMYFUNCTION("""COMPUTED_VALUE"""),280867.0)</f>
        <v>280867</v>
      </c>
      <c r="O149" s="233">
        <f>IFERROR(__xludf.DUMMYFUNCTION("""COMPUTED_VALUE"""),12.0)</f>
        <v>12</v>
      </c>
      <c r="P149" s="233">
        <f>IFERROR(__xludf.DUMMYFUNCTION("""COMPUTED_VALUE"""),2568.0)</f>
        <v>2568</v>
      </c>
      <c r="Q149" s="233">
        <f>IFERROR(__xludf.DUMMYFUNCTION("""COMPUTED_VALUE"""),15.0)</f>
        <v>15</v>
      </c>
      <c r="R149" s="233">
        <f>IFERROR(__xludf.DUMMYFUNCTION("""COMPUTED_VALUE"""),2139.0)</f>
        <v>2139</v>
      </c>
      <c r="S149" s="233">
        <f>IFERROR(__xludf.DUMMYFUNCTION("""COMPUTED_VALUE"""),0.0)</f>
        <v>0</v>
      </c>
      <c r="T149" s="233">
        <f>IFERROR(__xludf.DUMMYFUNCTION("""COMPUTED_VALUE"""),336.0)</f>
        <v>336</v>
      </c>
      <c r="U149" s="233">
        <f>IFERROR(__xludf.DUMMYFUNCTION("""COMPUTED_VALUE"""),93.0)</f>
        <v>93</v>
      </c>
      <c r="V149" s="233">
        <f>IFERROR(__xludf.DUMMYFUNCTION("""COMPUTED_VALUE"""),94.0)</f>
        <v>94</v>
      </c>
      <c r="W149" s="233">
        <f>IFERROR(__xludf.DUMMYFUNCTION("""COMPUTED_VALUE"""),8.0)</f>
        <v>8</v>
      </c>
      <c r="X149" s="233">
        <f>IFERROR(__xludf.DUMMYFUNCTION("""COMPUTED_VALUE"""),4.0)</f>
        <v>4</v>
      </c>
      <c r="Y149" s="233">
        <f>IFERROR(__xludf.DUMMYFUNCTION("""COMPUTED_VALUE"""),1.0)</f>
        <v>1</v>
      </c>
      <c r="Z149" s="233">
        <f>IFERROR(__xludf.DUMMYFUNCTION("""COMPUTED_VALUE"""),1074.0)</f>
        <v>1074</v>
      </c>
    </row>
    <row r="150">
      <c r="A150" s="232">
        <f>IFERROR(__xludf.DUMMYFUNCTION("""COMPUTED_VALUE"""),44075.0)</f>
        <v>44075</v>
      </c>
      <c r="B150" s="233">
        <f>IFERROR(__xludf.DUMMYFUNCTION("""COMPUTED_VALUE"""),98.0)</f>
        <v>98</v>
      </c>
      <c r="C150" s="233">
        <f>IFERROR(__xludf.DUMMYFUNCTION("""COMPUTED_VALUE"""),90.0)</f>
        <v>90</v>
      </c>
      <c r="D150" s="233">
        <f>IFERROR(__xludf.DUMMYFUNCTION("""COMPUTED_VALUE"""),31593.0)</f>
        <v>31593</v>
      </c>
      <c r="E150" s="233">
        <f>IFERROR(__xludf.DUMMYFUNCTION("""COMPUTED_VALUE"""),7109.0)</f>
        <v>7109</v>
      </c>
      <c r="F150" s="171">
        <f>IFERROR(__xludf.DUMMYFUNCTION("""COMPUTED_VALUE"""),511872.0)</f>
        <v>511872</v>
      </c>
      <c r="G150" s="171">
        <f>IFERROR(__xludf.DUMMYFUNCTION("""COMPUTED_VALUE"""),7207.0)</f>
        <v>7207</v>
      </c>
      <c r="H150" s="171">
        <f>IFERROR(__xludf.DUMMYFUNCTION("""COMPUTED_VALUE"""),543465.0)</f>
        <v>543465</v>
      </c>
      <c r="I150" s="233">
        <f>IFERROR(__xludf.DUMMYFUNCTION("""COMPUTED_VALUE"""),65.0)</f>
        <v>65</v>
      </c>
      <c r="J150" s="233">
        <f>IFERROR(__xludf.DUMMYFUNCTION("""COMPUTED_VALUE"""),65.0)</f>
        <v>65</v>
      </c>
      <c r="K150" s="233">
        <f>IFERROR(__xludf.DUMMYFUNCTION("""COMPUTED_VALUE"""),22029.0)</f>
        <v>22029</v>
      </c>
      <c r="L150" s="233">
        <f>IFERROR(__xludf.DUMMYFUNCTION("""COMPUTED_VALUE"""),2379.0)</f>
        <v>2379</v>
      </c>
      <c r="M150" s="233">
        <f>IFERROR(__xludf.DUMMYFUNCTION("""COMPUTED_VALUE"""),261282.0)</f>
        <v>261282</v>
      </c>
      <c r="N150" s="233">
        <f>IFERROR(__xludf.DUMMYFUNCTION("""COMPUTED_VALUE"""),283311.0)</f>
        <v>283311</v>
      </c>
      <c r="O150" s="233">
        <f>IFERROR(__xludf.DUMMYFUNCTION("""COMPUTED_VALUE"""),6.0)</f>
        <v>6</v>
      </c>
      <c r="P150" s="233">
        <f>IFERROR(__xludf.DUMMYFUNCTION("""COMPUTED_VALUE"""),2574.0)</f>
        <v>2574</v>
      </c>
      <c r="Q150" s="233">
        <f>IFERROR(__xludf.DUMMYFUNCTION("""COMPUTED_VALUE"""),9.0)</f>
        <v>9</v>
      </c>
      <c r="R150" s="233">
        <f>IFERROR(__xludf.DUMMYFUNCTION("""COMPUTED_VALUE"""),2148.0)</f>
        <v>2148</v>
      </c>
      <c r="S150" s="233">
        <f>IFERROR(__xludf.DUMMYFUNCTION("""COMPUTED_VALUE"""),1.0)</f>
        <v>1</v>
      </c>
      <c r="T150" s="233">
        <f>IFERROR(__xludf.DUMMYFUNCTION("""COMPUTED_VALUE"""),337.0)</f>
        <v>337</v>
      </c>
      <c r="U150" s="233">
        <f>IFERROR(__xludf.DUMMYFUNCTION("""COMPUTED_VALUE"""),89.0)</f>
        <v>89</v>
      </c>
      <c r="V150" s="233">
        <f>IFERROR(__xludf.DUMMYFUNCTION("""COMPUTED_VALUE"""),93.0)</f>
        <v>93</v>
      </c>
      <c r="W150" s="233">
        <f>IFERROR(__xludf.DUMMYFUNCTION("""COMPUTED_VALUE"""),7.0)</f>
        <v>7</v>
      </c>
      <c r="X150" s="233">
        <f>IFERROR(__xludf.DUMMYFUNCTION("""COMPUTED_VALUE"""),4.0)</f>
        <v>4</v>
      </c>
      <c r="Y150" s="233">
        <f>IFERROR(__xludf.DUMMYFUNCTION("""COMPUTED_VALUE"""),2.0)</f>
        <v>2</v>
      </c>
      <c r="Z150" s="233">
        <f>IFERROR(__xludf.DUMMYFUNCTION("""COMPUTED_VALUE"""),1076.0)</f>
        <v>1076</v>
      </c>
    </row>
    <row r="151">
      <c r="A151" s="232">
        <f>IFERROR(__xludf.DUMMYFUNCTION("""COMPUTED_VALUE"""),44076.0)</f>
        <v>44076</v>
      </c>
      <c r="B151" s="233">
        <f>IFERROR(__xludf.DUMMYFUNCTION("""COMPUTED_VALUE"""),125.0)</f>
        <v>125</v>
      </c>
      <c r="C151" s="233">
        <f>IFERROR(__xludf.DUMMYFUNCTION("""COMPUTED_VALUE"""),109.0)</f>
        <v>109</v>
      </c>
      <c r="D151" s="233">
        <f>IFERROR(__xludf.DUMMYFUNCTION("""COMPUTED_VALUE"""),31718.0)</f>
        <v>31718</v>
      </c>
      <c r="E151" s="233">
        <f>IFERROR(__xludf.DUMMYFUNCTION("""COMPUTED_VALUE"""),10524.0)</f>
        <v>10524</v>
      </c>
      <c r="F151" s="171">
        <f>IFERROR(__xludf.DUMMYFUNCTION("""COMPUTED_VALUE"""),522396.0)</f>
        <v>522396</v>
      </c>
      <c r="G151" s="171">
        <f>IFERROR(__xludf.DUMMYFUNCTION("""COMPUTED_VALUE"""),10649.0)</f>
        <v>10649</v>
      </c>
      <c r="H151" s="171">
        <f>IFERROR(__xludf.DUMMYFUNCTION("""COMPUTED_VALUE"""),554114.0)</f>
        <v>554114</v>
      </c>
      <c r="I151" s="233">
        <f>IFERROR(__xludf.DUMMYFUNCTION("""COMPUTED_VALUE"""),104.0)</f>
        <v>104</v>
      </c>
      <c r="J151" s="233">
        <f>IFERROR(__xludf.DUMMYFUNCTION("""COMPUTED_VALUE"""),83.0)</f>
        <v>83</v>
      </c>
      <c r="K151" s="233">
        <f>IFERROR(__xludf.DUMMYFUNCTION("""COMPUTED_VALUE"""),22133.0)</f>
        <v>22133</v>
      </c>
      <c r="L151" s="233">
        <f>IFERROR(__xludf.DUMMYFUNCTION("""COMPUTED_VALUE"""),3056.0)</f>
        <v>3056</v>
      </c>
      <c r="M151" s="233">
        <f>IFERROR(__xludf.DUMMYFUNCTION("""COMPUTED_VALUE"""),264338.0)</f>
        <v>264338</v>
      </c>
      <c r="N151" s="233">
        <f>IFERROR(__xludf.DUMMYFUNCTION("""COMPUTED_VALUE"""),286471.0)</f>
        <v>286471</v>
      </c>
      <c r="O151" s="233">
        <f>IFERROR(__xludf.DUMMYFUNCTION("""COMPUTED_VALUE"""),9.0)</f>
        <v>9</v>
      </c>
      <c r="P151" s="233">
        <f>IFERROR(__xludf.DUMMYFUNCTION("""COMPUTED_VALUE"""),2583.0)</f>
        <v>2583</v>
      </c>
      <c r="Q151" s="233">
        <f>IFERROR(__xludf.DUMMYFUNCTION("""COMPUTED_VALUE"""),10.0)</f>
        <v>10</v>
      </c>
      <c r="R151" s="233">
        <f>IFERROR(__xludf.DUMMYFUNCTION("""COMPUTED_VALUE"""),2158.0)</f>
        <v>2158</v>
      </c>
      <c r="S151" s="233">
        <f>IFERROR(__xludf.DUMMYFUNCTION("""COMPUTED_VALUE"""),1.0)</f>
        <v>1</v>
      </c>
      <c r="T151" s="233">
        <f>IFERROR(__xludf.DUMMYFUNCTION("""COMPUTED_VALUE"""),338.0)</f>
        <v>338</v>
      </c>
      <c r="U151" s="233">
        <f>IFERROR(__xludf.DUMMYFUNCTION("""COMPUTED_VALUE"""),87.0)</f>
        <v>87</v>
      </c>
      <c r="V151" s="233">
        <f>IFERROR(__xludf.DUMMYFUNCTION("""COMPUTED_VALUE"""),90.0)</f>
        <v>90</v>
      </c>
      <c r="W151" s="233">
        <f>IFERROR(__xludf.DUMMYFUNCTION("""COMPUTED_VALUE"""),8.0)</f>
        <v>8</v>
      </c>
      <c r="X151" s="233">
        <f>IFERROR(__xludf.DUMMYFUNCTION("""COMPUTED_VALUE"""),4.0)</f>
        <v>4</v>
      </c>
      <c r="Y151" s="233">
        <f>IFERROR(__xludf.DUMMYFUNCTION("""COMPUTED_VALUE"""),2.0)</f>
        <v>2</v>
      </c>
      <c r="Z151" s="233">
        <f>IFERROR(__xludf.DUMMYFUNCTION("""COMPUTED_VALUE"""),1078.0)</f>
        <v>1078</v>
      </c>
    </row>
    <row r="152">
      <c r="A152" s="232">
        <f>IFERROR(__xludf.DUMMYFUNCTION("""COMPUTED_VALUE"""),44077.0)</f>
        <v>44077</v>
      </c>
      <c r="B152" s="233">
        <f>IFERROR(__xludf.DUMMYFUNCTION("""COMPUTED_VALUE"""),90.0)</f>
        <v>90</v>
      </c>
      <c r="C152" s="233">
        <f>IFERROR(__xludf.DUMMYFUNCTION("""COMPUTED_VALUE"""),104.0)</f>
        <v>104</v>
      </c>
      <c r="D152" s="233">
        <f>IFERROR(__xludf.DUMMYFUNCTION("""COMPUTED_VALUE"""),31808.0)</f>
        <v>31808</v>
      </c>
      <c r="E152" s="233">
        <f>IFERROR(__xludf.DUMMYFUNCTION("""COMPUTED_VALUE"""),11065.0)</f>
        <v>11065</v>
      </c>
      <c r="F152" s="171">
        <f>IFERROR(__xludf.DUMMYFUNCTION("""COMPUTED_VALUE"""),533461.0)</f>
        <v>533461</v>
      </c>
      <c r="G152" s="171">
        <f>IFERROR(__xludf.DUMMYFUNCTION("""COMPUTED_VALUE"""),11155.0)</f>
        <v>11155</v>
      </c>
      <c r="H152" s="171">
        <f>IFERROR(__xludf.DUMMYFUNCTION("""COMPUTED_VALUE"""),565269.0)</f>
        <v>565269</v>
      </c>
      <c r="I152" s="233">
        <f>IFERROR(__xludf.DUMMYFUNCTION("""COMPUTED_VALUE"""),73.0)</f>
        <v>73</v>
      </c>
      <c r="J152" s="233">
        <f>IFERROR(__xludf.DUMMYFUNCTION("""COMPUTED_VALUE"""),81.0)</f>
        <v>81</v>
      </c>
      <c r="K152" s="233">
        <f>IFERROR(__xludf.DUMMYFUNCTION("""COMPUTED_VALUE"""),22206.0)</f>
        <v>22206</v>
      </c>
      <c r="L152" s="233">
        <f>IFERROR(__xludf.DUMMYFUNCTION("""COMPUTED_VALUE"""),2585.0)</f>
        <v>2585</v>
      </c>
      <c r="M152" s="233">
        <f>IFERROR(__xludf.DUMMYFUNCTION("""COMPUTED_VALUE"""),266923.0)</f>
        <v>266923</v>
      </c>
      <c r="N152" s="233">
        <f>IFERROR(__xludf.DUMMYFUNCTION("""COMPUTED_VALUE"""),289129.0)</f>
        <v>289129</v>
      </c>
      <c r="O152" s="233">
        <f>IFERROR(__xludf.DUMMYFUNCTION("""COMPUTED_VALUE"""),8.0)</f>
        <v>8</v>
      </c>
      <c r="P152" s="233">
        <f>IFERROR(__xludf.DUMMYFUNCTION("""COMPUTED_VALUE"""),2591.0)</f>
        <v>2591</v>
      </c>
      <c r="Q152" s="233">
        <f>IFERROR(__xludf.DUMMYFUNCTION("""COMPUTED_VALUE"""),8.0)</f>
        <v>8</v>
      </c>
      <c r="R152" s="233">
        <f>IFERROR(__xludf.DUMMYFUNCTION("""COMPUTED_VALUE"""),2166.0)</f>
        <v>2166</v>
      </c>
      <c r="S152" s="233">
        <f>IFERROR(__xludf.DUMMYFUNCTION("""COMPUTED_VALUE"""),0.0)</f>
        <v>0</v>
      </c>
      <c r="T152" s="233">
        <f>IFERROR(__xludf.DUMMYFUNCTION("""COMPUTED_VALUE"""),338.0)</f>
        <v>338</v>
      </c>
      <c r="U152" s="233">
        <f>IFERROR(__xludf.DUMMYFUNCTION("""COMPUTED_VALUE"""),87.0)</f>
        <v>87</v>
      </c>
      <c r="V152" s="233">
        <f>IFERROR(__xludf.DUMMYFUNCTION("""COMPUTED_VALUE"""),88.0)</f>
        <v>88</v>
      </c>
      <c r="W152" s="233">
        <f>IFERROR(__xludf.DUMMYFUNCTION("""COMPUTED_VALUE"""),9.0)</f>
        <v>9</v>
      </c>
      <c r="X152" s="233">
        <f>IFERROR(__xludf.DUMMYFUNCTION("""COMPUTED_VALUE"""),4.0)</f>
        <v>4</v>
      </c>
      <c r="Y152" s="233">
        <f>IFERROR(__xludf.DUMMYFUNCTION("""COMPUTED_VALUE"""),3.0)</f>
        <v>3</v>
      </c>
      <c r="Z152" s="233">
        <f>IFERROR(__xludf.DUMMYFUNCTION("""COMPUTED_VALUE"""),1081.0)</f>
        <v>1081</v>
      </c>
    </row>
    <row r="153">
      <c r="A153" s="232">
        <f>IFERROR(__xludf.DUMMYFUNCTION("""COMPUTED_VALUE"""),44078.0)</f>
        <v>44078</v>
      </c>
      <c r="B153" s="233">
        <f>IFERROR(__xludf.DUMMYFUNCTION("""COMPUTED_VALUE"""),102.0)</f>
        <v>102</v>
      </c>
      <c r="C153" s="233">
        <f>IFERROR(__xludf.DUMMYFUNCTION("""COMPUTED_VALUE"""),106.0)</f>
        <v>106</v>
      </c>
      <c r="D153" s="233">
        <f>IFERROR(__xludf.DUMMYFUNCTION("""COMPUTED_VALUE"""),31910.0)</f>
        <v>31910</v>
      </c>
      <c r="E153" s="233">
        <f>IFERROR(__xludf.DUMMYFUNCTION("""COMPUTED_VALUE"""),8953.0)</f>
        <v>8953</v>
      </c>
      <c r="F153" s="171">
        <f>IFERROR(__xludf.DUMMYFUNCTION("""COMPUTED_VALUE"""),542414.0)</f>
        <v>542414</v>
      </c>
      <c r="G153" s="171">
        <f>IFERROR(__xludf.DUMMYFUNCTION("""COMPUTED_VALUE"""),9055.0)</f>
        <v>9055</v>
      </c>
      <c r="H153" s="171">
        <f>IFERROR(__xludf.DUMMYFUNCTION("""COMPUTED_VALUE"""),574324.0)</f>
        <v>574324</v>
      </c>
      <c r="I153" s="233">
        <f>IFERROR(__xludf.DUMMYFUNCTION("""COMPUTED_VALUE"""),83.0)</f>
        <v>83</v>
      </c>
      <c r="J153" s="233">
        <f>IFERROR(__xludf.DUMMYFUNCTION("""COMPUTED_VALUE"""),87.0)</f>
        <v>87</v>
      </c>
      <c r="K153" s="233">
        <f>IFERROR(__xludf.DUMMYFUNCTION("""COMPUTED_VALUE"""),22289.0)</f>
        <v>22289</v>
      </c>
      <c r="L153" s="233">
        <f>IFERROR(__xludf.DUMMYFUNCTION("""COMPUTED_VALUE"""),2371.0)</f>
        <v>2371</v>
      </c>
      <c r="M153" s="233">
        <f>IFERROR(__xludf.DUMMYFUNCTION("""COMPUTED_VALUE"""),269294.0)</f>
        <v>269294</v>
      </c>
      <c r="N153" s="233">
        <f>IFERROR(__xludf.DUMMYFUNCTION("""COMPUTED_VALUE"""),291583.0)</f>
        <v>291583</v>
      </c>
      <c r="O153" s="233">
        <f>IFERROR(__xludf.DUMMYFUNCTION("""COMPUTED_VALUE"""),11.0)</f>
        <v>11</v>
      </c>
      <c r="P153" s="233">
        <f>IFERROR(__xludf.DUMMYFUNCTION("""COMPUTED_VALUE"""),2602.0)</f>
        <v>2602</v>
      </c>
      <c r="Q153" s="233">
        <f>IFERROR(__xludf.DUMMYFUNCTION("""COMPUTED_VALUE"""),4.0)</f>
        <v>4</v>
      </c>
      <c r="R153" s="233">
        <f>IFERROR(__xludf.DUMMYFUNCTION("""COMPUTED_VALUE"""),2170.0)</f>
        <v>2170</v>
      </c>
      <c r="S153" s="233">
        <f>IFERROR(__xludf.DUMMYFUNCTION("""COMPUTED_VALUE"""),0.0)</f>
        <v>0</v>
      </c>
      <c r="T153" s="233">
        <f>IFERROR(__xludf.DUMMYFUNCTION("""COMPUTED_VALUE"""),338.0)</f>
        <v>338</v>
      </c>
      <c r="U153" s="233">
        <f>IFERROR(__xludf.DUMMYFUNCTION("""COMPUTED_VALUE"""),94.0)</f>
        <v>94</v>
      </c>
      <c r="V153" s="233">
        <f>IFERROR(__xludf.DUMMYFUNCTION("""COMPUTED_VALUE"""),89.0)</f>
        <v>89</v>
      </c>
      <c r="W153" s="233">
        <f>IFERROR(__xludf.DUMMYFUNCTION("""COMPUTED_VALUE"""),9.0)</f>
        <v>9</v>
      </c>
      <c r="X153" s="233">
        <f>IFERROR(__xludf.DUMMYFUNCTION("""COMPUTED_VALUE"""),4.0)</f>
        <v>4</v>
      </c>
      <c r="Y153" s="233">
        <f>IFERROR(__xludf.DUMMYFUNCTION("""COMPUTED_VALUE"""),1.0)</f>
        <v>1</v>
      </c>
      <c r="Z153" s="233">
        <f>IFERROR(__xludf.DUMMYFUNCTION("""COMPUTED_VALUE"""),1082.0)</f>
        <v>1082</v>
      </c>
    </row>
    <row r="154">
      <c r="A154" s="232">
        <f>IFERROR(__xludf.DUMMYFUNCTION("""COMPUTED_VALUE"""),44079.0)</f>
        <v>44079</v>
      </c>
      <c r="B154" s="233">
        <f>IFERROR(__xludf.DUMMYFUNCTION("""COMPUTED_VALUE"""),52.0)</f>
        <v>52</v>
      </c>
      <c r="C154" s="233">
        <f>IFERROR(__xludf.DUMMYFUNCTION("""COMPUTED_VALUE"""),81.0)</f>
        <v>81</v>
      </c>
      <c r="D154" s="233">
        <f>IFERROR(__xludf.DUMMYFUNCTION("""COMPUTED_VALUE"""),31962.0)</f>
        <v>31962</v>
      </c>
      <c r="E154" s="233">
        <f>IFERROR(__xludf.DUMMYFUNCTION("""COMPUTED_VALUE"""),6301.0)</f>
        <v>6301</v>
      </c>
      <c r="F154" s="171">
        <f>IFERROR(__xludf.DUMMYFUNCTION("""COMPUTED_VALUE"""),548715.0)</f>
        <v>548715</v>
      </c>
      <c r="G154" s="171">
        <f>IFERROR(__xludf.DUMMYFUNCTION("""COMPUTED_VALUE"""),6353.0)</f>
        <v>6353</v>
      </c>
      <c r="H154" s="171">
        <f>IFERROR(__xludf.DUMMYFUNCTION("""COMPUTED_VALUE"""),580677.0)</f>
        <v>580677</v>
      </c>
      <c r="I154" s="233">
        <f>IFERROR(__xludf.DUMMYFUNCTION("""COMPUTED_VALUE"""),42.0)</f>
        <v>42</v>
      </c>
      <c r="J154" s="233">
        <f>IFERROR(__xludf.DUMMYFUNCTION("""COMPUTED_VALUE"""),66.0)</f>
        <v>66</v>
      </c>
      <c r="K154" s="233">
        <f>IFERROR(__xludf.DUMMYFUNCTION("""COMPUTED_VALUE"""),22331.0)</f>
        <v>22331</v>
      </c>
      <c r="L154" s="233">
        <f>IFERROR(__xludf.DUMMYFUNCTION("""COMPUTED_VALUE"""),1602.0)</f>
        <v>1602</v>
      </c>
      <c r="M154" s="233">
        <f>IFERROR(__xludf.DUMMYFUNCTION("""COMPUTED_VALUE"""),270896.0)</f>
        <v>270896</v>
      </c>
      <c r="N154" s="233">
        <f>IFERROR(__xludf.DUMMYFUNCTION("""COMPUTED_VALUE"""),293227.0)</f>
        <v>293227</v>
      </c>
      <c r="O154" s="233">
        <f>IFERROR(__xludf.DUMMYFUNCTION("""COMPUTED_VALUE"""),6.0)</f>
        <v>6</v>
      </c>
      <c r="P154" s="233">
        <f>IFERROR(__xludf.DUMMYFUNCTION("""COMPUTED_VALUE"""),2608.0)</f>
        <v>2608</v>
      </c>
      <c r="Q154" s="233">
        <f>IFERROR(__xludf.DUMMYFUNCTION("""COMPUTED_VALUE"""),9.0)</f>
        <v>9</v>
      </c>
      <c r="R154" s="233">
        <f>IFERROR(__xludf.DUMMYFUNCTION("""COMPUTED_VALUE"""),2179.0)</f>
        <v>2179</v>
      </c>
      <c r="S154" s="233">
        <f>IFERROR(__xludf.DUMMYFUNCTION("""COMPUTED_VALUE"""),0.0)</f>
        <v>0</v>
      </c>
      <c r="T154" s="233">
        <f>IFERROR(__xludf.DUMMYFUNCTION("""COMPUTED_VALUE"""),338.0)</f>
        <v>338</v>
      </c>
      <c r="U154" s="233">
        <f>IFERROR(__xludf.DUMMYFUNCTION("""COMPUTED_VALUE"""),91.0)</f>
        <v>91</v>
      </c>
      <c r="V154" s="233">
        <f>IFERROR(__xludf.DUMMYFUNCTION("""COMPUTED_VALUE"""),91.0)</f>
        <v>91</v>
      </c>
      <c r="W154" s="233">
        <f>IFERROR(__xludf.DUMMYFUNCTION("""COMPUTED_VALUE"""),8.0)</f>
        <v>8</v>
      </c>
      <c r="X154" s="233">
        <f>IFERROR(__xludf.DUMMYFUNCTION("""COMPUTED_VALUE"""),3.0)</f>
        <v>3</v>
      </c>
      <c r="Y154" s="233">
        <f>IFERROR(__xludf.DUMMYFUNCTION("""COMPUTED_VALUE"""),1.0)</f>
        <v>1</v>
      </c>
      <c r="Z154" s="233">
        <f>IFERROR(__xludf.DUMMYFUNCTION("""COMPUTED_VALUE"""),1083.0)</f>
        <v>1083</v>
      </c>
    </row>
    <row r="155">
      <c r="A155" s="232">
        <f>IFERROR(__xludf.DUMMYFUNCTION("""COMPUTED_VALUE"""),44080.0)</f>
        <v>44080</v>
      </c>
      <c r="B155" s="233">
        <f>IFERROR(__xludf.DUMMYFUNCTION("""COMPUTED_VALUE"""),87.0)</f>
        <v>87</v>
      </c>
      <c r="C155" s="233">
        <f>IFERROR(__xludf.DUMMYFUNCTION("""COMPUTED_VALUE"""),80.0)</f>
        <v>80</v>
      </c>
      <c r="D155" s="233">
        <f>IFERROR(__xludf.DUMMYFUNCTION("""COMPUTED_VALUE"""),32049.0)</f>
        <v>32049</v>
      </c>
      <c r="E155" s="233">
        <f>IFERROR(__xludf.DUMMYFUNCTION("""COMPUTED_VALUE"""),4317.0)</f>
        <v>4317</v>
      </c>
      <c r="F155" s="171">
        <f>IFERROR(__xludf.DUMMYFUNCTION("""COMPUTED_VALUE"""),553032.0)</f>
        <v>553032</v>
      </c>
      <c r="G155" s="171">
        <f>IFERROR(__xludf.DUMMYFUNCTION("""COMPUTED_VALUE"""),4404.0)</f>
        <v>4404</v>
      </c>
      <c r="H155" s="171">
        <f>IFERROR(__xludf.DUMMYFUNCTION("""COMPUTED_VALUE"""),585081.0)</f>
        <v>585081</v>
      </c>
      <c r="I155" s="233">
        <f>IFERROR(__xludf.DUMMYFUNCTION("""COMPUTED_VALUE"""),64.0)</f>
        <v>64</v>
      </c>
      <c r="J155" s="233">
        <f>IFERROR(__xludf.DUMMYFUNCTION("""COMPUTED_VALUE"""),63.0)</f>
        <v>63</v>
      </c>
      <c r="K155" s="233">
        <f>IFERROR(__xludf.DUMMYFUNCTION("""COMPUTED_VALUE"""),22395.0)</f>
        <v>22395</v>
      </c>
      <c r="L155" s="233">
        <f>IFERROR(__xludf.DUMMYFUNCTION("""COMPUTED_VALUE"""),1950.0)</f>
        <v>1950</v>
      </c>
      <c r="M155" s="233">
        <f>IFERROR(__xludf.DUMMYFUNCTION("""COMPUTED_VALUE"""),272846.0)</f>
        <v>272846</v>
      </c>
      <c r="N155" s="233">
        <f>IFERROR(__xludf.DUMMYFUNCTION("""COMPUTED_VALUE"""),295241.0)</f>
        <v>295241</v>
      </c>
      <c r="O155" s="233">
        <f>IFERROR(__xludf.DUMMYFUNCTION("""COMPUTED_VALUE"""),4.0)</f>
        <v>4</v>
      </c>
      <c r="P155" s="233">
        <f>IFERROR(__xludf.DUMMYFUNCTION("""COMPUTED_VALUE"""),2612.0)</f>
        <v>2612</v>
      </c>
      <c r="Q155" s="233">
        <f>IFERROR(__xludf.DUMMYFUNCTION("""COMPUTED_VALUE"""),8.0)</f>
        <v>8</v>
      </c>
      <c r="R155" s="233">
        <f>IFERROR(__xludf.DUMMYFUNCTION("""COMPUTED_VALUE"""),2187.0)</f>
        <v>2187</v>
      </c>
      <c r="S155" s="233">
        <f>IFERROR(__xludf.DUMMYFUNCTION("""COMPUTED_VALUE"""),1.0)</f>
        <v>1</v>
      </c>
      <c r="T155" s="233">
        <f>IFERROR(__xludf.DUMMYFUNCTION("""COMPUTED_VALUE"""),339.0)</f>
        <v>339</v>
      </c>
      <c r="U155" s="233">
        <f>IFERROR(__xludf.DUMMYFUNCTION("""COMPUTED_VALUE"""),86.0)</f>
        <v>86</v>
      </c>
      <c r="V155" s="233">
        <f>IFERROR(__xludf.DUMMYFUNCTION("""COMPUTED_VALUE"""),90.0)</f>
        <v>90</v>
      </c>
      <c r="W155" s="233">
        <f>IFERROR(__xludf.DUMMYFUNCTION("""COMPUTED_VALUE"""),6.0)</f>
        <v>6</v>
      </c>
      <c r="X155" s="233">
        <f>IFERROR(__xludf.DUMMYFUNCTION("""COMPUTED_VALUE"""),3.0)</f>
        <v>3</v>
      </c>
      <c r="Y155" s="233">
        <f>IFERROR(__xludf.DUMMYFUNCTION("""COMPUTED_VALUE"""),1.0)</f>
        <v>1</v>
      </c>
      <c r="Z155" s="233">
        <f>IFERROR(__xludf.DUMMYFUNCTION("""COMPUTED_VALUE"""),1084.0)</f>
        <v>1084</v>
      </c>
    </row>
    <row r="156">
      <c r="A156" s="232">
        <f>IFERROR(__xludf.DUMMYFUNCTION("""COMPUTED_VALUE"""),44081.0)</f>
        <v>44081</v>
      </c>
      <c r="B156" s="233">
        <f>IFERROR(__xludf.DUMMYFUNCTION("""COMPUTED_VALUE"""),35.0)</f>
        <v>35</v>
      </c>
      <c r="C156" s="233">
        <f>IFERROR(__xludf.DUMMYFUNCTION("""COMPUTED_VALUE"""),58.0)</f>
        <v>58</v>
      </c>
      <c r="D156" s="233">
        <f>IFERROR(__xludf.DUMMYFUNCTION("""COMPUTED_VALUE"""),32084.0)</f>
        <v>32084</v>
      </c>
      <c r="E156" s="233">
        <f>IFERROR(__xludf.DUMMYFUNCTION("""COMPUTED_VALUE"""),3001.0)</f>
        <v>3001</v>
      </c>
      <c r="F156" s="171">
        <f>IFERROR(__xludf.DUMMYFUNCTION("""COMPUTED_VALUE"""),556033.0)</f>
        <v>556033</v>
      </c>
      <c r="G156" s="171">
        <f>IFERROR(__xludf.DUMMYFUNCTION("""COMPUTED_VALUE"""),3036.0)</f>
        <v>3036</v>
      </c>
      <c r="H156" s="171">
        <f>IFERROR(__xludf.DUMMYFUNCTION("""COMPUTED_VALUE"""),588117.0)</f>
        <v>588117</v>
      </c>
      <c r="I156" s="233">
        <f>IFERROR(__xludf.DUMMYFUNCTION("""COMPUTED_VALUE"""),26.0)</f>
        <v>26</v>
      </c>
      <c r="J156" s="233">
        <f>IFERROR(__xludf.DUMMYFUNCTION("""COMPUTED_VALUE"""),44.0)</f>
        <v>44</v>
      </c>
      <c r="K156" s="233">
        <f>IFERROR(__xludf.DUMMYFUNCTION("""COMPUTED_VALUE"""),22421.0)</f>
        <v>22421</v>
      </c>
      <c r="L156" s="233">
        <f>IFERROR(__xludf.DUMMYFUNCTION("""COMPUTED_VALUE"""),646.0)</f>
        <v>646</v>
      </c>
      <c r="M156" s="233">
        <f>IFERROR(__xludf.DUMMYFUNCTION("""COMPUTED_VALUE"""),273492.0)</f>
        <v>273492</v>
      </c>
      <c r="N156" s="233">
        <f>IFERROR(__xludf.DUMMYFUNCTION("""COMPUTED_VALUE"""),295913.0)</f>
        <v>295913</v>
      </c>
      <c r="O156" s="233">
        <f>IFERROR(__xludf.DUMMYFUNCTION("""COMPUTED_VALUE"""),11.0)</f>
        <v>11</v>
      </c>
      <c r="P156" s="233">
        <f>IFERROR(__xludf.DUMMYFUNCTION("""COMPUTED_VALUE"""),2623.0)</f>
        <v>2623</v>
      </c>
      <c r="Q156" s="233">
        <f>IFERROR(__xludf.DUMMYFUNCTION("""COMPUTED_VALUE"""),3.0)</f>
        <v>3</v>
      </c>
      <c r="R156" s="233">
        <f>IFERROR(__xludf.DUMMYFUNCTION("""COMPUTED_VALUE"""),2190.0)</f>
        <v>2190</v>
      </c>
      <c r="S156" s="233">
        <f>IFERROR(__xludf.DUMMYFUNCTION("""COMPUTED_VALUE"""),0.0)</f>
        <v>0</v>
      </c>
      <c r="T156" s="233">
        <f>IFERROR(__xludf.DUMMYFUNCTION("""COMPUTED_VALUE"""),339.0)</f>
        <v>339</v>
      </c>
      <c r="U156" s="233">
        <f>IFERROR(__xludf.DUMMYFUNCTION("""COMPUTED_VALUE"""),94.0)</f>
        <v>94</v>
      </c>
      <c r="V156" s="233">
        <f>IFERROR(__xludf.DUMMYFUNCTION("""COMPUTED_VALUE"""),90.0)</f>
        <v>90</v>
      </c>
      <c r="W156" s="233">
        <f>IFERROR(__xludf.DUMMYFUNCTION("""COMPUTED_VALUE"""),5.0)</f>
        <v>5</v>
      </c>
      <c r="X156" s="233">
        <f>IFERROR(__xludf.DUMMYFUNCTION("""COMPUTED_VALUE"""),3.0)</f>
        <v>3</v>
      </c>
      <c r="Y156" s="233">
        <f>IFERROR(__xludf.DUMMYFUNCTION("""COMPUTED_VALUE"""),1.0)</f>
        <v>1</v>
      </c>
      <c r="Z156" s="233">
        <f>IFERROR(__xludf.DUMMYFUNCTION("""COMPUTED_VALUE"""),1085.0)</f>
        <v>1085</v>
      </c>
    </row>
    <row r="157">
      <c r="A157" s="232">
        <f>IFERROR(__xludf.DUMMYFUNCTION("""COMPUTED_VALUE"""),44082.0)</f>
        <v>44082</v>
      </c>
      <c r="B157" s="233">
        <f>IFERROR(__xludf.DUMMYFUNCTION("""COMPUTED_VALUE"""),74.0)</f>
        <v>74</v>
      </c>
      <c r="C157" s="233">
        <f>IFERROR(__xludf.DUMMYFUNCTION("""COMPUTED_VALUE"""),65.0)</f>
        <v>65</v>
      </c>
      <c r="D157" s="233">
        <f>IFERROR(__xludf.DUMMYFUNCTION("""COMPUTED_VALUE"""),32158.0)</f>
        <v>32158</v>
      </c>
      <c r="E157" s="233">
        <f>IFERROR(__xludf.DUMMYFUNCTION("""COMPUTED_VALUE"""),6375.0)</f>
        <v>6375</v>
      </c>
      <c r="F157" s="171">
        <f>IFERROR(__xludf.DUMMYFUNCTION("""COMPUTED_VALUE"""),562408.0)</f>
        <v>562408</v>
      </c>
      <c r="G157" s="171">
        <f>IFERROR(__xludf.DUMMYFUNCTION("""COMPUTED_VALUE"""),6449.0)</f>
        <v>6449</v>
      </c>
      <c r="H157" s="171">
        <f>IFERROR(__xludf.DUMMYFUNCTION("""COMPUTED_VALUE"""),594566.0)</f>
        <v>594566</v>
      </c>
      <c r="I157" s="233">
        <f>IFERROR(__xludf.DUMMYFUNCTION("""COMPUTED_VALUE"""),66.0)</f>
        <v>66</v>
      </c>
      <c r="J157" s="233">
        <f>IFERROR(__xludf.DUMMYFUNCTION("""COMPUTED_VALUE"""),52.0)</f>
        <v>52</v>
      </c>
      <c r="K157" s="233">
        <f>IFERROR(__xludf.DUMMYFUNCTION("""COMPUTED_VALUE"""),22487.0)</f>
        <v>22487</v>
      </c>
      <c r="L157" s="233">
        <f>IFERROR(__xludf.DUMMYFUNCTION("""COMPUTED_VALUE"""),1601.0)</f>
        <v>1601</v>
      </c>
      <c r="M157" s="233">
        <f>IFERROR(__xludf.DUMMYFUNCTION("""COMPUTED_VALUE"""),275093.0)</f>
        <v>275093</v>
      </c>
      <c r="N157" s="233">
        <f>IFERROR(__xludf.DUMMYFUNCTION("""COMPUTED_VALUE"""),297580.0)</f>
        <v>297580</v>
      </c>
      <c r="O157" s="233">
        <f>IFERROR(__xludf.DUMMYFUNCTION("""COMPUTED_VALUE"""),6.0)</f>
        <v>6</v>
      </c>
      <c r="P157" s="233">
        <f>IFERROR(__xludf.DUMMYFUNCTION("""COMPUTED_VALUE"""),2629.0)</f>
        <v>2629</v>
      </c>
      <c r="Q157" s="233">
        <f>IFERROR(__xludf.DUMMYFUNCTION("""COMPUTED_VALUE"""),12.0)</f>
        <v>12</v>
      </c>
      <c r="R157" s="233">
        <f>IFERROR(__xludf.DUMMYFUNCTION("""COMPUTED_VALUE"""),2202.0)</f>
        <v>2202</v>
      </c>
      <c r="S157" s="233">
        <f>IFERROR(__xludf.DUMMYFUNCTION("""COMPUTED_VALUE"""),1.0)</f>
        <v>1</v>
      </c>
      <c r="T157" s="233">
        <f>IFERROR(__xludf.DUMMYFUNCTION("""COMPUTED_VALUE"""),340.0)</f>
        <v>340</v>
      </c>
      <c r="U157" s="233">
        <f>IFERROR(__xludf.DUMMYFUNCTION("""COMPUTED_VALUE"""),87.0)</f>
        <v>87</v>
      </c>
      <c r="V157" s="233">
        <f>IFERROR(__xludf.DUMMYFUNCTION("""COMPUTED_VALUE"""),89.0)</f>
        <v>89</v>
      </c>
      <c r="W157" s="233">
        <f>IFERROR(__xludf.DUMMYFUNCTION("""COMPUTED_VALUE"""),6.0)</f>
        <v>6</v>
      </c>
      <c r="X157" s="233">
        <f>IFERROR(__xludf.DUMMYFUNCTION("""COMPUTED_VALUE"""),3.0)</f>
        <v>3</v>
      </c>
      <c r="Y157" s="233">
        <f>IFERROR(__xludf.DUMMYFUNCTION("""COMPUTED_VALUE"""),2.0)</f>
        <v>2</v>
      </c>
      <c r="Z157" s="233">
        <f>IFERROR(__xludf.DUMMYFUNCTION("""COMPUTED_VALUE"""),1087.0)</f>
        <v>1087</v>
      </c>
    </row>
    <row r="158">
      <c r="A158" s="232">
        <f>IFERROR(__xludf.DUMMYFUNCTION("""COMPUTED_VALUE"""),44083.0)</f>
        <v>44083</v>
      </c>
      <c r="B158" s="233">
        <f>IFERROR(__xludf.DUMMYFUNCTION("""COMPUTED_VALUE"""),118.0)</f>
        <v>118</v>
      </c>
      <c r="C158" s="233">
        <f>IFERROR(__xludf.DUMMYFUNCTION("""COMPUTED_VALUE"""),76.0)</f>
        <v>76</v>
      </c>
      <c r="D158" s="233">
        <f>IFERROR(__xludf.DUMMYFUNCTION("""COMPUTED_VALUE"""),32276.0)</f>
        <v>32276</v>
      </c>
      <c r="E158" s="233">
        <f>IFERROR(__xludf.DUMMYFUNCTION("""COMPUTED_VALUE"""),8641.0)</f>
        <v>8641</v>
      </c>
      <c r="F158" s="171">
        <f>IFERROR(__xludf.DUMMYFUNCTION("""COMPUTED_VALUE"""),571049.0)</f>
        <v>571049</v>
      </c>
      <c r="G158" s="171">
        <f>IFERROR(__xludf.DUMMYFUNCTION("""COMPUTED_VALUE"""),8759.0)</f>
        <v>8759</v>
      </c>
      <c r="H158" s="171">
        <f>IFERROR(__xludf.DUMMYFUNCTION("""COMPUTED_VALUE"""),603325.0)</f>
        <v>603325</v>
      </c>
      <c r="I158" s="233">
        <f>IFERROR(__xludf.DUMMYFUNCTION("""COMPUTED_VALUE"""),102.0)</f>
        <v>102</v>
      </c>
      <c r="J158" s="233">
        <f>IFERROR(__xludf.DUMMYFUNCTION("""COMPUTED_VALUE"""),65.0)</f>
        <v>65</v>
      </c>
      <c r="K158" s="233">
        <f>IFERROR(__xludf.DUMMYFUNCTION("""COMPUTED_VALUE"""),22589.0)</f>
        <v>22589</v>
      </c>
      <c r="L158" s="233">
        <f>IFERROR(__xludf.DUMMYFUNCTION("""COMPUTED_VALUE"""),2146.0)</f>
        <v>2146</v>
      </c>
      <c r="M158" s="233">
        <f>IFERROR(__xludf.DUMMYFUNCTION("""COMPUTED_VALUE"""),277239.0)</f>
        <v>277239</v>
      </c>
      <c r="N158" s="233">
        <f>IFERROR(__xludf.DUMMYFUNCTION("""COMPUTED_VALUE"""),299828.0)</f>
        <v>299828</v>
      </c>
      <c r="O158" s="233">
        <f>IFERROR(__xludf.DUMMYFUNCTION("""COMPUTED_VALUE"""),9.0)</f>
        <v>9</v>
      </c>
      <c r="P158" s="233">
        <f>IFERROR(__xludf.DUMMYFUNCTION("""COMPUTED_VALUE"""),2638.0)</f>
        <v>2638</v>
      </c>
      <c r="Q158" s="233">
        <f>IFERROR(__xludf.DUMMYFUNCTION("""COMPUTED_VALUE"""),5.0)</f>
        <v>5</v>
      </c>
      <c r="R158" s="233">
        <f>IFERROR(__xludf.DUMMYFUNCTION("""COMPUTED_VALUE"""),2207.0)</f>
        <v>2207</v>
      </c>
      <c r="S158" s="233">
        <f>IFERROR(__xludf.DUMMYFUNCTION("""COMPUTED_VALUE"""),1.0)</f>
        <v>1</v>
      </c>
      <c r="T158" s="233">
        <f>IFERROR(__xludf.DUMMYFUNCTION("""COMPUTED_VALUE"""),341.0)</f>
        <v>341</v>
      </c>
      <c r="U158" s="233">
        <f>IFERROR(__xludf.DUMMYFUNCTION("""COMPUTED_VALUE"""),90.0)</f>
        <v>90</v>
      </c>
      <c r="V158" s="233">
        <f>IFERROR(__xludf.DUMMYFUNCTION("""COMPUTED_VALUE"""),90.0)</f>
        <v>90</v>
      </c>
      <c r="W158" s="233">
        <f>IFERROR(__xludf.DUMMYFUNCTION("""COMPUTED_VALUE"""),9.0)</f>
        <v>9</v>
      </c>
      <c r="X158" s="233">
        <f>IFERROR(__xludf.DUMMYFUNCTION("""COMPUTED_VALUE"""),3.0)</f>
        <v>3</v>
      </c>
      <c r="Y158" s="233">
        <f>IFERROR(__xludf.DUMMYFUNCTION("""COMPUTED_VALUE"""),1.0)</f>
        <v>1</v>
      </c>
      <c r="Z158" s="233">
        <f>IFERROR(__xludf.DUMMYFUNCTION("""COMPUTED_VALUE"""),1088.0)</f>
        <v>1088</v>
      </c>
    </row>
    <row r="159">
      <c r="A159" s="232">
        <f>IFERROR(__xludf.DUMMYFUNCTION("""COMPUTED_VALUE"""),44084.0)</f>
        <v>44084</v>
      </c>
      <c r="B159" s="233">
        <f>IFERROR(__xludf.DUMMYFUNCTION("""COMPUTED_VALUE"""),164.0)</f>
        <v>164</v>
      </c>
      <c r="C159" s="233">
        <f>IFERROR(__xludf.DUMMYFUNCTION("""COMPUTED_VALUE"""),119.0)</f>
        <v>119</v>
      </c>
      <c r="D159" s="233">
        <f>IFERROR(__xludf.DUMMYFUNCTION("""COMPUTED_VALUE"""),32440.0)</f>
        <v>32440</v>
      </c>
      <c r="E159" s="233">
        <f>IFERROR(__xludf.DUMMYFUNCTION("""COMPUTED_VALUE"""),11327.0)</f>
        <v>11327</v>
      </c>
      <c r="F159" s="171">
        <f>IFERROR(__xludf.DUMMYFUNCTION("""COMPUTED_VALUE"""),582376.0)</f>
        <v>582376</v>
      </c>
      <c r="G159" s="171">
        <f>IFERROR(__xludf.DUMMYFUNCTION("""COMPUTED_VALUE"""),11491.0)</f>
        <v>11491</v>
      </c>
      <c r="H159" s="171">
        <f>IFERROR(__xludf.DUMMYFUNCTION("""COMPUTED_VALUE"""),614816.0)</f>
        <v>614816</v>
      </c>
      <c r="I159" s="233">
        <f>IFERROR(__xludf.DUMMYFUNCTION("""COMPUTED_VALUE"""),111.0)</f>
        <v>111</v>
      </c>
      <c r="J159" s="233">
        <f>IFERROR(__xludf.DUMMYFUNCTION("""COMPUTED_VALUE"""),93.0)</f>
        <v>93</v>
      </c>
      <c r="K159" s="233">
        <f>IFERROR(__xludf.DUMMYFUNCTION("""COMPUTED_VALUE"""),22700.0)</f>
        <v>22700</v>
      </c>
      <c r="L159" s="233">
        <f>IFERROR(__xludf.DUMMYFUNCTION("""COMPUTED_VALUE"""),2275.0)</f>
        <v>2275</v>
      </c>
      <c r="M159" s="233">
        <f>IFERROR(__xludf.DUMMYFUNCTION("""COMPUTED_VALUE"""),279514.0)</f>
        <v>279514</v>
      </c>
      <c r="N159" s="233">
        <f>IFERROR(__xludf.DUMMYFUNCTION("""COMPUTED_VALUE"""),302214.0)</f>
        <v>302214</v>
      </c>
      <c r="O159" s="233">
        <f>IFERROR(__xludf.DUMMYFUNCTION("""COMPUTED_VALUE"""),9.0)</f>
        <v>9</v>
      </c>
      <c r="P159" s="233">
        <f>IFERROR(__xludf.DUMMYFUNCTION("""COMPUTED_VALUE"""),2647.0)</f>
        <v>2647</v>
      </c>
      <c r="Q159" s="233">
        <f>IFERROR(__xludf.DUMMYFUNCTION("""COMPUTED_VALUE"""),8.0)</f>
        <v>8</v>
      </c>
      <c r="R159" s="233">
        <f>IFERROR(__xludf.DUMMYFUNCTION("""COMPUTED_VALUE"""),2215.0)</f>
        <v>2215</v>
      </c>
      <c r="S159" s="233">
        <f>IFERROR(__xludf.DUMMYFUNCTION("""COMPUTED_VALUE"""),0.0)</f>
        <v>0</v>
      </c>
      <c r="T159" s="233">
        <f>IFERROR(__xludf.DUMMYFUNCTION("""COMPUTED_VALUE"""),341.0)</f>
        <v>341</v>
      </c>
      <c r="U159" s="233">
        <f>IFERROR(__xludf.DUMMYFUNCTION("""COMPUTED_VALUE"""),91.0)</f>
        <v>91</v>
      </c>
      <c r="V159" s="233">
        <f>IFERROR(__xludf.DUMMYFUNCTION("""COMPUTED_VALUE"""),89.0)</f>
        <v>89</v>
      </c>
      <c r="W159" s="233">
        <f>IFERROR(__xludf.DUMMYFUNCTION("""COMPUTED_VALUE"""),10.0)</f>
        <v>10</v>
      </c>
      <c r="X159" s="233">
        <f>IFERROR(__xludf.DUMMYFUNCTION("""COMPUTED_VALUE"""),3.0)</f>
        <v>3</v>
      </c>
      <c r="Y159" s="233">
        <f>IFERROR(__xludf.DUMMYFUNCTION("""COMPUTED_VALUE"""),1.0)</f>
        <v>1</v>
      </c>
      <c r="Z159" s="233">
        <f>IFERROR(__xludf.DUMMYFUNCTION("""COMPUTED_VALUE"""),1089.0)</f>
        <v>1089</v>
      </c>
    </row>
    <row r="160">
      <c r="A160" s="232">
        <f>IFERROR(__xludf.DUMMYFUNCTION("""COMPUTED_VALUE"""),44085.0)</f>
        <v>44085</v>
      </c>
      <c r="B160" s="233">
        <f>IFERROR(__xludf.DUMMYFUNCTION("""COMPUTED_VALUE"""),121.0)</f>
        <v>121</v>
      </c>
      <c r="C160" s="233">
        <f>IFERROR(__xludf.DUMMYFUNCTION("""COMPUTED_VALUE"""),134.0)</f>
        <v>134</v>
      </c>
      <c r="D160" s="233">
        <f>IFERROR(__xludf.DUMMYFUNCTION("""COMPUTED_VALUE"""),32561.0)</f>
        <v>32561</v>
      </c>
      <c r="E160" s="233">
        <f>IFERROR(__xludf.DUMMYFUNCTION("""COMPUTED_VALUE"""),9449.0)</f>
        <v>9449</v>
      </c>
      <c r="F160" s="171">
        <f>IFERROR(__xludf.DUMMYFUNCTION("""COMPUTED_VALUE"""),591825.0)</f>
        <v>591825</v>
      </c>
      <c r="G160" s="171">
        <f>IFERROR(__xludf.DUMMYFUNCTION("""COMPUTED_VALUE"""),9570.0)</f>
        <v>9570</v>
      </c>
      <c r="H160" s="171">
        <f>IFERROR(__xludf.DUMMYFUNCTION("""COMPUTED_VALUE"""),624386.0)</f>
        <v>624386</v>
      </c>
      <c r="I160" s="233">
        <f>IFERROR(__xludf.DUMMYFUNCTION("""COMPUTED_VALUE"""),98.0)</f>
        <v>98</v>
      </c>
      <c r="J160" s="233">
        <f>IFERROR(__xludf.DUMMYFUNCTION("""COMPUTED_VALUE"""),104.0)</f>
        <v>104</v>
      </c>
      <c r="K160" s="233">
        <f>IFERROR(__xludf.DUMMYFUNCTION("""COMPUTED_VALUE"""),22798.0)</f>
        <v>22798</v>
      </c>
      <c r="L160" s="233">
        <f>IFERROR(__xludf.DUMMYFUNCTION("""COMPUTED_VALUE"""),1972.0)</f>
        <v>1972</v>
      </c>
      <c r="M160" s="233">
        <f>IFERROR(__xludf.DUMMYFUNCTION("""COMPUTED_VALUE"""),281486.0)</f>
        <v>281486</v>
      </c>
      <c r="N160" s="233">
        <f>IFERROR(__xludf.DUMMYFUNCTION("""COMPUTED_VALUE"""),304284.0)</f>
        <v>304284</v>
      </c>
      <c r="O160" s="233">
        <f>IFERROR(__xludf.DUMMYFUNCTION("""COMPUTED_VALUE"""),11.0)</f>
        <v>11</v>
      </c>
      <c r="P160" s="233">
        <f>IFERROR(__xludf.DUMMYFUNCTION("""COMPUTED_VALUE"""),2658.0)</f>
        <v>2658</v>
      </c>
      <c r="Q160" s="233">
        <f>IFERROR(__xludf.DUMMYFUNCTION("""COMPUTED_VALUE"""),11.0)</f>
        <v>11</v>
      </c>
      <c r="R160" s="233">
        <f>IFERROR(__xludf.DUMMYFUNCTION("""COMPUTED_VALUE"""),2226.0)</f>
        <v>2226</v>
      </c>
      <c r="S160" s="233">
        <f>IFERROR(__xludf.DUMMYFUNCTION("""COMPUTED_VALUE"""),0.0)</f>
        <v>0</v>
      </c>
      <c r="T160" s="233">
        <f>IFERROR(__xludf.DUMMYFUNCTION("""COMPUTED_VALUE"""),341.0)</f>
        <v>341</v>
      </c>
      <c r="U160" s="233">
        <f>IFERROR(__xludf.DUMMYFUNCTION("""COMPUTED_VALUE"""),91.0)</f>
        <v>91</v>
      </c>
      <c r="V160" s="233">
        <f>IFERROR(__xludf.DUMMYFUNCTION("""COMPUTED_VALUE"""),91.0)</f>
        <v>91</v>
      </c>
      <c r="W160" s="233">
        <f>IFERROR(__xludf.DUMMYFUNCTION("""COMPUTED_VALUE"""),10.0)</f>
        <v>10</v>
      </c>
      <c r="X160" s="233">
        <f>IFERROR(__xludf.DUMMYFUNCTION("""COMPUTED_VALUE"""),5.0)</f>
        <v>5</v>
      </c>
      <c r="Y160" s="233">
        <f>IFERROR(__xludf.DUMMYFUNCTION("""COMPUTED_VALUE"""),0.0)</f>
        <v>0</v>
      </c>
      <c r="Z160" s="233">
        <f>IFERROR(__xludf.DUMMYFUNCTION("""COMPUTED_VALUE"""),1089.0)</f>
        <v>1089</v>
      </c>
    </row>
    <row r="161">
      <c r="A161" s="232">
        <f>IFERROR(__xludf.DUMMYFUNCTION("""COMPUTED_VALUE"""),44086.0)</f>
        <v>44086</v>
      </c>
      <c r="B161" s="233">
        <f>IFERROR(__xludf.DUMMYFUNCTION("""COMPUTED_VALUE"""),109.0)</f>
        <v>109</v>
      </c>
      <c r="C161" s="233">
        <f>IFERROR(__xludf.DUMMYFUNCTION("""COMPUTED_VALUE"""),131.0)</f>
        <v>131</v>
      </c>
      <c r="D161" s="233">
        <f>IFERROR(__xludf.DUMMYFUNCTION("""COMPUTED_VALUE"""),32670.0)</f>
        <v>32670</v>
      </c>
      <c r="E161" s="233">
        <f>IFERROR(__xludf.DUMMYFUNCTION("""COMPUTED_VALUE"""),6144.0)</f>
        <v>6144</v>
      </c>
      <c r="F161" s="171">
        <f>IFERROR(__xludf.DUMMYFUNCTION("""COMPUTED_VALUE"""),597969.0)</f>
        <v>597969</v>
      </c>
      <c r="G161" s="171">
        <f>IFERROR(__xludf.DUMMYFUNCTION("""COMPUTED_VALUE"""),6253.0)</f>
        <v>6253</v>
      </c>
      <c r="H161" s="171">
        <f>IFERROR(__xludf.DUMMYFUNCTION("""COMPUTED_VALUE"""),630639.0)</f>
        <v>630639</v>
      </c>
      <c r="I161" s="233">
        <f>IFERROR(__xludf.DUMMYFUNCTION("""COMPUTED_VALUE"""),97.0)</f>
        <v>97</v>
      </c>
      <c r="J161" s="233">
        <f>IFERROR(__xludf.DUMMYFUNCTION("""COMPUTED_VALUE"""),102.0)</f>
        <v>102</v>
      </c>
      <c r="K161" s="233">
        <f>IFERROR(__xludf.DUMMYFUNCTION("""COMPUTED_VALUE"""),22895.0)</f>
        <v>22895</v>
      </c>
      <c r="L161" s="233">
        <f>IFERROR(__xludf.DUMMYFUNCTION("""COMPUTED_VALUE"""),1507.0)</f>
        <v>1507</v>
      </c>
      <c r="M161" s="233">
        <f>IFERROR(__xludf.DUMMYFUNCTION("""COMPUTED_VALUE"""),282993.0)</f>
        <v>282993</v>
      </c>
      <c r="N161" s="233">
        <f>IFERROR(__xludf.DUMMYFUNCTION("""COMPUTED_VALUE"""),305888.0)</f>
        <v>305888</v>
      </c>
      <c r="O161" s="233">
        <f>IFERROR(__xludf.DUMMYFUNCTION("""COMPUTED_VALUE"""),8.0)</f>
        <v>8</v>
      </c>
      <c r="P161" s="233">
        <f>IFERROR(__xludf.DUMMYFUNCTION("""COMPUTED_VALUE"""),2666.0)</f>
        <v>2666</v>
      </c>
      <c r="Q161" s="233">
        <f>IFERROR(__xludf.DUMMYFUNCTION("""COMPUTED_VALUE"""),5.0)</f>
        <v>5</v>
      </c>
      <c r="R161" s="233">
        <f>IFERROR(__xludf.DUMMYFUNCTION("""COMPUTED_VALUE"""),2231.0)</f>
        <v>2231</v>
      </c>
      <c r="S161" s="233">
        <f>IFERROR(__xludf.DUMMYFUNCTION("""COMPUTED_VALUE"""),2.0)</f>
        <v>2</v>
      </c>
      <c r="T161" s="233">
        <f>IFERROR(__xludf.DUMMYFUNCTION("""COMPUTED_VALUE"""),343.0)</f>
        <v>343</v>
      </c>
      <c r="U161" s="233">
        <f>IFERROR(__xludf.DUMMYFUNCTION("""COMPUTED_VALUE"""),92.0)</f>
        <v>92</v>
      </c>
      <c r="V161" s="233">
        <f>IFERROR(__xludf.DUMMYFUNCTION("""COMPUTED_VALUE"""),91.0)</f>
        <v>91</v>
      </c>
      <c r="W161" s="233">
        <f>IFERROR(__xludf.DUMMYFUNCTION("""COMPUTED_VALUE"""),9.0)</f>
        <v>9</v>
      </c>
      <c r="X161" s="233">
        <f>IFERROR(__xludf.DUMMYFUNCTION("""COMPUTED_VALUE"""),5.0)</f>
        <v>5</v>
      </c>
      <c r="Y161" s="233">
        <f>IFERROR(__xludf.DUMMYFUNCTION("""COMPUTED_VALUE"""),3.0)</f>
        <v>3</v>
      </c>
      <c r="Z161" s="233">
        <f>IFERROR(__xludf.DUMMYFUNCTION("""COMPUTED_VALUE"""),1092.0)</f>
        <v>1092</v>
      </c>
    </row>
    <row r="162">
      <c r="A162" s="232">
        <f>IFERROR(__xludf.DUMMYFUNCTION("""COMPUTED_VALUE"""),44087.0)</f>
        <v>44087</v>
      </c>
      <c r="B162" s="233">
        <f>IFERROR(__xludf.DUMMYFUNCTION("""COMPUTED_VALUE"""),58.0)</f>
        <v>58</v>
      </c>
      <c r="C162" s="233">
        <f>IFERROR(__xludf.DUMMYFUNCTION("""COMPUTED_VALUE"""),96.0)</f>
        <v>96</v>
      </c>
      <c r="D162" s="233">
        <f>IFERROR(__xludf.DUMMYFUNCTION("""COMPUTED_VALUE"""),32728.0)</f>
        <v>32728</v>
      </c>
      <c r="E162" s="233">
        <f>IFERROR(__xludf.DUMMYFUNCTION("""COMPUTED_VALUE"""),2710.0)</f>
        <v>2710</v>
      </c>
      <c r="F162" s="171">
        <f>IFERROR(__xludf.DUMMYFUNCTION("""COMPUTED_VALUE"""),600679.0)</f>
        <v>600679</v>
      </c>
      <c r="G162" s="171">
        <f>IFERROR(__xludf.DUMMYFUNCTION("""COMPUTED_VALUE"""),2768.0)</f>
        <v>2768</v>
      </c>
      <c r="H162" s="171">
        <f>IFERROR(__xludf.DUMMYFUNCTION("""COMPUTED_VALUE"""),633407.0)</f>
        <v>633407</v>
      </c>
      <c r="I162" s="233">
        <f>IFERROR(__xludf.DUMMYFUNCTION("""COMPUTED_VALUE"""),54.0)</f>
        <v>54</v>
      </c>
      <c r="J162" s="233">
        <f>IFERROR(__xludf.DUMMYFUNCTION("""COMPUTED_VALUE"""),83.0)</f>
        <v>83</v>
      </c>
      <c r="K162" s="233">
        <f>IFERROR(__xludf.DUMMYFUNCTION("""COMPUTED_VALUE"""),22949.0)</f>
        <v>22949</v>
      </c>
      <c r="L162" s="233">
        <f>IFERROR(__xludf.DUMMYFUNCTION("""COMPUTED_VALUE"""),859.0)</f>
        <v>859</v>
      </c>
      <c r="M162" s="233">
        <f>IFERROR(__xludf.DUMMYFUNCTION("""COMPUTED_VALUE"""),283852.0)</f>
        <v>283852</v>
      </c>
      <c r="N162" s="233">
        <f>IFERROR(__xludf.DUMMYFUNCTION("""COMPUTED_VALUE"""),306801.0)</f>
        <v>306801</v>
      </c>
      <c r="O162" s="233">
        <f>IFERROR(__xludf.DUMMYFUNCTION("""COMPUTED_VALUE"""),4.0)</f>
        <v>4</v>
      </c>
      <c r="P162" s="233">
        <f>IFERROR(__xludf.DUMMYFUNCTION("""COMPUTED_VALUE"""),2670.0)</f>
        <v>2670</v>
      </c>
      <c r="Q162" s="233">
        <f>IFERROR(__xludf.DUMMYFUNCTION("""COMPUTED_VALUE"""),3.0)</f>
        <v>3</v>
      </c>
      <c r="R162" s="233">
        <f>IFERROR(__xludf.DUMMYFUNCTION("""COMPUTED_VALUE"""),2234.0)</f>
        <v>2234</v>
      </c>
      <c r="S162" s="233">
        <f>IFERROR(__xludf.DUMMYFUNCTION("""COMPUTED_VALUE"""),0.0)</f>
        <v>0</v>
      </c>
      <c r="T162" s="233">
        <f>IFERROR(__xludf.DUMMYFUNCTION("""COMPUTED_VALUE"""),343.0)</f>
        <v>343</v>
      </c>
      <c r="U162" s="233">
        <f>IFERROR(__xludf.DUMMYFUNCTION("""COMPUTED_VALUE"""),93.0)</f>
        <v>93</v>
      </c>
      <c r="V162" s="233">
        <f>IFERROR(__xludf.DUMMYFUNCTION("""COMPUTED_VALUE"""),92.0)</f>
        <v>92</v>
      </c>
      <c r="W162" s="233">
        <f>IFERROR(__xludf.DUMMYFUNCTION("""COMPUTED_VALUE"""),10.0)</f>
        <v>10</v>
      </c>
      <c r="X162" s="233">
        <f>IFERROR(__xludf.DUMMYFUNCTION("""COMPUTED_VALUE"""),5.0)</f>
        <v>5</v>
      </c>
      <c r="Y162" s="233">
        <f>IFERROR(__xludf.DUMMYFUNCTION("""COMPUTED_VALUE"""),0.0)</f>
        <v>0</v>
      </c>
      <c r="Z162" s="233">
        <f>IFERROR(__xludf.DUMMYFUNCTION("""COMPUTED_VALUE"""),1092.0)</f>
        <v>1092</v>
      </c>
    </row>
    <row r="163">
      <c r="A163" s="232">
        <f>IFERROR(__xludf.DUMMYFUNCTION("""COMPUTED_VALUE"""),44088.0)</f>
        <v>44088</v>
      </c>
      <c r="B163" s="233">
        <f>IFERROR(__xludf.DUMMYFUNCTION("""COMPUTED_VALUE"""),104.0)</f>
        <v>104</v>
      </c>
      <c r="C163" s="233">
        <f>IFERROR(__xludf.DUMMYFUNCTION("""COMPUTED_VALUE"""),90.0)</f>
        <v>90</v>
      </c>
      <c r="D163" s="233">
        <f>IFERROR(__xludf.DUMMYFUNCTION("""COMPUTED_VALUE"""),32832.0)</f>
        <v>32832</v>
      </c>
      <c r="E163" s="233">
        <f>IFERROR(__xludf.DUMMYFUNCTION("""COMPUTED_VALUE"""),6421.0)</f>
        <v>6421</v>
      </c>
      <c r="F163" s="171">
        <f>IFERROR(__xludf.DUMMYFUNCTION("""COMPUTED_VALUE"""),607100.0)</f>
        <v>607100</v>
      </c>
      <c r="G163" s="171">
        <f>IFERROR(__xludf.DUMMYFUNCTION("""COMPUTED_VALUE"""),6525.0)</f>
        <v>6525</v>
      </c>
      <c r="H163" s="171">
        <f>IFERROR(__xludf.DUMMYFUNCTION("""COMPUTED_VALUE"""),639932.0)</f>
        <v>639932</v>
      </c>
      <c r="I163" s="233">
        <f>IFERROR(__xludf.DUMMYFUNCTION("""COMPUTED_VALUE"""),95.0)</f>
        <v>95</v>
      </c>
      <c r="J163" s="233">
        <f>IFERROR(__xludf.DUMMYFUNCTION("""COMPUTED_VALUE"""),82.0)</f>
        <v>82</v>
      </c>
      <c r="K163" s="233">
        <f>IFERROR(__xludf.DUMMYFUNCTION("""COMPUTED_VALUE"""),23044.0)</f>
        <v>23044</v>
      </c>
      <c r="L163" s="233">
        <f>IFERROR(__xludf.DUMMYFUNCTION("""COMPUTED_VALUE"""),1725.0)</f>
        <v>1725</v>
      </c>
      <c r="M163" s="233">
        <f>IFERROR(__xludf.DUMMYFUNCTION("""COMPUTED_VALUE"""),285577.0)</f>
        <v>285577</v>
      </c>
      <c r="N163" s="233">
        <f>IFERROR(__xludf.DUMMYFUNCTION("""COMPUTED_VALUE"""),308621.0)</f>
        <v>308621</v>
      </c>
      <c r="O163" s="233">
        <f>IFERROR(__xludf.DUMMYFUNCTION("""COMPUTED_VALUE"""),5.0)</f>
        <v>5</v>
      </c>
      <c r="P163" s="233">
        <f>IFERROR(__xludf.DUMMYFUNCTION("""COMPUTED_VALUE"""),2675.0)</f>
        <v>2675</v>
      </c>
      <c r="Q163" s="233">
        <f>IFERROR(__xludf.DUMMYFUNCTION("""COMPUTED_VALUE"""),3.0)</f>
        <v>3</v>
      </c>
      <c r="R163" s="233">
        <f>IFERROR(__xludf.DUMMYFUNCTION("""COMPUTED_VALUE"""),2237.0)</f>
        <v>2237</v>
      </c>
      <c r="S163" s="233">
        <f>IFERROR(__xludf.DUMMYFUNCTION("""COMPUTED_VALUE"""),2.0)</f>
        <v>2</v>
      </c>
      <c r="T163" s="233">
        <f>IFERROR(__xludf.DUMMYFUNCTION("""COMPUTED_VALUE"""),345.0)</f>
        <v>345</v>
      </c>
      <c r="U163" s="233">
        <f>IFERROR(__xludf.DUMMYFUNCTION("""COMPUTED_VALUE"""),93.0)</f>
        <v>93</v>
      </c>
      <c r="V163" s="233">
        <f>IFERROR(__xludf.DUMMYFUNCTION("""COMPUTED_VALUE"""),93.0)</f>
        <v>93</v>
      </c>
      <c r="W163" s="233">
        <f>IFERROR(__xludf.DUMMYFUNCTION("""COMPUTED_VALUE"""),10.0)</f>
        <v>10</v>
      </c>
      <c r="X163" s="233">
        <f>IFERROR(__xludf.DUMMYFUNCTION("""COMPUTED_VALUE"""),5.0)</f>
        <v>5</v>
      </c>
      <c r="Y163" s="233">
        <f>IFERROR(__xludf.DUMMYFUNCTION("""COMPUTED_VALUE"""),1.0)</f>
        <v>1</v>
      </c>
      <c r="Z163" s="233">
        <f>IFERROR(__xludf.DUMMYFUNCTION("""COMPUTED_VALUE"""),1093.0)</f>
        <v>1093</v>
      </c>
    </row>
    <row r="164">
      <c r="A164" s="232">
        <f>IFERROR(__xludf.DUMMYFUNCTION("""COMPUTED_VALUE"""),44089.0)</f>
        <v>44089</v>
      </c>
      <c r="B164" s="233">
        <f>IFERROR(__xludf.DUMMYFUNCTION("""COMPUTED_VALUE"""),122.0)</f>
        <v>122</v>
      </c>
      <c r="C164" s="233">
        <f>IFERROR(__xludf.DUMMYFUNCTION("""COMPUTED_VALUE"""),95.0)</f>
        <v>95</v>
      </c>
      <c r="D164" s="233">
        <f>IFERROR(__xludf.DUMMYFUNCTION("""COMPUTED_VALUE"""),32954.0)</f>
        <v>32954</v>
      </c>
      <c r="E164" s="233">
        <f>IFERROR(__xludf.DUMMYFUNCTION("""COMPUTED_VALUE"""),8449.0)</f>
        <v>8449</v>
      </c>
      <c r="F164" s="171">
        <f>IFERROR(__xludf.DUMMYFUNCTION("""COMPUTED_VALUE"""),615549.0)</f>
        <v>615549</v>
      </c>
      <c r="G164" s="171">
        <f>IFERROR(__xludf.DUMMYFUNCTION("""COMPUTED_VALUE"""),8571.0)</f>
        <v>8571</v>
      </c>
      <c r="H164" s="171">
        <f>IFERROR(__xludf.DUMMYFUNCTION("""COMPUTED_VALUE"""),648503.0)</f>
        <v>648503</v>
      </c>
      <c r="I164" s="233">
        <f>IFERROR(__xludf.DUMMYFUNCTION("""COMPUTED_VALUE"""),124.0)</f>
        <v>124</v>
      </c>
      <c r="J164" s="233">
        <f>IFERROR(__xludf.DUMMYFUNCTION("""COMPUTED_VALUE"""),91.0)</f>
        <v>91</v>
      </c>
      <c r="K164" s="233">
        <f>IFERROR(__xludf.DUMMYFUNCTION("""COMPUTED_VALUE"""),23168.0)</f>
        <v>23168</v>
      </c>
      <c r="L164" s="233">
        <f>IFERROR(__xludf.DUMMYFUNCTION("""COMPUTED_VALUE"""),2191.0)</f>
        <v>2191</v>
      </c>
      <c r="M164" s="233">
        <f>IFERROR(__xludf.DUMMYFUNCTION("""COMPUTED_VALUE"""),287768.0)</f>
        <v>287768</v>
      </c>
      <c r="N164" s="233">
        <f>IFERROR(__xludf.DUMMYFUNCTION("""COMPUTED_VALUE"""),310936.0)</f>
        <v>310936</v>
      </c>
      <c r="O164" s="233">
        <f>IFERROR(__xludf.DUMMYFUNCTION("""COMPUTED_VALUE"""),7.0)</f>
        <v>7</v>
      </c>
      <c r="P164" s="233">
        <f>IFERROR(__xludf.DUMMYFUNCTION("""COMPUTED_VALUE"""),2682.0)</f>
        <v>2682</v>
      </c>
      <c r="Q164" s="233">
        <f>IFERROR(__xludf.DUMMYFUNCTION("""COMPUTED_VALUE"""),2.0)</f>
        <v>2</v>
      </c>
      <c r="R164" s="233">
        <f>IFERROR(__xludf.DUMMYFUNCTION("""COMPUTED_VALUE"""),2239.0)</f>
        <v>2239</v>
      </c>
      <c r="S164" s="233">
        <f>IFERROR(__xludf.DUMMYFUNCTION("""COMPUTED_VALUE"""),1.0)</f>
        <v>1</v>
      </c>
      <c r="T164" s="233">
        <f>IFERROR(__xludf.DUMMYFUNCTION("""COMPUTED_VALUE"""),346.0)</f>
        <v>346</v>
      </c>
      <c r="U164" s="233">
        <f>IFERROR(__xludf.DUMMYFUNCTION("""COMPUTED_VALUE"""),97.0)</f>
        <v>97</v>
      </c>
      <c r="V164" s="233">
        <f>IFERROR(__xludf.DUMMYFUNCTION("""COMPUTED_VALUE"""),94.0)</f>
        <v>94</v>
      </c>
      <c r="W164" s="233">
        <f>IFERROR(__xludf.DUMMYFUNCTION("""COMPUTED_VALUE"""),10.0)</f>
        <v>10</v>
      </c>
      <c r="X164" s="233">
        <f>IFERROR(__xludf.DUMMYFUNCTION("""COMPUTED_VALUE"""),5.0)</f>
        <v>5</v>
      </c>
      <c r="Y164" s="233">
        <f>IFERROR(__xludf.DUMMYFUNCTION("""COMPUTED_VALUE"""),2.0)</f>
        <v>2</v>
      </c>
      <c r="Z164" s="233">
        <f>IFERROR(__xludf.DUMMYFUNCTION("""COMPUTED_VALUE"""),1095.0)</f>
        <v>1095</v>
      </c>
    </row>
    <row r="165">
      <c r="A165" s="232">
        <f>IFERROR(__xludf.DUMMYFUNCTION("""COMPUTED_VALUE"""),44090.0)</f>
        <v>44090</v>
      </c>
      <c r="B165" s="233">
        <f>IFERROR(__xludf.DUMMYFUNCTION("""COMPUTED_VALUE"""),137.0)</f>
        <v>137</v>
      </c>
      <c r="C165" s="233">
        <f>IFERROR(__xludf.DUMMYFUNCTION("""COMPUTED_VALUE"""),121.0)</f>
        <v>121</v>
      </c>
      <c r="D165" s="233">
        <f>IFERROR(__xludf.DUMMYFUNCTION("""COMPUTED_VALUE"""),33091.0)</f>
        <v>33091</v>
      </c>
      <c r="E165" s="233">
        <f>IFERROR(__xludf.DUMMYFUNCTION("""COMPUTED_VALUE"""),9701.0)</f>
        <v>9701</v>
      </c>
      <c r="F165" s="171">
        <f>IFERROR(__xludf.DUMMYFUNCTION("""COMPUTED_VALUE"""),625250.0)</f>
        <v>625250</v>
      </c>
      <c r="G165" s="171">
        <f>IFERROR(__xludf.DUMMYFUNCTION("""COMPUTED_VALUE"""),9838.0)</f>
        <v>9838</v>
      </c>
      <c r="H165" s="171">
        <f>IFERROR(__xludf.DUMMYFUNCTION("""COMPUTED_VALUE"""),658341.0)</f>
        <v>658341</v>
      </c>
      <c r="I165" s="233">
        <f>IFERROR(__xludf.DUMMYFUNCTION("""COMPUTED_VALUE"""),118.0)</f>
        <v>118</v>
      </c>
      <c r="J165" s="233">
        <f>IFERROR(__xludf.DUMMYFUNCTION("""COMPUTED_VALUE"""),112.0)</f>
        <v>112</v>
      </c>
      <c r="K165" s="233">
        <f>IFERROR(__xludf.DUMMYFUNCTION("""COMPUTED_VALUE"""),23286.0)</f>
        <v>23286</v>
      </c>
      <c r="L165" s="233">
        <f>IFERROR(__xludf.DUMMYFUNCTION("""COMPUTED_VALUE"""),1970.0)</f>
        <v>1970</v>
      </c>
      <c r="M165" s="233">
        <f>IFERROR(__xludf.DUMMYFUNCTION("""COMPUTED_VALUE"""),289738.0)</f>
        <v>289738</v>
      </c>
      <c r="N165" s="233">
        <f>IFERROR(__xludf.DUMMYFUNCTION("""COMPUTED_VALUE"""),313024.0)</f>
        <v>313024</v>
      </c>
      <c r="O165" s="233">
        <f>IFERROR(__xludf.DUMMYFUNCTION("""COMPUTED_VALUE"""),7.0)</f>
        <v>7</v>
      </c>
      <c r="P165" s="233">
        <f>IFERROR(__xludf.DUMMYFUNCTION("""COMPUTED_VALUE"""),2689.0)</f>
        <v>2689</v>
      </c>
      <c r="Q165" s="233">
        <f>IFERROR(__xludf.DUMMYFUNCTION("""COMPUTED_VALUE"""),7.0)</f>
        <v>7</v>
      </c>
      <c r="R165" s="233">
        <f>IFERROR(__xludf.DUMMYFUNCTION("""COMPUTED_VALUE"""),2246.0)</f>
        <v>2246</v>
      </c>
      <c r="S165" s="233">
        <f>IFERROR(__xludf.DUMMYFUNCTION("""COMPUTED_VALUE"""),2.0)</f>
        <v>2</v>
      </c>
      <c r="T165" s="233">
        <f>IFERROR(__xludf.DUMMYFUNCTION("""COMPUTED_VALUE"""),348.0)</f>
        <v>348</v>
      </c>
      <c r="U165" s="233">
        <f>IFERROR(__xludf.DUMMYFUNCTION("""COMPUTED_VALUE"""),95.0)</f>
        <v>95</v>
      </c>
      <c r="V165" s="233">
        <f>IFERROR(__xludf.DUMMYFUNCTION("""COMPUTED_VALUE"""),95.0)</f>
        <v>95</v>
      </c>
      <c r="W165" s="233">
        <f>IFERROR(__xludf.DUMMYFUNCTION("""COMPUTED_VALUE"""),9.0)</f>
        <v>9</v>
      </c>
      <c r="X165" s="233">
        <f>IFERROR(__xludf.DUMMYFUNCTION("""COMPUTED_VALUE"""),6.0)</f>
        <v>6</v>
      </c>
      <c r="Y165" s="233">
        <f>IFERROR(__xludf.DUMMYFUNCTION("""COMPUTED_VALUE"""),5.0)</f>
        <v>5</v>
      </c>
      <c r="Z165" s="233">
        <f>IFERROR(__xludf.DUMMYFUNCTION("""COMPUTED_VALUE"""),1100.0)</f>
        <v>1100</v>
      </c>
    </row>
    <row r="166">
      <c r="A166" s="232">
        <f>IFERROR(__xludf.DUMMYFUNCTION("""COMPUTED_VALUE"""),44091.0)</f>
        <v>44091</v>
      </c>
      <c r="B166" s="233">
        <f>IFERROR(__xludf.DUMMYFUNCTION("""COMPUTED_VALUE"""),124.0)</f>
        <v>124</v>
      </c>
      <c r="C166" s="233">
        <f>IFERROR(__xludf.DUMMYFUNCTION("""COMPUTED_VALUE"""),128.0)</f>
        <v>128</v>
      </c>
      <c r="D166" s="233">
        <f>IFERROR(__xludf.DUMMYFUNCTION("""COMPUTED_VALUE"""),33215.0)</f>
        <v>33215</v>
      </c>
      <c r="E166" s="233">
        <f>IFERROR(__xludf.DUMMYFUNCTION("""COMPUTED_VALUE"""),9222.0)</f>
        <v>9222</v>
      </c>
      <c r="F166" s="171">
        <f>IFERROR(__xludf.DUMMYFUNCTION("""COMPUTED_VALUE"""),634472.0)</f>
        <v>634472</v>
      </c>
      <c r="G166" s="171">
        <f>IFERROR(__xludf.DUMMYFUNCTION("""COMPUTED_VALUE"""),9346.0)</f>
        <v>9346</v>
      </c>
      <c r="H166" s="171">
        <f>IFERROR(__xludf.DUMMYFUNCTION("""COMPUTED_VALUE"""),667687.0)</f>
        <v>667687</v>
      </c>
      <c r="I166" s="233">
        <f>IFERROR(__xludf.DUMMYFUNCTION("""COMPUTED_VALUE"""),154.0)</f>
        <v>154</v>
      </c>
      <c r="J166" s="233">
        <f>IFERROR(__xludf.DUMMYFUNCTION("""COMPUTED_VALUE"""),132.0)</f>
        <v>132</v>
      </c>
      <c r="K166" s="233">
        <f>IFERROR(__xludf.DUMMYFUNCTION("""COMPUTED_VALUE"""),23440.0)</f>
        <v>23440</v>
      </c>
      <c r="L166" s="233">
        <f>IFERROR(__xludf.DUMMYFUNCTION("""COMPUTED_VALUE"""),1950.0)</f>
        <v>1950</v>
      </c>
      <c r="M166" s="233">
        <f>IFERROR(__xludf.DUMMYFUNCTION("""COMPUTED_VALUE"""),291688.0)</f>
        <v>291688</v>
      </c>
      <c r="N166" s="233">
        <f>IFERROR(__xludf.DUMMYFUNCTION("""COMPUTED_VALUE"""),315128.0)</f>
        <v>315128</v>
      </c>
      <c r="O166" s="233">
        <f>IFERROR(__xludf.DUMMYFUNCTION("""COMPUTED_VALUE"""),7.0)</f>
        <v>7</v>
      </c>
      <c r="P166" s="233">
        <f>IFERROR(__xludf.DUMMYFUNCTION("""COMPUTED_VALUE"""),2696.0)</f>
        <v>2696</v>
      </c>
      <c r="Q166" s="233">
        <f>IFERROR(__xludf.DUMMYFUNCTION("""COMPUTED_VALUE"""),14.0)</f>
        <v>14</v>
      </c>
      <c r="R166" s="233">
        <f>IFERROR(__xludf.DUMMYFUNCTION("""COMPUTED_VALUE"""),2260.0)</f>
        <v>2260</v>
      </c>
      <c r="S166" s="233">
        <f>IFERROR(__xludf.DUMMYFUNCTION("""COMPUTED_VALUE"""),0.0)</f>
        <v>0</v>
      </c>
      <c r="T166" s="233">
        <f>IFERROR(__xludf.DUMMYFUNCTION("""COMPUTED_VALUE"""),348.0)</f>
        <v>348</v>
      </c>
      <c r="U166" s="233">
        <f>IFERROR(__xludf.DUMMYFUNCTION("""COMPUTED_VALUE"""),88.0)</f>
        <v>88</v>
      </c>
      <c r="V166" s="233">
        <f>IFERROR(__xludf.DUMMYFUNCTION("""COMPUTED_VALUE"""),93.0)</f>
        <v>93</v>
      </c>
      <c r="W166" s="233">
        <f>IFERROR(__xludf.DUMMYFUNCTION("""COMPUTED_VALUE"""),8.0)</f>
        <v>8</v>
      </c>
      <c r="X166" s="233">
        <f>IFERROR(__xludf.DUMMYFUNCTION("""COMPUTED_VALUE"""),4.0)</f>
        <v>4</v>
      </c>
      <c r="Y166" s="233">
        <f>IFERROR(__xludf.DUMMYFUNCTION("""COMPUTED_VALUE"""),0.0)</f>
        <v>0</v>
      </c>
      <c r="Z166" s="233">
        <f>IFERROR(__xludf.DUMMYFUNCTION("""COMPUTED_VALUE"""),1100.0)</f>
        <v>1100</v>
      </c>
    </row>
    <row r="167">
      <c r="A167" s="232">
        <f>IFERROR(__xludf.DUMMYFUNCTION("""COMPUTED_VALUE"""),44092.0)</f>
        <v>44092</v>
      </c>
      <c r="B167" s="233">
        <f>IFERROR(__xludf.DUMMYFUNCTION("""COMPUTED_VALUE"""),132.0)</f>
        <v>132</v>
      </c>
      <c r="C167" s="233">
        <f>IFERROR(__xludf.DUMMYFUNCTION("""COMPUTED_VALUE"""),131.0)</f>
        <v>131</v>
      </c>
      <c r="D167" s="233">
        <f>IFERROR(__xludf.DUMMYFUNCTION("""COMPUTED_VALUE"""),33347.0)</f>
        <v>33347</v>
      </c>
      <c r="E167" s="233">
        <f>IFERROR(__xludf.DUMMYFUNCTION("""COMPUTED_VALUE"""),10017.0)</f>
        <v>10017</v>
      </c>
      <c r="F167" s="171">
        <f>IFERROR(__xludf.DUMMYFUNCTION("""COMPUTED_VALUE"""),644489.0)</f>
        <v>644489</v>
      </c>
      <c r="G167" s="171">
        <f>IFERROR(__xludf.DUMMYFUNCTION("""COMPUTED_VALUE"""),10149.0)</f>
        <v>10149</v>
      </c>
      <c r="H167" s="171">
        <f>IFERROR(__xludf.DUMMYFUNCTION("""COMPUTED_VALUE"""),677836.0)</f>
        <v>677836</v>
      </c>
      <c r="I167" s="233">
        <f>IFERROR(__xludf.DUMMYFUNCTION("""COMPUTED_VALUE"""),132.0)</f>
        <v>132</v>
      </c>
      <c r="J167" s="233">
        <f>IFERROR(__xludf.DUMMYFUNCTION("""COMPUTED_VALUE"""),135.0)</f>
        <v>135</v>
      </c>
      <c r="K167" s="233">
        <f>IFERROR(__xludf.DUMMYFUNCTION("""COMPUTED_VALUE"""),23572.0)</f>
        <v>23572</v>
      </c>
      <c r="L167" s="233">
        <f>IFERROR(__xludf.DUMMYFUNCTION("""COMPUTED_VALUE"""),1936.0)</f>
        <v>1936</v>
      </c>
      <c r="M167" s="233">
        <f>IFERROR(__xludf.DUMMYFUNCTION("""COMPUTED_VALUE"""),293624.0)</f>
        <v>293624</v>
      </c>
      <c r="N167" s="233">
        <f>IFERROR(__xludf.DUMMYFUNCTION("""COMPUTED_VALUE"""),317196.0)</f>
        <v>317196</v>
      </c>
      <c r="O167" s="233">
        <f>IFERROR(__xludf.DUMMYFUNCTION("""COMPUTED_VALUE"""),7.0)</f>
        <v>7</v>
      </c>
      <c r="P167" s="233">
        <f>IFERROR(__xludf.DUMMYFUNCTION("""COMPUTED_VALUE"""),2703.0)</f>
        <v>2703</v>
      </c>
      <c r="Q167" s="233">
        <f>IFERROR(__xludf.DUMMYFUNCTION("""COMPUTED_VALUE"""),7.0)</f>
        <v>7</v>
      </c>
      <c r="R167" s="233">
        <f>IFERROR(__xludf.DUMMYFUNCTION("""COMPUTED_VALUE"""),2267.0)</f>
        <v>2267</v>
      </c>
      <c r="S167" s="233">
        <f>IFERROR(__xludf.DUMMYFUNCTION("""COMPUTED_VALUE"""),1.0)</f>
        <v>1</v>
      </c>
      <c r="T167" s="233">
        <f>IFERROR(__xludf.DUMMYFUNCTION("""COMPUTED_VALUE"""),349.0)</f>
        <v>349</v>
      </c>
      <c r="U167" s="233">
        <f>IFERROR(__xludf.DUMMYFUNCTION("""COMPUTED_VALUE"""),87.0)</f>
        <v>87</v>
      </c>
      <c r="V167" s="233">
        <f>IFERROR(__xludf.DUMMYFUNCTION("""COMPUTED_VALUE"""),90.0)</f>
        <v>90</v>
      </c>
      <c r="W167" s="233">
        <f>IFERROR(__xludf.DUMMYFUNCTION("""COMPUTED_VALUE"""),11.0)</f>
        <v>11</v>
      </c>
      <c r="X167" s="233">
        <f>IFERROR(__xludf.DUMMYFUNCTION("""COMPUTED_VALUE"""),6.0)</f>
        <v>6</v>
      </c>
      <c r="Y167" s="233">
        <f>IFERROR(__xludf.DUMMYFUNCTION("""COMPUTED_VALUE"""),2.0)</f>
        <v>2</v>
      </c>
      <c r="Z167" s="233">
        <f>IFERROR(__xludf.DUMMYFUNCTION("""COMPUTED_VALUE"""),1102.0)</f>
        <v>1102</v>
      </c>
    </row>
    <row r="168">
      <c r="A168" s="232">
        <f>IFERROR(__xludf.DUMMYFUNCTION("""COMPUTED_VALUE"""),44093.0)</f>
        <v>44093</v>
      </c>
      <c r="B168" s="233">
        <f>IFERROR(__xludf.DUMMYFUNCTION("""COMPUTED_VALUE"""),116.0)</f>
        <v>116</v>
      </c>
      <c r="C168" s="233">
        <f>IFERROR(__xludf.DUMMYFUNCTION("""COMPUTED_VALUE"""),124.0)</f>
        <v>124</v>
      </c>
      <c r="D168" s="233">
        <f>IFERROR(__xludf.DUMMYFUNCTION("""COMPUTED_VALUE"""),33463.0)</f>
        <v>33463</v>
      </c>
      <c r="E168" s="233">
        <f>IFERROR(__xludf.DUMMYFUNCTION("""COMPUTED_VALUE"""),8291.0)</f>
        <v>8291</v>
      </c>
      <c r="F168" s="171">
        <f>IFERROR(__xludf.DUMMYFUNCTION("""COMPUTED_VALUE"""),652780.0)</f>
        <v>652780</v>
      </c>
      <c r="G168" s="171">
        <f>IFERROR(__xludf.DUMMYFUNCTION("""COMPUTED_VALUE"""),8407.0)</f>
        <v>8407</v>
      </c>
      <c r="H168" s="171">
        <f>IFERROR(__xludf.DUMMYFUNCTION("""COMPUTED_VALUE"""),686243.0)</f>
        <v>686243</v>
      </c>
      <c r="I168" s="233">
        <f>IFERROR(__xludf.DUMMYFUNCTION("""COMPUTED_VALUE"""),112.0)</f>
        <v>112</v>
      </c>
      <c r="J168" s="233">
        <f>IFERROR(__xludf.DUMMYFUNCTION("""COMPUTED_VALUE"""),133.0)</f>
        <v>133</v>
      </c>
      <c r="K168" s="233">
        <f>IFERROR(__xludf.DUMMYFUNCTION("""COMPUTED_VALUE"""),23684.0)</f>
        <v>23684</v>
      </c>
      <c r="L168" s="233">
        <f>IFERROR(__xludf.DUMMYFUNCTION("""COMPUTED_VALUE"""),1698.0)</f>
        <v>1698</v>
      </c>
      <c r="M168" s="233">
        <f>IFERROR(__xludf.DUMMYFUNCTION("""COMPUTED_VALUE"""),295322.0)</f>
        <v>295322</v>
      </c>
      <c r="N168" s="233">
        <f>IFERROR(__xludf.DUMMYFUNCTION("""COMPUTED_VALUE"""),319006.0)</f>
        <v>319006</v>
      </c>
      <c r="O168" s="233">
        <f>IFERROR(__xludf.DUMMYFUNCTION("""COMPUTED_VALUE"""),7.0)</f>
        <v>7</v>
      </c>
      <c r="P168" s="233">
        <f>IFERROR(__xludf.DUMMYFUNCTION("""COMPUTED_VALUE"""),2710.0)</f>
        <v>2710</v>
      </c>
      <c r="Q168" s="233">
        <f>IFERROR(__xludf.DUMMYFUNCTION("""COMPUTED_VALUE"""),3.0)</f>
        <v>3</v>
      </c>
      <c r="R168" s="233">
        <f>IFERROR(__xludf.DUMMYFUNCTION("""COMPUTED_VALUE"""),2270.0)</f>
        <v>2270</v>
      </c>
      <c r="S168" s="233">
        <f>IFERROR(__xludf.DUMMYFUNCTION("""COMPUTED_VALUE"""),0.0)</f>
        <v>0</v>
      </c>
      <c r="T168" s="233">
        <f>IFERROR(__xludf.DUMMYFUNCTION("""COMPUTED_VALUE"""),349.0)</f>
        <v>349</v>
      </c>
      <c r="U168" s="233">
        <f>IFERROR(__xludf.DUMMYFUNCTION("""COMPUTED_VALUE"""),91.0)</f>
        <v>91</v>
      </c>
      <c r="V168" s="233">
        <f>IFERROR(__xludf.DUMMYFUNCTION("""COMPUTED_VALUE"""),89.0)</f>
        <v>89</v>
      </c>
      <c r="W168" s="233">
        <f>IFERROR(__xludf.DUMMYFUNCTION("""COMPUTED_VALUE"""),10.0)</f>
        <v>10</v>
      </c>
      <c r="X168" s="233">
        <f>IFERROR(__xludf.DUMMYFUNCTION("""COMPUTED_VALUE"""),6.0)</f>
        <v>6</v>
      </c>
      <c r="Y168" s="233">
        <f>IFERROR(__xludf.DUMMYFUNCTION("""COMPUTED_VALUE"""),4.0)</f>
        <v>4</v>
      </c>
      <c r="Z168" s="233">
        <f>IFERROR(__xludf.DUMMYFUNCTION("""COMPUTED_VALUE"""),1106.0)</f>
        <v>1106</v>
      </c>
    </row>
    <row r="169">
      <c r="A169" s="232">
        <f>IFERROR(__xludf.DUMMYFUNCTION("""COMPUTED_VALUE"""),44094.0)</f>
        <v>44094</v>
      </c>
      <c r="B169" s="233">
        <f>IFERROR(__xludf.DUMMYFUNCTION("""COMPUTED_VALUE"""),60.0)</f>
        <v>60</v>
      </c>
      <c r="C169" s="233">
        <f>IFERROR(__xludf.DUMMYFUNCTION("""COMPUTED_VALUE"""),103.0)</f>
        <v>103</v>
      </c>
      <c r="D169" s="233">
        <f>IFERROR(__xludf.DUMMYFUNCTION("""COMPUTED_VALUE"""),33523.0)</f>
        <v>33523</v>
      </c>
      <c r="E169" s="233">
        <f>IFERROR(__xludf.DUMMYFUNCTION("""COMPUTED_VALUE"""),3668.0)</f>
        <v>3668</v>
      </c>
      <c r="F169" s="171">
        <f>IFERROR(__xludf.DUMMYFUNCTION("""COMPUTED_VALUE"""),656448.0)</f>
        <v>656448</v>
      </c>
      <c r="G169" s="171">
        <f>IFERROR(__xludf.DUMMYFUNCTION("""COMPUTED_VALUE"""),3728.0)</f>
        <v>3728</v>
      </c>
      <c r="H169" s="171">
        <f>IFERROR(__xludf.DUMMYFUNCTION("""COMPUTED_VALUE"""),689971.0)</f>
        <v>689971</v>
      </c>
      <c r="I169" s="233">
        <f>IFERROR(__xludf.DUMMYFUNCTION("""COMPUTED_VALUE"""),48.0)</f>
        <v>48</v>
      </c>
      <c r="J169" s="233">
        <f>IFERROR(__xludf.DUMMYFUNCTION("""COMPUTED_VALUE"""),97.0)</f>
        <v>97</v>
      </c>
      <c r="K169" s="233">
        <f>IFERROR(__xludf.DUMMYFUNCTION("""COMPUTED_VALUE"""),23732.0)</f>
        <v>23732</v>
      </c>
      <c r="L169" s="233">
        <f>IFERROR(__xludf.DUMMYFUNCTION("""COMPUTED_VALUE"""),1325.0)</f>
        <v>1325</v>
      </c>
      <c r="M169" s="233">
        <f>IFERROR(__xludf.DUMMYFUNCTION("""COMPUTED_VALUE"""),296647.0)</f>
        <v>296647</v>
      </c>
      <c r="N169" s="233">
        <f>IFERROR(__xludf.DUMMYFUNCTION("""COMPUTED_VALUE"""),320379.0)</f>
        <v>320379</v>
      </c>
      <c r="O169" s="233">
        <f>IFERROR(__xludf.DUMMYFUNCTION("""COMPUTED_VALUE"""),7.0)</f>
        <v>7</v>
      </c>
      <c r="P169" s="233">
        <f>IFERROR(__xludf.DUMMYFUNCTION("""COMPUTED_VALUE"""),2717.0)</f>
        <v>2717</v>
      </c>
      <c r="Q169" s="233">
        <f>IFERROR(__xludf.DUMMYFUNCTION("""COMPUTED_VALUE"""),6.0)</f>
        <v>6</v>
      </c>
      <c r="R169" s="233">
        <f>IFERROR(__xludf.DUMMYFUNCTION("""COMPUTED_VALUE"""),2276.0)</f>
        <v>2276</v>
      </c>
      <c r="S169" s="233">
        <f>IFERROR(__xludf.DUMMYFUNCTION("""COMPUTED_VALUE"""),2.0)</f>
        <v>2</v>
      </c>
      <c r="T169" s="233">
        <f>IFERROR(__xludf.DUMMYFUNCTION("""COMPUTED_VALUE"""),351.0)</f>
        <v>351</v>
      </c>
      <c r="U169" s="233">
        <f>IFERROR(__xludf.DUMMYFUNCTION("""COMPUTED_VALUE"""),90.0)</f>
        <v>90</v>
      </c>
      <c r="V169" s="233">
        <f>IFERROR(__xludf.DUMMYFUNCTION("""COMPUTED_VALUE"""),89.0)</f>
        <v>89</v>
      </c>
      <c r="W169" s="233">
        <f>IFERROR(__xludf.DUMMYFUNCTION("""COMPUTED_VALUE"""),9.0)</f>
        <v>9</v>
      </c>
      <c r="X169" s="233">
        <f>IFERROR(__xludf.DUMMYFUNCTION("""COMPUTED_VALUE"""),8.0)</f>
        <v>8</v>
      </c>
      <c r="Y169" s="233">
        <f>IFERROR(__xludf.DUMMYFUNCTION("""COMPUTED_VALUE"""),4.0)</f>
        <v>4</v>
      </c>
      <c r="Z169" s="233">
        <f>IFERROR(__xludf.DUMMYFUNCTION("""COMPUTED_VALUE"""),1110.0)</f>
        <v>1110</v>
      </c>
    </row>
    <row r="170">
      <c r="A170" s="232">
        <f>IFERROR(__xludf.DUMMYFUNCTION("""COMPUTED_VALUE"""),44095.0)</f>
        <v>44095</v>
      </c>
      <c r="B170" s="233">
        <f>IFERROR(__xludf.DUMMYFUNCTION("""COMPUTED_VALUE"""),103.0)</f>
        <v>103</v>
      </c>
      <c r="C170" s="233">
        <f>IFERROR(__xludf.DUMMYFUNCTION("""COMPUTED_VALUE"""),93.0)</f>
        <v>93</v>
      </c>
      <c r="D170" s="233">
        <f>IFERROR(__xludf.DUMMYFUNCTION("""COMPUTED_VALUE"""),33626.0)</f>
        <v>33626</v>
      </c>
      <c r="E170" s="233">
        <f>IFERROR(__xludf.DUMMYFUNCTION("""COMPUTED_VALUE"""),7002.0)</f>
        <v>7002</v>
      </c>
      <c r="F170" s="171">
        <f>IFERROR(__xludf.DUMMYFUNCTION("""COMPUTED_VALUE"""),663450.0)</f>
        <v>663450</v>
      </c>
      <c r="G170" s="171">
        <f>IFERROR(__xludf.DUMMYFUNCTION("""COMPUTED_VALUE"""),7105.0)</f>
        <v>7105</v>
      </c>
      <c r="H170" s="171">
        <f>IFERROR(__xludf.DUMMYFUNCTION("""COMPUTED_VALUE"""),697076.0)</f>
        <v>697076</v>
      </c>
      <c r="I170" s="233">
        <f>IFERROR(__xludf.DUMMYFUNCTION("""COMPUTED_VALUE"""),94.0)</f>
        <v>94</v>
      </c>
      <c r="J170" s="233">
        <f>IFERROR(__xludf.DUMMYFUNCTION("""COMPUTED_VALUE"""),85.0)</f>
        <v>85</v>
      </c>
      <c r="K170" s="233">
        <f>IFERROR(__xludf.DUMMYFUNCTION("""COMPUTED_VALUE"""),23826.0)</f>
        <v>23826</v>
      </c>
      <c r="L170" s="233">
        <f>IFERROR(__xludf.DUMMYFUNCTION("""COMPUTED_VALUE"""),2414.0)</f>
        <v>2414</v>
      </c>
      <c r="M170" s="233">
        <f>IFERROR(__xludf.DUMMYFUNCTION("""COMPUTED_VALUE"""),299061.0)</f>
        <v>299061</v>
      </c>
      <c r="N170" s="233">
        <f>IFERROR(__xludf.DUMMYFUNCTION("""COMPUTED_VALUE"""),322887.0)</f>
        <v>322887</v>
      </c>
      <c r="O170" s="233">
        <f>IFERROR(__xludf.DUMMYFUNCTION("""COMPUTED_VALUE"""),12.0)</f>
        <v>12</v>
      </c>
      <c r="P170" s="233">
        <f>IFERROR(__xludf.DUMMYFUNCTION("""COMPUTED_VALUE"""),2729.0)</f>
        <v>2729</v>
      </c>
      <c r="Q170" s="233">
        <f>IFERROR(__xludf.DUMMYFUNCTION("""COMPUTED_VALUE"""),3.0)</f>
        <v>3</v>
      </c>
      <c r="R170" s="233">
        <f>IFERROR(__xludf.DUMMYFUNCTION("""COMPUTED_VALUE"""),2279.0)</f>
        <v>2279</v>
      </c>
      <c r="S170" s="233">
        <f>IFERROR(__xludf.DUMMYFUNCTION("""COMPUTED_VALUE"""),2.0)</f>
        <v>2</v>
      </c>
      <c r="T170" s="233">
        <f>IFERROR(__xludf.DUMMYFUNCTION("""COMPUTED_VALUE"""),353.0)</f>
        <v>353</v>
      </c>
      <c r="U170" s="233">
        <f>IFERROR(__xludf.DUMMYFUNCTION("""COMPUTED_VALUE"""),97.0)</f>
        <v>97</v>
      </c>
      <c r="V170" s="233">
        <f>IFERROR(__xludf.DUMMYFUNCTION("""COMPUTED_VALUE"""),93.0)</f>
        <v>93</v>
      </c>
      <c r="W170" s="233">
        <f>IFERROR(__xludf.DUMMYFUNCTION("""COMPUTED_VALUE"""),8.0)</f>
        <v>8</v>
      </c>
      <c r="X170" s="233">
        <f>IFERROR(__xludf.DUMMYFUNCTION("""COMPUTED_VALUE"""),6.0)</f>
        <v>6</v>
      </c>
      <c r="Y170" s="233">
        <f>IFERROR(__xludf.DUMMYFUNCTION("""COMPUTED_VALUE"""),2.0)</f>
        <v>2</v>
      </c>
      <c r="Z170" s="233">
        <f>IFERROR(__xludf.DUMMYFUNCTION("""COMPUTED_VALUE"""),1112.0)</f>
        <v>1112</v>
      </c>
    </row>
    <row r="171">
      <c r="A171" s="232">
        <f>IFERROR(__xludf.DUMMYFUNCTION("""COMPUTED_VALUE"""),44096.0)</f>
        <v>44096</v>
      </c>
      <c r="B171" s="233">
        <f>IFERROR(__xludf.DUMMYFUNCTION("""COMPUTED_VALUE"""),154.0)</f>
        <v>154</v>
      </c>
      <c r="C171" s="233">
        <f>IFERROR(__xludf.DUMMYFUNCTION("""COMPUTED_VALUE"""),106.0)</f>
        <v>106</v>
      </c>
      <c r="D171" s="233">
        <f>IFERROR(__xludf.DUMMYFUNCTION("""COMPUTED_VALUE"""),33780.0)</f>
        <v>33780</v>
      </c>
      <c r="E171" s="233">
        <f>IFERROR(__xludf.DUMMYFUNCTION("""COMPUTED_VALUE"""),9269.0)</f>
        <v>9269</v>
      </c>
      <c r="F171" s="171">
        <f>IFERROR(__xludf.DUMMYFUNCTION("""COMPUTED_VALUE"""),672719.0)</f>
        <v>672719</v>
      </c>
      <c r="G171" s="171">
        <f>IFERROR(__xludf.DUMMYFUNCTION("""COMPUTED_VALUE"""),9423.0)</f>
        <v>9423</v>
      </c>
      <c r="H171" s="171">
        <f>IFERROR(__xludf.DUMMYFUNCTION("""COMPUTED_VALUE"""),706499.0)</f>
        <v>706499</v>
      </c>
      <c r="I171" s="233">
        <f>IFERROR(__xludf.DUMMYFUNCTION("""COMPUTED_VALUE"""),125.0)</f>
        <v>125</v>
      </c>
      <c r="J171" s="233">
        <f>IFERROR(__xludf.DUMMYFUNCTION("""COMPUTED_VALUE"""),89.0)</f>
        <v>89</v>
      </c>
      <c r="K171" s="233">
        <f>IFERROR(__xludf.DUMMYFUNCTION("""COMPUTED_VALUE"""),23951.0)</f>
        <v>23951</v>
      </c>
      <c r="L171" s="233">
        <f>IFERROR(__xludf.DUMMYFUNCTION("""COMPUTED_VALUE"""),2206.0)</f>
        <v>2206</v>
      </c>
      <c r="M171" s="233">
        <f>IFERROR(__xludf.DUMMYFUNCTION("""COMPUTED_VALUE"""),301267.0)</f>
        <v>301267</v>
      </c>
      <c r="N171" s="233">
        <f>IFERROR(__xludf.DUMMYFUNCTION("""COMPUTED_VALUE"""),325218.0)</f>
        <v>325218</v>
      </c>
      <c r="O171" s="233">
        <f>IFERROR(__xludf.DUMMYFUNCTION("""COMPUTED_VALUE"""),12.0)</f>
        <v>12</v>
      </c>
      <c r="P171" s="233">
        <f>IFERROR(__xludf.DUMMYFUNCTION("""COMPUTED_VALUE"""),2741.0)</f>
        <v>2741</v>
      </c>
      <c r="Q171" s="233">
        <f>IFERROR(__xludf.DUMMYFUNCTION("""COMPUTED_VALUE"""),3.0)</f>
        <v>3</v>
      </c>
      <c r="R171" s="233">
        <f>IFERROR(__xludf.DUMMYFUNCTION("""COMPUTED_VALUE"""),2282.0)</f>
        <v>2282</v>
      </c>
      <c r="S171" s="233">
        <f>IFERROR(__xludf.DUMMYFUNCTION("""COMPUTED_VALUE"""),1.0)</f>
        <v>1</v>
      </c>
      <c r="T171" s="233">
        <f>IFERROR(__xludf.DUMMYFUNCTION("""COMPUTED_VALUE"""),354.0)</f>
        <v>354</v>
      </c>
      <c r="U171" s="233">
        <f>IFERROR(__xludf.DUMMYFUNCTION("""COMPUTED_VALUE"""),105.0)</f>
        <v>105</v>
      </c>
      <c r="V171" s="233">
        <f>IFERROR(__xludf.DUMMYFUNCTION("""COMPUTED_VALUE"""),97.0)</f>
        <v>97</v>
      </c>
      <c r="W171" s="233">
        <f>IFERROR(__xludf.DUMMYFUNCTION("""COMPUTED_VALUE"""),7.0)</f>
        <v>7</v>
      </c>
      <c r="X171" s="233">
        <f>IFERROR(__xludf.DUMMYFUNCTION("""COMPUTED_VALUE"""),5.0)</f>
        <v>5</v>
      </c>
      <c r="Y171" s="233">
        <f>IFERROR(__xludf.DUMMYFUNCTION("""COMPUTED_VALUE"""),1.0)</f>
        <v>1</v>
      </c>
      <c r="Z171" s="233">
        <f>IFERROR(__xludf.DUMMYFUNCTION("""COMPUTED_VALUE"""),1113.0)</f>
        <v>1113</v>
      </c>
    </row>
    <row r="172">
      <c r="A172" s="232">
        <f>IFERROR(__xludf.DUMMYFUNCTION("""COMPUTED_VALUE"""),44097.0)</f>
        <v>44097</v>
      </c>
      <c r="B172" s="233">
        <f>IFERROR(__xludf.DUMMYFUNCTION("""COMPUTED_VALUE"""),136.0)</f>
        <v>136</v>
      </c>
      <c r="C172" s="233">
        <f>IFERROR(__xludf.DUMMYFUNCTION("""COMPUTED_VALUE"""),131.0)</f>
        <v>131</v>
      </c>
      <c r="D172" s="233">
        <f>IFERROR(__xludf.DUMMYFUNCTION("""COMPUTED_VALUE"""),33916.0)</f>
        <v>33916</v>
      </c>
      <c r="E172" s="233">
        <f>IFERROR(__xludf.DUMMYFUNCTION("""COMPUTED_VALUE"""),10626.0)</f>
        <v>10626</v>
      </c>
      <c r="F172" s="171">
        <f>IFERROR(__xludf.DUMMYFUNCTION("""COMPUTED_VALUE"""),683345.0)</f>
        <v>683345</v>
      </c>
      <c r="G172" s="171">
        <f>IFERROR(__xludf.DUMMYFUNCTION("""COMPUTED_VALUE"""),10762.0)</f>
        <v>10762</v>
      </c>
      <c r="H172" s="171">
        <f>IFERROR(__xludf.DUMMYFUNCTION("""COMPUTED_VALUE"""),717261.0)</f>
        <v>717261</v>
      </c>
      <c r="I172" s="233">
        <f>IFERROR(__xludf.DUMMYFUNCTION("""COMPUTED_VALUE"""),127.0)</f>
        <v>127</v>
      </c>
      <c r="J172" s="233">
        <f>IFERROR(__xludf.DUMMYFUNCTION("""COMPUTED_VALUE"""),115.0)</f>
        <v>115</v>
      </c>
      <c r="K172" s="233">
        <f>IFERROR(__xludf.DUMMYFUNCTION("""COMPUTED_VALUE"""),24078.0)</f>
        <v>24078</v>
      </c>
      <c r="L172" s="233">
        <f>IFERROR(__xludf.DUMMYFUNCTION("""COMPUTED_VALUE"""),2218.0)</f>
        <v>2218</v>
      </c>
      <c r="M172" s="233">
        <f>IFERROR(__xludf.DUMMYFUNCTION("""COMPUTED_VALUE"""),303485.0)</f>
        <v>303485</v>
      </c>
      <c r="N172" s="233">
        <f>IFERROR(__xludf.DUMMYFUNCTION("""COMPUTED_VALUE"""),327563.0)</f>
        <v>327563</v>
      </c>
      <c r="O172" s="233">
        <f>IFERROR(__xludf.DUMMYFUNCTION("""COMPUTED_VALUE"""),12.0)</f>
        <v>12</v>
      </c>
      <c r="P172" s="233">
        <f>IFERROR(__xludf.DUMMYFUNCTION("""COMPUTED_VALUE"""),2753.0)</f>
        <v>2753</v>
      </c>
      <c r="Q172" s="233">
        <f>IFERROR(__xludf.DUMMYFUNCTION("""COMPUTED_VALUE"""),7.0)</f>
        <v>7</v>
      </c>
      <c r="R172" s="233">
        <f>IFERROR(__xludf.DUMMYFUNCTION("""COMPUTED_VALUE"""),2289.0)</f>
        <v>2289</v>
      </c>
      <c r="S172" s="233">
        <f>IFERROR(__xludf.DUMMYFUNCTION("""COMPUTED_VALUE"""),0.0)</f>
        <v>0</v>
      </c>
      <c r="T172" s="233">
        <f>IFERROR(__xludf.DUMMYFUNCTION("""COMPUTED_VALUE"""),354.0)</f>
        <v>354</v>
      </c>
      <c r="U172" s="233">
        <f>IFERROR(__xludf.DUMMYFUNCTION("""COMPUTED_VALUE"""),110.0)</f>
        <v>110</v>
      </c>
      <c r="V172" s="233">
        <f>IFERROR(__xludf.DUMMYFUNCTION("""COMPUTED_VALUE"""),104.0)</f>
        <v>104</v>
      </c>
      <c r="W172" s="233">
        <f>IFERROR(__xludf.DUMMYFUNCTION("""COMPUTED_VALUE"""),6.0)</f>
        <v>6</v>
      </c>
      <c r="X172" s="233">
        <f>IFERROR(__xludf.DUMMYFUNCTION("""COMPUTED_VALUE"""),5.0)</f>
        <v>5</v>
      </c>
      <c r="Y172" s="233">
        <f>IFERROR(__xludf.DUMMYFUNCTION("""COMPUTED_VALUE"""),0.0)</f>
        <v>0</v>
      </c>
      <c r="Z172" s="233">
        <f>IFERROR(__xludf.DUMMYFUNCTION("""COMPUTED_VALUE"""),1113.0)</f>
        <v>1113</v>
      </c>
    </row>
    <row r="173">
      <c r="A173" s="232">
        <f>IFERROR(__xludf.DUMMYFUNCTION("""COMPUTED_VALUE"""),44098.0)</f>
        <v>44098</v>
      </c>
      <c r="B173" s="233">
        <f>IFERROR(__xludf.DUMMYFUNCTION("""COMPUTED_VALUE"""),119.0)</f>
        <v>119</v>
      </c>
      <c r="C173" s="233">
        <f>IFERROR(__xludf.DUMMYFUNCTION("""COMPUTED_VALUE"""),136.0)</f>
        <v>136</v>
      </c>
      <c r="D173" s="233">
        <f>IFERROR(__xludf.DUMMYFUNCTION("""COMPUTED_VALUE"""),34035.0)</f>
        <v>34035</v>
      </c>
      <c r="E173" s="233">
        <f>IFERROR(__xludf.DUMMYFUNCTION("""COMPUTED_VALUE"""),12453.0)</f>
        <v>12453</v>
      </c>
      <c r="F173" s="171">
        <f>IFERROR(__xludf.DUMMYFUNCTION("""COMPUTED_VALUE"""),695798.0)</f>
        <v>695798</v>
      </c>
      <c r="G173" s="171">
        <f>IFERROR(__xludf.DUMMYFUNCTION("""COMPUTED_VALUE"""),12572.0)</f>
        <v>12572</v>
      </c>
      <c r="H173" s="171">
        <f>IFERROR(__xludf.DUMMYFUNCTION("""COMPUTED_VALUE"""),729833.0)</f>
        <v>729833</v>
      </c>
      <c r="I173" s="233">
        <f>IFERROR(__xludf.DUMMYFUNCTION("""COMPUTED_VALUE"""),119.0)</f>
        <v>119</v>
      </c>
      <c r="J173" s="233">
        <f>IFERROR(__xludf.DUMMYFUNCTION("""COMPUTED_VALUE"""),124.0)</f>
        <v>124</v>
      </c>
      <c r="K173" s="233">
        <f>IFERROR(__xludf.DUMMYFUNCTION("""COMPUTED_VALUE"""),24197.0)</f>
        <v>24197</v>
      </c>
      <c r="L173" s="233">
        <f>IFERROR(__xludf.DUMMYFUNCTION("""COMPUTED_VALUE"""),3169.0)</f>
        <v>3169</v>
      </c>
      <c r="M173" s="233">
        <f>IFERROR(__xludf.DUMMYFUNCTION("""COMPUTED_VALUE"""),306654.0)</f>
        <v>306654</v>
      </c>
      <c r="N173" s="233">
        <f>IFERROR(__xludf.DUMMYFUNCTION("""COMPUTED_VALUE"""),330851.0)</f>
        <v>330851</v>
      </c>
      <c r="O173" s="233">
        <f>IFERROR(__xludf.DUMMYFUNCTION("""COMPUTED_VALUE"""),7.0)</f>
        <v>7</v>
      </c>
      <c r="P173" s="233">
        <f>IFERROR(__xludf.DUMMYFUNCTION("""COMPUTED_VALUE"""),2760.0)</f>
        <v>2760</v>
      </c>
      <c r="Q173" s="233">
        <f>IFERROR(__xludf.DUMMYFUNCTION("""COMPUTED_VALUE"""),9.0)</f>
        <v>9</v>
      </c>
      <c r="R173" s="233">
        <f>IFERROR(__xludf.DUMMYFUNCTION("""COMPUTED_VALUE"""),2298.0)</f>
        <v>2298</v>
      </c>
      <c r="S173" s="233">
        <f>IFERROR(__xludf.DUMMYFUNCTION("""COMPUTED_VALUE"""),1.0)</f>
        <v>1</v>
      </c>
      <c r="T173" s="233">
        <f>IFERROR(__xludf.DUMMYFUNCTION("""COMPUTED_VALUE"""),355.0)</f>
        <v>355</v>
      </c>
      <c r="U173" s="233">
        <f>IFERROR(__xludf.DUMMYFUNCTION("""COMPUTED_VALUE"""),107.0)</f>
        <v>107</v>
      </c>
      <c r="V173" s="233">
        <f>IFERROR(__xludf.DUMMYFUNCTION("""COMPUTED_VALUE"""),107.0)</f>
        <v>107</v>
      </c>
      <c r="W173" s="233">
        <f>IFERROR(__xludf.DUMMYFUNCTION("""COMPUTED_VALUE"""),7.0)</f>
        <v>7</v>
      </c>
      <c r="X173" s="233">
        <f>IFERROR(__xludf.DUMMYFUNCTION("""COMPUTED_VALUE"""),5.0)</f>
        <v>5</v>
      </c>
      <c r="Y173" s="233">
        <f>IFERROR(__xludf.DUMMYFUNCTION("""COMPUTED_VALUE"""),1.0)</f>
        <v>1</v>
      </c>
      <c r="Z173" s="233">
        <f>IFERROR(__xludf.DUMMYFUNCTION("""COMPUTED_VALUE"""),1114.0)</f>
        <v>1114</v>
      </c>
    </row>
    <row r="174">
      <c r="A174" s="232">
        <f>IFERROR(__xludf.DUMMYFUNCTION("""COMPUTED_VALUE"""),44099.0)</f>
        <v>44099</v>
      </c>
      <c r="B174" s="233">
        <f>IFERROR(__xludf.DUMMYFUNCTION("""COMPUTED_VALUE"""),149.0)</f>
        <v>149</v>
      </c>
      <c r="C174" s="233">
        <f>IFERROR(__xludf.DUMMYFUNCTION("""COMPUTED_VALUE"""),135.0)</f>
        <v>135</v>
      </c>
      <c r="D174" s="233">
        <f>IFERROR(__xludf.DUMMYFUNCTION("""COMPUTED_VALUE"""),34184.0)</f>
        <v>34184</v>
      </c>
      <c r="E174" s="233">
        <f>IFERROR(__xludf.DUMMYFUNCTION("""COMPUTED_VALUE"""),10534.0)</f>
        <v>10534</v>
      </c>
      <c r="F174" s="171">
        <f>IFERROR(__xludf.DUMMYFUNCTION("""COMPUTED_VALUE"""),706332.0)</f>
        <v>706332</v>
      </c>
      <c r="G174" s="171">
        <f>IFERROR(__xludf.DUMMYFUNCTION("""COMPUTED_VALUE"""),10683.0)</f>
        <v>10683</v>
      </c>
      <c r="H174" s="171">
        <f>IFERROR(__xludf.DUMMYFUNCTION("""COMPUTED_VALUE"""),740516.0)</f>
        <v>740516</v>
      </c>
      <c r="I174" s="233">
        <f>IFERROR(__xludf.DUMMYFUNCTION("""COMPUTED_VALUE"""),142.0)</f>
        <v>142</v>
      </c>
      <c r="J174" s="233">
        <f>IFERROR(__xludf.DUMMYFUNCTION("""COMPUTED_VALUE"""),129.0)</f>
        <v>129</v>
      </c>
      <c r="K174" s="233">
        <f>IFERROR(__xludf.DUMMYFUNCTION("""COMPUTED_VALUE"""),24339.0)</f>
        <v>24339</v>
      </c>
      <c r="L174" s="233">
        <f>IFERROR(__xludf.DUMMYFUNCTION("""COMPUTED_VALUE"""),3017.0)</f>
        <v>3017</v>
      </c>
      <c r="M174" s="233">
        <f>IFERROR(__xludf.DUMMYFUNCTION("""COMPUTED_VALUE"""),309671.0)</f>
        <v>309671</v>
      </c>
      <c r="N174" s="233">
        <f>IFERROR(__xludf.DUMMYFUNCTION("""COMPUTED_VALUE"""),334010.0)</f>
        <v>334010</v>
      </c>
      <c r="O174" s="233">
        <f>IFERROR(__xludf.DUMMYFUNCTION("""COMPUTED_VALUE"""),9.0)</f>
        <v>9</v>
      </c>
      <c r="P174" s="233">
        <f>IFERROR(__xludf.DUMMYFUNCTION("""COMPUTED_VALUE"""),2769.0)</f>
        <v>2769</v>
      </c>
      <c r="Q174" s="233">
        <f>IFERROR(__xludf.DUMMYFUNCTION("""COMPUTED_VALUE"""),10.0)</f>
        <v>10</v>
      </c>
      <c r="R174" s="233">
        <f>IFERROR(__xludf.DUMMYFUNCTION("""COMPUTED_VALUE"""),2308.0)</f>
        <v>2308</v>
      </c>
      <c r="S174" s="233">
        <f>IFERROR(__xludf.DUMMYFUNCTION("""COMPUTED_VALUE"""),0.0)</f>
        <v>0</v>
      </c>
      <c r="T174" s="233">
        <f>IFERROR(__xludf.DUMMYFUNCTION("""COMPUTED_VALUE"""),355.0)</f>
        <v>355</v>
      </c>
      <c r="U174" s="233">
        <f>IFERROR(__xludf.DUMMYFUNCTION("""COMPUTED_VALUE"""),106.0)</f>
        <v>106</v>
      </c>
      <c r="V174" s="233">
        <f>IFERROR(__xludf.DUMMYFUNCTION("""COMPUTED_VALUE"""),108.0)</f>
        <v>108</v>
      </c>
      <c r="W174" s="233">
        <f>IFERROR(__xludf.DUMMYFUNCTION("""COMPUTED_VALUE"""),6.0)</f>
        <v>6</v>
      </c>
      <c r="X174" s="233">
        <f>IFERROR(__xludf.DUMMYFUNCTION("""COMPUTED_VALUE"""),5.0)</f>
        <v>5</v>
      </c>
      <c r="Y174" s="233">
        <f>IFERROR(__xludf.DUMMYFUNCTION("""COMPUTED_VALUE"""),1.0)</f>
        <v>1</v>
      </c>
      <c r="Z174" s="233">
        <f>IFERROR(__xludf.DUMMYFUNCTION("""COMPUTED_VALUE"""),1115.0)</f>
        <v>1115</v>
      </c>
    </row>
    <row r="175">
      <c r="A175" s="232">
        <f>IFERROR(__xludf.DUMMYFUNCTION("""COMPUTED_VALUE"""),44100.0)</f>
        <v>44100</v>
      </c>
      <c r="B175" s="233">
        <f>IFERROR(__xludf.DUMMYFUNCTION("""COMPUTED_VALUE"""),146.0)</f>
        <v>146</v>
      </c>
      <c r="C175" s="233">
        <f>IFERROR(__xludf.DUMMYFUNCTION("""COMPUTED_VALUE"""),138.0)</f>
        <v>138</v>
      </c>
      <c r="D175" s="233">
        <f>IFERROR(__xludf.DUMMYFUNCTION("""COMPUTED_VALUE"""),34330.0)</f>
        <v>34330</v>
      </c>
      <c r="E175" s="233">
        <f>IFERROR(__xludf.DUMMYFUNCTION("""COMPUTED_VALUE"""),10545.0)</f>
        <v>10545</v>
      </c>
      <c r="F175" s="171">
        <f>IFERROR(__xludf.DUMMYFUNCTION("""COMPUTED_VALUE"""),716877.0)</f>
        <v>716877</v>
      </c>
      <c r="G175" s="171">
        <f>IFERROR(__xludf.DUMMYFUNCTION("""COMPUTED_VALUE"""),10691.0)</f>
        <v>10691</v>
      </c>
      <c r="H175" s="171">
        <f>IFERROR(__xludf.DUMMYFUNCTION("""COMPUTED_VALUE"""),751207.0)</f>
        <v>751207</v>
      </c>
      <c r="I175" s="233">
        <f>IFERROR(__xludf.DUMMYFUNCTION("""COMPUTED_VALUE"""),118.0)</f>
        <v>118</v>
      </c>
      <c r="J175" s="233">
        <f>IFERROR(__xludf.DUMMYFUNCTION("""COMPUTED_VALUE"""),126.0)</f>
        <v>126</v>
      </c>
      <c r="K175" s="233">
        <f>IFERROR(__xludf.DUMMYFUNCTION("""COMPUTED_VALUE"""),24457.0)</f>
        <v>24457</v>
      </c>
      <c r="L175" s="233">
        <f>IFERROR(__xludf.DUMMYFUNCTION("""COMPUTED_VALUE"""),2430.0)</f>
        <v>2430</v>
      </c>
      <c r="M175" s="233">
        <f>IFERROR(__xludf.DUMMYFUNCTION("""COMPUTED_VALUE"""),312101.0)</f>
        <v>312101</v>
      </c>
      <c r="N175" s="233">
        <f>IFERROR(__xludf.DUMMYFUNCTION("""COMPUTED_VALUE"""),336558.0)</f>
        <v>336558</v>
      </c>
      <c r="O175" s="233">
        <f>IFERROR(__xludf.DUMMYFUNCTION("""COMPUTED_VALUE"""),12.0)</f>
        <v>12</v>
      </c>
      <c r="P175" s="233">
        <f>IFERROR(__xludf.DUMMYFUNCTION("""COMPUTED_VALUE"""),2781.0)</f>
        <v>2781</v>
      </c>
      <c r="Q175" s="233">
        <f>IFERROR(__xludf.DUMMYFUNCTION("""COMPUTED_VALUE"""),9.0)</f>
        <v>9</v>
      </c>
      <c r="R175" s="233">
        <f>IFERROR(__xludf.DUMMYFUNCTION("""COMPUTED_VALUE"""),2317.0)</f>
        <v>2317</v>
      </c>
      <c r="S175" s="233">
        <f>IFERROR(__xludf.DUMMYFUNCTION("""COMPUTED_VALUE"""),0.0)</f>
        <v>0</v>
      </c>
      <c r="T175" s="233">
        <f>IFERROR(__xludf.DUMMYFUNCTION("""COMPUTED_VALUE"""),355.0)</f>
        <v>355</v>
      </c>
      <c r="U175" s="233">
        <f>IFERROR(__xludf.DUMMYFUNCTION("""COMPUTED_VALUE"""),109.0)</f>
        <v>109</v>
      </c>
      <c r="V175" s="233">
        <f>IFERROR(__xludf.DUMMYFUNCTION("""COMPUTED_VALUE"""),107.0)</f>
        <v>107</v>
      </c>
      <c r="W175" s="233">
        <f>IFERROR(__xludf.DUMMYFUNCTION("""COMPUTED_VALUE"""),6.0)</f>
        <v>6</v>
      </c>
      <c r="X175" s="233">
        <f>IFERROR(__xludf.DUMMYFUNCTION("""COMPUTED_VALUE"""),5.0)</f>
        <v>5</v>
      </c>
      <c r="Y175" s="233">
        <f>IFERROR(__xludf.DUMMYFUNCTION("""COMPUTED_VALUE"""),1.0)</f>
        <v>1</v>
      </c>
      <c r="Z175" s="233">
        <f>IFERROR(__xludf.DUMMYFUNCTION("""COMPUTED_VALUE"""),1116.0)</f>
        <v>1116</v>
      </c>
    </row>
    <row r="176">
      <c r="A176" s="232">
        <f>IFERROR(__xludf.DUMMYFUNCTION("""COMPUTED_VALUE"""),44101.0)</f>
        <v>44101</v>
      </c>
      <c r="B176" s="233">
        <f>IFERROR(__xludf.DUMMYFUNCTION("""COMPUTED_VALUE"""),43.0)</f>
        <v>43</v>
      </c>
      <c r="C176" s="233">
        <f>IFERROR(__xludf.DUMMYFUNCTION("""COMPUTED_VALUE"""),113.0)</f>
        <v>113</v>
      </c>
      <c r="D176" s="233">
        <f>IFERROR(__xludf.DUMMYFUNCTION("""COMPUTED_VALUE"""),34373.0)</f>
        <v>34373</v>
      </c>
      <c r="E176" s="233">
        <f>IFERROR(__xludf.DUMMYFUNCTION("""COMPUTED_VALUE"""),2761.0)</f>
        <v>2761</v>
      </c>
      <c r="F176" s="171">
        <f>IFERROR(__xludf.DUMMYFUNCTION("""COMPUTED_VALUE"""),719638.0)</f>
        <v>719638</v>
      </c>
      <c r="G176" s="171">
        <f>IFERROR(__xludf.DUMMYFUNCTION("""COMPUTED_VALUE"""),2804.0)</f>
        <v>2804</v>
      </c>
      <c r="H176" s="171">
        <f>IFERROR(__xludf.DUMMYFUNCTION("""COMPUTED_VALUE"""),754011.0)</f>
        <v>754011</v>
      </c>
      <c r="I176" s="233">
        <f>IFERROR(__xludf.DUMMYFUNCTION("""COMPUTED_VALUE"""),34.0)</f>
        <v>34</v>
      </c>
      <c r="J176" s="233">
        <f>IFERROR(__xludf.DUMMYFUNCTION("""COMPUTED_VALUE"""),98.0)</f>
        <v>98</v>
      </c>
      <c r="K176" s="233">
        <f>IFERROR(__xludf.DUMMYFUNCTION("""COMPUTED_VALUE"""),24491.0)</f>
        <v>24491</v>
      </c>
      <c r="L176" s="233">
        <f>IFERROR(__xludf.DUMMYFUNCTION("""COMPUTED_VALUE"""),847.0)</f>
        <v>847</v>
      </c>
      <c r="M176" s="233">
        <f>IFERROR(__xludf.DUMMYFUNCTION("""COMPUTED_VALUE"""),312948.0)</f>
        <v>312948</v>
      </c>
      <c r="N176" s="233">
        <f>IFERROR(__xludf.DUMMYFUNCTION("""COMPUTED_VALUE"""),337439.0)</f>
        <v>337439</v>
      </c>
      <c r="O176" s="233">
        <f>IFERROR(__xludf.DUMMYFUNCTION("""COMPUTED_VALUE"""),7.0)</f>
        <v>7</v>
      </c>
      <c r="P176" s="233">
        <f>IFERROR(__xludf.DUMMYFUNCTION("""COMPUTED_VALUE"""),2788.0)</f>
        <v>2788</v>
      </c>
      <c r="Q176" s="233">
        <f>IFERROR(__xludf.DUMMYFUNCTION("""COMPUTED_VALUE"""),5.0)</f>
        <v>5</v>
      </c>
      <c r="R176" s="233">
        <f>IFERROR(__xludf.DUMMYFUNCTION("""COMPUTED_VALUE"""),2322.0)</f>
        <v>2322</v>
      </c>
      <c r="S176" s="233">
        <f>IFERROR(__xludf.DUMMYFUNCTION("""COMPUTED_VALUE"""),0.0)</f>
        <v>0</v>
      </c>
      <c r="T176" s="233">
        <f>IFERROR(__xludf.DUMMYFUNCTION("""COMPUTED_VALUE"""),355.0)</f>
        <v>355</v>
      </c>
      <c r="U176" s="233">
        <f>IFERROR(__xludf.DUMMYFUNCTION("""COMPUTED_VALUE"""),111.0)</f>
        <v>111</v>
      </c>
      <c r="V176" s="233">
        <f>IFERROR(__xludf.DUMMYFUNCTION("""COMPUTED_VALUE"""),109.0)</f>
        <v>109</v>
      </c>
      <c r="W176" s="233">
        <f>IFERROR(__xludf.DUMMYFUNCTION("""COMPUTED_VALUE"""),9.0)</f>
        <v>9</v>
      </c>
      <c r="X176" s="233">
        <f>IFERROR(__xludf.DUMMYFUNCTION("""COMPUTED_VALUE"""),5.0)</f>
        <v>5</v>
      </c>
      <c r="Y176" s="233">
        <f>IFERROR(__xludf.DUMMYFUNCTION("""COMPUTED_VALUE"""),0.0)</f>
        <v>0</v>
      </c>
      <c r="Z176" s="233">
        <f>IFERROR(__xludf.DUMMYFUNCTION("""COMPUTED_VALUE"""),1116.0)</f>
        <v>1116</v>
      </c>
    </row>
    <row r="177">
      <c r="A177" s="232">
        <f>IFERROR(__xludf.DUMMYFUNCTION("""COMPUTED_VALUE"""),44102.0)</f>
        <v>44102</v>
      </c>
      <c r="B177" s="233">
        <f>IFERROR(__xludf.DUMMYFUNCTION("""COMPUTED_VALUE"""),151.0)</f>
        <v>151</v>
      </c>
      <c r="C177" s="233">
        <f>IFERROR(__xludf.DUMMYFUNCTION("""COMPUTED_VALUE"""),113.0)</f>
        <v>113</v>
      </c>
      <c r="D177" s="233">
        <f>IFERROR(__xludf.DUMMYFUNCTION("""COMPUTED_VALUE"""),34524.0)</f>
        <v>34524</v>
      </c>
      <c r="E177" s="233">
        <f>IFERROR(__xludf.DUMMYFUNCTION("""COMPUTED_VALUE"""),7286.0)</f>
        <v>7286</v>
      </c>
      <c r="F177" s="171">
        <f>IFERROR(__xludf.DUMMYFUNCTION("""COMPUTED_VALUE"""),726924.0)</f>
        <v>726924</v>
      </c>
      <c r="G177" s="171">
        <f>IFERROR(__xludf.DUMMYFUNCTION("""COMPUTED_VALUE"""),7437.0)</f>
        <v>7437</v>
      </c>
      <c r="H177" s="171">
        <f>IFERROR(__xludf.DUMMYFUNCTION("""COMPUTED_VALUE"""),761448.0)</f>
        <v>761448</v>
      </c>
      <c r="I177" s="233">
        <f>IFERROR(__xludf.DUMMYFUNCTION("""COMPUTED_VALUE"""),132.0)</f>
        <v>132</v>
      </c>
      <c r="J177" s="233">
        <f>IFERROR(__xludf.DUMMYFUNCTION("""COMPUTED_VALUE"""),95.0)</f>
        <v>95</v>
      </c>
      <c r="K177" s="233">
        <f>IFERROR(__xludf.DUMMYFUNCTION("""COMPUTED_VALUE"""),24623.0)</f>
        <v>24623</v>
      </c>
      <c r="L177" s="233">
        <f>IFERROR(__xludf.DUMMYFUNCTION("""COMPUTED_VALUE"""),2263.0)</f>
        <v>2263</v>
      </c>
      <c r="M177" s="233">
        <f>IFERROR(__xludf.DUMMYFUNCTION("""COMPUTED_VALUE"""),315211.0)</f>
        <v>315211</v>
      </c>
      <c r="N177" s="233">
        <f>IFERROR(__xludf.DUMMYFUNCTION("""COMPUTED_VALUE"""),339834.0)</f>
        <v>339834</v>
      </c>
      <c r="O177" s="233">
        <f>IFERROR(__xludf.DUMMYFUNCTION("""COMPUTED_VALUE"""),6.0)</f>
        <v>6</v>
      </c>
      <c r="P177" s="233">
        <f>IFERROR(__xludf.DUMMYFUNCTION("""COMPUTED_VALUE"""),2794.0)</f>
        <v>2794</v>
      </c>
      <c r="Q177" s="233">
        <f>IFERROR(__xludf.DUMMYFUNCTION("""COMPUTED_VALUE"""),6.0)</f>
        <v>6</v>
      </c>
      <c r="R177" s="233">
        <f>IFERROR(__xludf.DUMMYFUNCTION("""COMPUTED_VALUE"""),2328.0)</f>
        <v>2328</v>
      </c>
      <c r="S177" s="233">
        <f>IFERROR(__xludf.DUMMYFUNCTION("""COMPUTED_VALUE"""),2.0)</f>
        <v>2</v>
      </c>
      <c r="T177" s="233">
        <f>IFERROR(__xludf.DUMMYFUNCTION("""COMPUTED_VALUE"""),357.0)</f>
        <v>357</v>
      </c>
      <c r="U177" s="233">
        <f>IFERROR(__xludf.DUMMYFUNCTION("""COMPUTED_VALUE"""),109.0)</f>
        <v>109</v>
      </c>
      <c r="V177" s="233">
        <f>IFERROR(__xludf.DUMMYFUNCTION("""COMPUTED_VALUE"""),110.0)</f>
        <v>110</v>
      </c>
      <c r="W177" s="233">
        <f>IFERROR(__xludf.DUMMYFUNCTION("""COMPUTED_VALUE"""),7.0)</f>
        <v>7</v>
      </c>
      <c r="X177" s="233">
        <f>IFERROR(__xludf.DUMMYFUNCTION("""COMPUTED_VALUE"""),5.0)</f>
        <v>5</v>
      </c>
      <c r="Y177" s="233">
        <f>IFERROR(__xludf.DUMMYFUNCTION("""COMPUTED_VALUE"""),2.0)</f>
        <v>2</v>
      </c>
      <c r="Z177" s="233">
        <f>IFERROR(__xludf.DUMMYFUNCTION("""COMPUTED_VALUE"""),1118.0)</f>
        <v>1118</v>
      </c>
    </row>
    <row r="178">
      <c r="A178" s="232">
        <f>IFERROR(__xludf.DUMMYFUNCTION("""COMPUTED_VALUE"""),44103.0)</f>
        <v>44103</v>
      </c>
      <c r="B178" s="233">
        <f>IFERROR(__xludf.DUMMYFUNCTION("""COMPUTED_VALUE"""),208.0)</f>
        <v>208</v>
      </c>
      <c r="C178" s="233">
        <f>IFERROR(__xludf.DUMMYFUNCTION("""COMPUTED_VALUE"""),134.0)</f>
        <v>134</v>
      </c>
      <c r="D178" s="233">
        <f>IFERROR(__xludf.DUMMYFUNCTION("""COMPUTED_VALUE"""),34732.0)</f>
        <v>34732</v>
      </c>
      <c r="E178" s="233">
        <f>IFERROR(__xludf.DUMMYFUNCTION("""COMPUTED_VALUE"""),11020.0)</f>
        <v>11020</v>
      </c>
      <c r="F178" s="171">
        <f>IFERROR(__xludf.DUMMYFUNCTION("""COMPUTED_VALUE"""),737944.0)</f>
        <v>737944</v>
      </c>
      <c r="G178" s="171">
        <f>IFERROR(__xludf.DUMMYFUNCTION("""COMPUTED_VALUE"""),11228.0)</f>
        <v>11228</v>
      </c>
      <c r="H178" s="171">
        <f>IFERROR(__xludf.DUMMYFUNCTION("""COMPUTED_VALUE"""),772676.0)</f>
        <v>772676</v>
      </c>
      <c r="I178" s="233">
        <f>IFERROR(__xludf.DUMMYFUNCTION("""COMPUTED_VALUE"""),190.0)</f>
        <v>190</v>
      </c>
      <c r="J178" s="233">
        <f>IFERROR(__xludf.DUMMYFUNCTION("""COMPUTED_VALUE"""),119.0)</f>
        <v>119</v>
      </c>
      <c r="K178" s="233">
        <f>IFERROR(__xludf.DUMMYFUNCTION("""COMPUTED_VALUE"""),24813.0)</f>
        <v>24813</v>
      </c>
      <c r="L178" s="233">
        <f>IFERROR(__xludf.DUMMYFUNCTION("""COMPUTED_VALUE"""),2828.0)</f>
        <v>2828</v>
      </c>
      <c r="M178" s="233">
        <f>IFERROR(__xludf.DUMMYFUNCTION("""COMPUTED_VALUE"""),318039.0)</f>
        <v>318039</v>
      </c>
      <c r="N178" s="233">
        <f>IFERROR(__xludf.DUMMYFUNCTION("""COMPUTED_VALUE"""),342852.0)</f>
        <v>342852</v>
      </c>
      <c r="O178" s="233">
        <f>IFERROR(__xludf.DUMMYFUNCTION("""COMPUTED_VALUE"""),11.0)</f>
        <v>11</v>
      </c>
      <c r="P178" s="233">
        <f>IFERROR(__xludf.DUMMYFUNCTION("""COMPUTED_VALUE"""),2805.0)</f>
        <v>2805</v>
      </c>
      <c r="Q178" s="233">
        <f>IFERROR(__xludf.DUMMYFUNCTION("""COMPUTED_VALUE"""),18.0)</f>
        <v>18</v>
      </c>
      <c r="R178" s="233">
        <f>IFERROR(__xludf.DUMMYFUNCTION("""COMPUTED_VALUE"""),2346.0)</f>
        <v>2346</v>
      </c>
      <c r="S178" s="233">
        <f>IFERROR(__xludf.DUMMYFUNCTION("""COMPUTED_VALUE"""),1.0)</f>
        <v>1</v>
      </c>
      <c r="T178" s="233">
        <f>IFERROR(__xludf.DUMMYFUNCTION("""COMPUTED_VALUE"""),358.0)</f>
        <v>358</v>
      </c>
      <c r="U178" s="233">
        <f>IFERROR(__xludf.DUMMYFUNCTION("""COMPUTED_VALUE"""),101.0)</f>
        <v>101</v>
      </c>
      <c r="V178" s="233">
        <f>IFERROR(__xludf.DUMMYFUNCTION("""COMPUTED_VALUE"""),107.0)</f>
        <v>107</v>
      </c>
      <c r="W178" s="233">
        <f>IFERROR(__xludf.DUMMYFUNCTION("""COMPUTED_VALUE"""),6.0)</f>
        <v>6</v>
      </c>
      <c r="X178" s="233">
        <f>IFERROR(__xludf.DUMMYFUNCTION("""COMPUTED_VALUE"""),6.0)</f>
        <v>6</v>
      </c>
      <c r="Y178" s="233">
        <f>IFERROR(__xludf.DUMMYFUNCTION("""COMPUTED_VALUE"""),1.0)</f>
        <v>1</v>
      </c>
      <c r="Z178" s="233">
        <f>IFERROR(__xludf.DUMMYFUNCTION("""COMPUTED_VALUE"""),1119.0)</f>
        <v>1119</v>
      </c>
    </row>
    <row r="179">
      <c r="A179" s="232">
        <f>IFERROR(__xludf.DUMMYFUNCTION("""COMPUTED_VALUE"""),44104.0)</f>
        <v>44104</v>
      </c>
      <c r="B179" s="233">
        <f>IFERROR(__xludf.DUMMYFUNCTION("""COMPUTED_VALUE"""),221.0)</f>
        <v>221</v>
      </c>
      <c r="C179" s="233">
        <f>IFERROR(__xludf.DUMMYFUNCTION("""COMPUTED_VALUE"""),193.0)</f>
        <v>193</v>
      </c>
      <c r="D179" s="233">
        <f>IFERROR(__xludf.DUMMYFUNCTION("""COMPUTED_VALUE"""),34953.0)</f>
        <v>34953</v>
      </c>
      <c r="E179" s="233">
        <f>IFERROR(__xludf.DUMMYFUNCTION("""COMPUTED_VALUE"""),12206.0)</f>
        <v>12206</v>
      </c>
      <c r="F179" s="171">
        <f>IFERROR(__xludf.DUMMYFUNCTION("""COMPUTED_VALUE"""),750150.0)</f>
        <v>750150</v>
      </c>
      <c r="G179" s="171">
        <f>IFERROR(__xludf.DUMMYFUNCTION("""COMPUTED_VALUE"""),12427.0)</f>
        <v>12427</v>
      </c>
      <c r="H179" s="171">
        <f>IFERROR(__xludf.DUMMYFUNCTION("""COMPUTED_VALUE"""),785103.0)</f>
        <v>785103</v>
      </c>
      <c r="I179" s="233">
        <f>IFERROR(__xludf.DUMMYFUNCTION("""COMPUTED_VALUE"""),186.0)</f>
        <v>186</v>
      </c>
      <c r="J179" s="233">
        <f>IFERROR(__xludf.DUMMYFUNCTION("""COMPUTED_VALUE"""),169.0)</f>
        <v>169</v>
      </c>
      <c r="K179" s="233">
        <f>IFERROR(__xludf.DUMMYFUNCTION("""COMPUTED_VALUE"""),24999.0)</f>
        <v>24999</v>
      </c>
      <c r="L179" s="233">
        <f>IFERROR(__xludf.DUMMYFUNCTION("""COMPUTED_VALUE"""),2601.0)</f>
        <v>2601</v>
      </c>
      <c r="M179" s="233">
        <f>IFERROR(__xludf.DUMMYFUNCTION("""COMPUTED_VALUE"""),320640.0)</f>
        <v>320640</v>
      </c>
      <c r="N179" s="233">
        <f>IFERROR(__xludf.DUMMYFUNCTION("""COMPUTED_VALUE"""),345639.0)</f>
        <v>345639</v>
      </c>
      <c r="O179" s="233">
        <f>IFERROR(__xludf.DUMMYFUNCTION("""COMPUTED_VALUE"""),6.0)</f>
        <v>6</v>
      </c>
      <c r="P179" s="233">
        <f>IFERROR(__xludf.DUMMYFUNCTION("""COMPUTED_VALUE"""),2811.0)</f>
        <v>2811</v>
      </c>
      <c r="Q179" s="233">
        <f>IFERROR(__xludf.DUMMYFUNCTION("""COMPUTED_VALUE"""),6.0)</f>
        <v>6</v>
      </c>
      <c r="R179" s="233">
        <f>IFERROR(__xludf.DUMMYFUNCTION("""COMPUTED_VALUE"""),2352.0)</f>
        <v>2352</v>
      </c>
      <c r="S179" s="233">
        <f>IFERROR(__xludf.DUMMYFUNCTION("""COMPUTED_VALUE"""),0.0)</f>
        <v>0</v>
      </c>
      <c r="T179" s="233">
        <f>IFERROR(__xludf.DUMMYFUNCTION("""COMPUTED_VALUE"""),358.0)</f>
        <v>358</v>
      </c>
      <c r="U179" s="233">
        <f>IFERROR(__xludf.DUMMYFUNCTION("""COMPUTED_VALUE"""),101.0)</f>
        <v>101</v>
      </c>
      <c r="V179" s="233">
        <f>IFERROR(__xludf.DUMMYFUNCTION("""COMPUTED_VALUE"""),104.0)</f>
        <v>104</v>
      </c>
      <c r="W179" s="233">
        <f>IFERROR(__xludf.DUMMYFUNCTION("""COMPUTED_VALUE"""),6.0)</f>
        <v>6</v>
      </c>
      <c r="X179" s="233">
        <f>IFERROR(__xludf.DUMMYFUNCTION("""COMPUTED_VALUE"""),6.0)</f>
        <v>6</v>
      </c>
      <c r="Y179" s="233">
        <f>IFERROR(__xludf.DUMMYFUNCTION("""COMPUTED_VALUE"""),1.0)</f>
        <v>1</v>
      </c>
      <c r="Z179" s="233">
        <f>IFERROR(__xludf.DUMMYFUNCTION("""COMPUTED_VALUE"""),1120.0)</f>
        <v>1120</v>
      </c>
    </row>
    <row r="180">
      <c r="A180" s="232">
        <f>IFERROR(__xludf.DUMMYFUNCTION("""COMPUTED_VALUE"""),44105.0)</f>
        <v>44105</v>
      </c>
      <c r="B180" s="233">
        <f>IFERROR(__xludf.DUMMYFUNCTION("""COMPUTED_VALUE"""),184.0)</f>
        <v>184</v>
      </c>
      <c r="C180" s="233">
        <f>IFERROR(__xludf.DUMMYFUNCTION("""COMPUTED_VALUE"""),204.0)</f>
        <v>204</v>
      </c>
      <c r="D180" s="233">
        <f>IFERROR(__xludf.DUMMYFUNCTION("""COMPUTED_VALUE"""),35137.0)</f>
        <v>35137</v>
      </c>
      <c r="E180" s="233">
        <f>IFERROR(__xludf.DUMMYFUNCTION("""COMPUTED_VALUE"""),12483.0)</f>
        <v>12483</v>
      </c>
      <c r="F180" s="171">
        <f>IFERROR(__xludf.DUMMYFUNCTION("""COMPUTED_VALUE"""),762633.0)</f>
        <v>762633</v>
      </c>
      <c r="G180" s="171">
        <f>IFERROR(__xludf.DUMMYFUNCTION("""COMPUTED_VALUE"""),12667.0)</f>
        <v>12667</v>
      </c>
      <c r="H180" s="171">
        <f>IFERROR(__xludf.DUMMYFUNCTION("""COMPUTED_VALUE"""),797770.0)</f>
        <v>797770</v>
      </c>
      <c r="I180" s="233">
        <f>IFERROR(__xludf.DUMMYFUNCTION("""COMPUTED_VALUE"""),162.0)</f>
        <v>162</v>
      </c>
      <c r="J180" s="233">
        <f>IFERROR(__xludf.DUMMYFUNCTION("""COMPUTED_VALUE"""),179.0)</f>
        <v>179</v>
      </c>
      <c r="K180" s="233">
        <f>IFERROR(__xludf.DUMMYFUNCTION("""COMPUTED_VALUE"""),25161.0)</f>
        <v>25161</v>
      </c>
      <c r="L180" s="233">
        <f>IFERROR(__xludf.DUMMYFUNCTION("""COMPUTED_VALUE"""),2434.0)</f>
        <v>2434</v>
      </c>
      <c r="M180" s="233">
        <f>IFERROR(__xludf.DUMMYFUNCTION("""COMPUTED_VALUE"""),323074.0)</f>
        <v>323074</v>
      </c>
      <c r="N180" s="233">
        <f>IFERROR(__xludf.DUMMYFUNCTION("""COMPUTED_VALUE"""),348235.0)</f>
        <v>348235</v>
      </c>
      <c r="O180" s="233">
        <f>IFERROR(__xludf.DUMMYFUNCTION("""COMPUTED_VALUE"""),16.0)</f>
        <v>16</v>
      </c>
      <c r="P180" s="233">
        <f>IFERROR(__xludf.DUMMYFUNCTION("""COMPUTED_VALUE"""),2827.0)</f>
        <v>2827</v>
      </c>
      <c r="Q180" s="233">
        <f>IFERROR(__xludf.DUMMYFUNCTION("""COMPUTED_VALUE"""),13.0)</f>
        <v>13</v>
      </c>
      <c r="R180" s="233">
        <f>IFERROR(__xludf.DUMMYFUNCTION("""COMPUTED_VALUE"""),2365.0)</f>
        <v>2365</v>
      </c>
      <c r="S180" s="233">
        <f>IFERROR(__xludf.DUMMYFUNCTION("""COMPUTED_VALUE"""),1.0)</f>
        <v>1</v>
      </c>
      <c r="T180" s="233">
        <f>IFERROR(__xludf.DUMMYFUNCTION("""COMPUTED_VALUE"""),359.0)</f>
        <v>359</v>
      </c>
      <c r="U180" s="233">
        <f>IFERROR(__xludf.DUMMYFUNCTION("""COMPUTED_VALUE"""),103.0)</f>
        <v>103</v>
      </c>
      <c r="V180" s="233">
        <f>IFERROR(__xludf.DUMMYFUNCTION("""COMPUTED_VALUE"""),102.0)</f>
        <v>102</v>
      </c>
      <c r="W180" s="233">
        <f>IFERROR(__xludf.DUMMYFUNCTION("""COMPUTED_VALUE"""),5.0)</f>
        <v>5</v>
      </c>
      <c r="X180" s="233">
        <f>IFERROR(__xludf.DUMMYFUNCTION("""COMPUTED_VALUE"""),4.0)</f>
        <v>4</v>
      </c>
      <c r="Y180" s="233">
        <f>IFERROR(__xludf.DUMMYFUNCTION("""COMPUTED_VALUE"""),2.0)</f>
        <v>2</v>
      </c>
      <c r="Z180" s="233">
        <f>IFERROR(__xludf.DUMMYFUNCTION("""COMPUTED_VALUE"""),1122.0)</f>
        <v>1122</v>
      </c>
    </row>
    <row r="181">
      <c r="A181" s="232">
        <f>IFERROR(__xludf.DUMMYFUNCTION("""COMPUTED_VALUE"""),44106.0)</f>
        <v>44106</v>
      </c>
      <c r="B181" s="233">
        <f>IFERROR(__xludf.DUMMYFUNCTION("""COMPUTED_VALUE"""),209.0)</f>
        <v>209</v>
      </c>
      <c r="C181" s="233">
        <f>IFERROR(__xludf.DUMMYFUNCTION("""COMPUTED_VALUE"""),205.0)</f>
        <v>205</v>
      </c>
      <c r="D181" s="233">
        <f>IFERROR(__xludf.DUMMYFUNCTION("""COMPUTED_VALUE"""),35346.0)</f>
        <v>35346</v>
      </c>
      <c r="E181" s="233">
        <f>IFERROR(__xludf.DUMMYFUNCTION("""COMPUTED_VALUE"""),12127.0)</f>
        <v>12127</v>
      </c>
      <c r="F181" s="171">
        <f>IFERROR(__xludf.DUMMYFUNCTION("""COMPUTED_VALUE"""),774760.0)</f>
        <v>774760</v>
      </c>
      <c r="G181" s="171">
        <f>IFERROR(__xludf.DUMMYFUNCTION("""COMPUTED_VALUE"""),12336.0)</f>
        <v>12336</v>
      </c>
      <c r="H181" s="171">
        <f>IFERROR(__xludf.DUMMYFUNCTION("""COMPUTED_VALUE"""),810106.0)</f>
        <v>810106</v>
      </c>
      <c r="I181" s="233">
        <f>IFERROR(__xludf.DUMMYFUNCTION("""COMPUTED_VALUE"""),181.0)</f>
        <v>181</v>
      </c>
      <c r="J181" s="233">
        <f>IFERROR(__xludf.DUMMYFUNCTION("""COMPUTED_VALUE"""),176.0)</f>
        <v>176</v>
      </c>
      <c r="K181" s="233">
        <f>IFERROR(__xludf.DUMMYFUNCTION("""COMPUTED_VALUE"""),25342.0)</f>
        <v>25342</v>
      </c>
      <c r="L181" s="233">
        <f>IFERROR(__xludf.DUMMYFUNCTION("""COMPUTED_VALUE"""),2504.0)</f>
        <v>2504</v>
      </c>
      <c r="M181" s="233">
        <f>IFERROR(__xludf.DUMMYFUNCTION("""COMPUTED_VALUE"""),325578.0)</f>
        <v>325578</v>
      </c>
      <c r="N181" s="233">
        <f>IFERROR(__xludf.DUMMYFUNCTION("""COMPUTED_VALUE"""),350920.0)</f>
        <v>350920</v>
      </c>
      <c r="O181" s="233">
        <f>IFERROR(__xludf.DUMMYFUNCTION("""COMPUTED_VALUE"""),13.0)</f>
        <v>13</v>
      </c>
      <c r="P181" s="233">
        <f>IFERROR(__xludf.DUMMYFUNCTION("""COMPUTED_VALUE"""),2840.0)</f>
        <v>2840</v>
      </c>
      <c r="Q181" s="233">
        <f>IFERROR(__xludf.DUMMYFUNCTION("""COMPUTED_VALUE"""),13.0)</f>
        <v>13</v>
      </c>
      <c r="R181" s="233">
        <f>IFERROR(__xludf.DUMMYFUNCTION("""COMPUTED_VALUE"""),2378.0)</f>
        <v>2378</v>
      </c>
      <c r="S181" s="233">
        <f>IFERROR(__xludf.DUMMYFUNCTION("""COMPUTED_VALUE"""),1.0)</f>
        <v>1</v>
      </c>
      <c r="T181" s="233">
        <f>IFERROR(__xludf.DUMMYFUNCTION("""COMPUTED_VALUE"""),360.0)</f>
        <v>360</v>
      </c>
      <c r="U181" s="233">
        <f>IFERROR(__xludf.DUMMYFUNCTION("""COMPUTED_VALUE"""),102.0)</f>
        <v>102</v>
      </c>
      <c r="V181" s="233">
        <f>IFERROR(__xludf.DUMMYFUNCTION("""COMPUTED_VALUE"""),102.0)</f>
        <v>102</v>
      </c>
      <c r="W181" s="233">
        <f>IFERROR(__xludf.DUMMYFUNCTION("""COMPUTED_VALUE"""),6.0)</f>
        <v>6</v>
      </c>
      <c r="X181" s="233">
        <f>IFERROR(__xludf.DUMMYFUNCTION("""COMPUTED_VALUE"""),4.0)</f>
        <v>4</v>
      </c>
      <c r="Y181" s="233">
        <f>IFERROR(__xludf.DUMMYFUNCTION("""COMPUTED_VALUE"""),2.0)</f>
        <v>2</v>
      </c>
      <c r="Z181" s="233">
        <f>IFERROR(__xludf.DUMMYFUNCTION("""COMPUTED_VALUE"""),1124.0)</f>
        <v>1124</v>
      </c>
    </row>
    <row r="182">
      <c r="A182" s="232">
        <f>IFERROR(__xludf.DUMMYFUNCTION("""COMPUTED_VALUE"""),44107.0)</f>
        <v>44107</v>
      </c>
      <c r="B182" s="233">
        <f>IFERROR(__xludf.DUMMYFUNCTION("""COMPUTED_VALUE"""),157.0)</f>
        <v>157</v>
      </c>
      <c r="C182" s="233">
        <f>IFERROR(__xludf.DUMMYFUNCTION("""COMPUTED_VALUE"""),183.0)</f>
        <v>183</v>
      </c>
      <c r="D182" s="233">
        <f>IFERROR(__xludf.DUMMYFUNCTION("""COMPUTED_VALUE"""),35503.0)</f>
        <v>35503</v>
      </c>
      <c r="E182" s="233">
        <f>IFERROR(__xludf.DUMMYFUNCTION("""COMPUTED_VALUE"""),9305.0)</f>
        <v>9305</v>
      </c>
      <c r="F182" s="171">
        <f>IFERROR(__xludf.DUMMYFUNCTION("""COMPUTED_VALUE"""),784065.0)</f>
        <v>784065</v>
      </c>
      <c r="G182" s="171">
        <f>IFERROR(__xludf.DUMMYFUNCTION("""COMPUTED_VALUE"""),9462.0)</f>
        <v>9462</v>
      </c>
      <c r="H182" s="171">
        <f>IFERROR(__xludf.DUMMYFUNCTION("""COMPUTED_VALUE"""),819568.0)</f>
        <v>819568</v>
      </c>
      <c r="I182" s="233">
        <f>IFERROR(__xludf.DUMMYFUNCTION("""COMPUTED_VALUE"""),133.0)</f>
        <v>133</v>
      </c>
      <c r="J182" s="233">
        <f>IFERROR(__xludf.DUMMYFUNCTION("""COMPUTED_VALUE"""),159.0)</f>
        <v>159</v>
      </c>
      <c r="K182" s="233">
        <f>IFERROR(__xludf.DUMMYFUNCTION("""COMPUTED_VALUE"""),25475.0)</f>
        <v>25475</v>
      </c>
      <c r="L182" s="233">
        <f>IFERROR(__xludf.DUMMYFUNCTION("""COMPUTED_VALUE"""),2034.0)</f>
        <v>2034</v>
      </c>
      <c r="M182" s="233">
        <f>IFERROR(__xludf.DUMMYFUNCTION("""COMPUTED_VALUE"""),327612.0)</f>
        <v>327612</v>
      </c>
      <c r="N182" s="233">
        <f>IFERROR(__xludf.DUMMYFUNCTION("""COMPUTED_VALUE"""),353087.0)</f>
        <v>353087</v>
      </c>
      <c r="O182" s="233">
        <f>IFERROR(__xludf.DUMMYFUNCTION("""COMPUTED_VALUE"""),9.0)</f>
        <v>9</v>
      </c>
      <c r="P182" s="233">
        <f>IFERROR(__xludf.DUMMYFUNCTION("""COMPUTED_VALUE"""),2849.0)</f>
        <v>2849</v>
      </c>
      <c r="Q182" s="233">
        <f>IFERROR(__xludf.DUMMYFUNCTION("""COMPUTED_VALUE"""),9.0)</f>
        <v>9</v>
      </c>
      <c r="R182" s="233">
        <f>IFERROR(__xludf.DUMMYFUNCTION("""COMPUTED_VALUE"""),2387.0)</f>
        <v>2387</v>
      </c>
      <c r="S182" s="233">
        <f>IFERROR(__xludf.DUMMYFUNCTION("""COMPUTED_VALUE"""),2.0)</f>
        <v>2</v>
      </c>
      <c r="T182" s="233">
        <f>IFERROR(__xludf.DUMMYFUNCTION("""COMPUTED_VALUE"""),362.0)</f>
        <v>362</v>
      </c>
      <c r="U182" s="233">
        <f>IFERROR(__xludf.DUMMYFUNCTION("""COMPUTED_VALUE"""),100.0)</f>
        <v>100</v>
      </c>
      <c r="V182" s="233">
        <f>IFERROR(__xludf.DUMMYFUNCTION("""COMPUTED_VALUE"""),102.0)</f>
        <v>102</v>
      </c>
      <c r="W182" s="233">
        <f>IFERROR(__xludf.DUMMYFUNCTION("""COMPUTED_VALUE"""),7.0)</f>
        <v>7</v>
      </c>
      <c r="X182" s="233">
        <f>IFERROR(__xludf.DUMMYFUNCTION("""COMPUTED_VALUE"""),4.0)</f>
        <v>4</v>
      </c>
      <c r="Y182" s="233">
        <f>IFERROR(__xludf.DUMMYFUNCTION("""COMPUTED_VALUE"""),2.0)</f>
        <v>2</v>
      </c>
      <c r="Z182" s="233">
        <f>IFERROR(__xludf.DUMMYFUNCTION("""COMPUTED_VALUE"""),1126.0)</f>
        <v>1126</v>
      </c>
    </row>
    <row r="183">
      <c r="A183" s="232">
        <f>IFERROR(__xludf.DUMMYFUNCTION("""COMPUTED_VALUE"""),44108.0)</f>
        <v>44108</v>
      </c>
      <c r="B183" s="233">
        <f>IFERROR(__xludf.DUMMYFUNCTION("""COMPUTED_VALUE"""),81.0)</f>
        <v>81</v>
      </c>
      <c r="C183" s="233">
        <f>IFERROR(__xludf.DUMMYFUNCTION("""COMPUTED_VALUE"""),149.0)</f>
        <v>149</v>
      </c>
      <c r="D183" s="233">
        <f>IFERROR(__xludf.DUMMYFUNCTION("""COMPUTED_VALUE"""),35584.0)</f>
        <v>35584</v>
      </c>
      <c r="E183" s="233">
        <f>IFERROR(__xludf.DUMMYFUNCTION("""COMPUTED_VALUE"""),2365.0)</f>
        <v>2365</v>
      </c>
      <c r="F183" s="171">
        <f>IFERROR(__xludf.DUMMYFUNCTION("""COMPUTED_VALUE"""),786430.0)</f>
        <v>786430</v>
      </c>
      <c r="G183" s="171">
        <f>IFERROR(__xludf.DUMMYFUNCTION("""COMPUTED_VALUE"""),2446.0)</f>
        <v>2446</v>
      </c>
      <c r="H183" s="171">
        <f>IFERROR(__xludf.DUMMYFUNCTION("""COMPUTED_VALUE"""),822014.0)</f>
        <v>822014</v>
      </c>
      <c r="I183" s="233">
        <f>IFERROR(__xludf.DUMMYFUNCTION("""COMPUTED_VALUE"""),75.0)</f>
        <v>75</v>
      </c>
      <c r="J183" s="233">
        <f>IFERROR(__xludf.DUMMYFUNCTION("""COMPUTED_VALUE"""),130.0)</f>
        <v>130</v>
      </c>
      <c r="K183" s="233">
        <f>IFERROR(__xludf.DUMMYFUNCTION("""COMPUTED_VALUE"""),25550.0)</f>
        <v>25550</v>
      </c>
      <c r="L183" s="233">
        <f>IFERROR(__xludf.DUMMYFUNCTION("""COMPUTED_VALUE"""),962.0)</f>
        <v>962</v>
      </c>
      <c r="M183" s="233">
        <f>IFERROR(__xludf.DUMMYFUNCTION("""COMPUTED_VALUE"""),328574.0)</f>
        <v>328574</v>
      </c>
      <c r="N183" s="233">
        <f>IFERROR(__xludf.DUMMYFUNCTION("""COMPUTED_VALUE"""),354124.0)</f>
        <v>354124</v>
      </c>
      <c r="O183" s="233">
        <f>IFERROR(__xludf.DUMMYFUNCTION("""COMPUTED_VALUE"""),11.0)</f>
        <v>11</v>
      </c>
      <c r="P183" s="233">
        <f>IFERROR(__xludf.DUMMYFUNCTION("""COMPUTED_VALUE"""),2860.0)</f>
        <v>2860</v>
      </c>
      <c r="Q183" s="233">
        <f>IFERROR(__xludf.DUMMYFUNCTION("""COMPUTED_VALUE"""),9.0)</f>
        <v>9</v>
      </c>
      <c r="R183" s="233">
        <f>IFERROR(__xludf.DUMMYFUNCTION("""COMPUTED_VALUE"""),2396.0)</f>
        <v>2396</v>
      </c>
      <c r="S183" s="233">
        <f>IFERROR(__xludf.DUMMYFUNCTION("""COMPUTED_VALUE"""),1.0)</f>
        <v>1</v>
      </c>
      <c r="T183" s="233">
        <f>IFERROR(__xludf.DUMMYFUNCTION("""COMPUTED_VALUE"""),363.0)</f>
        <v>363</v>
      </c>
      <c r="U183" s="233">
        <f>IFERROR(__xludf.DUMMYFUNCTION("""COMPUTED_VALUE"""),101.0)</f>
        <v>101</v>
      </c>
      <c r="V183" s="233">
        <f>IFERROR(__xludf.DUMMYFUNCTION("""COMPUTED_VALUE"""),101.0)</f>
        <v>101</v>
      </c>
      <c r="W183" s="233">
        <f>IFERROR(__xludf.DUMMYFUNCTION("""COMPUTED_VALUE"""),6.0)</f>
        <v>6</v>
      </c>
      <c r="X183" s="233">
        <f>IFERROR(__xludf.DUMMYFUNCTION("""COMPUTED_VALUE"""),4.0)</f>
        <v>4</v>
      </c>
      <c r="Y183" s="233">
        <f>IFERROR(__xludf.DUMMYFUNCTION("""COMPUTED_VALUE"""),2.0)</f>
        <v>2</v>
      </c>
      <c r="Z183" s="233">
        <f>IFERROR(__xludf.DUMMYFUNCTION("""COMPUTED_VALUE"""),1128.0)</f>
        <v>1128</v>
      </c>
    </row>
    <row r="184">
      <c r="A184" s="232">
        <f>IFERROR(__xludf.DUMMYFUNCTION("""COMPUTED_VALUE"""),44109.0)</f>
        <v>44109</v>
      </c>
      <c r="B184" s="233">
        <f>IFERROR(__xludf.DUMMYFUNCTION("""COMPUTED_VALUE"""),174.0)</f>
        <v>174</v>
      </c>
      <c r="C184" s="233">
        <f>IFERROR(__xludf.DUMMYFUNCTION("""COMPUTED_VALUE"""),137.0)</f>
        <v>137</v>
      </c>
      <c r="D184" s="233">
        <f>IFERROR(__xludf.DUMMYFUNCTION("""COMPUTED_VALUE"""),35758.0)</f>
        <v>35758</v>
      </c>
      <c r="E184" s="233">
        <f>IFERROR(__xludf.DUMMYFUNCTION("""COMPUTED_VALUE"""),8938.0)</f>
        <v>8938</v>
      </c>
      <c r="F184" s="171">
        <f>IFERROR(__xludf.DUMMYFUNCTION("""COMPUTED_VALUE"""),795368.0)</f>
        <v>795368</v>
      </c>
      <c r="G184" s="171">
        <f>IFERROR(__xludf.DUMMYFUNCTION("""COMPUTED_VALUE"""),9112.0)</f>
        <v>9112</v>
      </c>
      <c r="H184" s="171">
        <f>IFERROR(__xludf.DUMMYFUNCTION("""COMPUTED_VALUE"""),831126.0)</f>
        <v>831126</v>
      </c>
      <c r="I184" s="233">
        <f>IFERROR(__xludf.DUMMYFUNCTION("""COMPUTED_VALUE"""),161.0)</f>
        <v>161</v>
      </c>
      <c r="J184" s="233">
        <f>IFERROR(__xludf.DUMMYFUNCTION("""COMPUTED_VALUE"""),123.0)</f>
        <v>123</v>
      </c>
      <c r="K184" s="233">
        <f>IFERROR(__xludf.DUMMYFUNCTION("""COMPUTED_VALUE"""),25711.0)</f>
        <v>25711</v>
      </c>
      <c r="L184" s="233">
        <f>IFERROR(__xludf.DUMMYFUNCTION("""COMPUTED_VALUE"""),3042.0)</f>
        <v>3042</v>
      </c>
      <c r="M184" s="233">
        <f>IFERROR(__xludf.DUMMYFUNCTION("""COMPUTED_VALUE"""),331616.0)</f>
        <v>331616</v>
      </c>
      <c r="N184" s="233">
        <f>IFERROR(__xludf.DUMMYFUNCTION("""COMPUTED_VALUE"""),357327.0)</f>
        <v>357327</v>
      </c>
      <c r="O184" s="233">
        <f>IFERROR(__xludf.DUMMYFUNCTION("""COMPUTED_VALUE"""),29.0)</f>
        <v>29</v>
      </c>
      <c r="P184" s="233">
        <f>IFERROR(__xludf.DUMMYFUNCTION("""COMPUTED_VALUE"""),2889.0)</f>
        <v>2889</v>
      </c>
      <c r="Q184" s="233">
        <f>IFERROR(__xludf.DUMMYFUNCTION("""COMPUTED_VALUE"""),10.0)</f>
        <v>10</v>
      </c>
      <c r="R184" s="233">
        <f>IFERROR(__xludf.DUMMYFUNCTION("""COMPUTED_VALUE"""),2406.0)</f>
        <v>2406</v>
      </c>
      <c r="S184" s="233">
        <f>IFERROR(__xludf.DUMMYFUNCTION("""COMPUTED_VALUE"""),2.0)</f>
        <v>2</v>
      </c>
      <c r="T184" s="233">
        <f>IFERROR(__xludf.DUMMYFUNCTION("""COMPUTED_VALUE"""),365.0)</f>
        <v>365</v>
      </c>
      <c r="U184" s="233">
        <f>IFERROR(__xludf.DUMMYFUNCTION("""COMPUTED_VALUE"""),118.0)</f>
        <v>118</v>
      </c>
      <c r="V184" s="233">
        <f>IFERROR(__xludf.DUMMYFUNCTION("""COMPUTED_VALUE"""),106.0)</f>
        <v>106</v>
      </c>
      <c r="W184" s="233">
        <f>IFERROR(__xludf.DUMMYFUNCTION("""COMPUTED_VALUE"""),8.0)</f>
        <v>8</v>
      </c>
      <c r="X184" s="233">
        <f>IFERROR(__xludf.DUMMYFUNCTION("""COMPUTED_VALUE"""),5.0)</f>
        <v>5</v>
      </c>
      <c r="Y184" s="233">
        <f>IFERROR(__xludf.DUMMYFUNCTION("""COMPUTED_VALUE"""),4.0)</f>
        <v>4</v>
      </c>
      <c r="Z184" s="233">
        <f>IFERROR(__xludf.DUMMYFUNCTION("""COMPUTED_VALUE"""),1132.0)</f>
        <v>1132</v>
      </c>
    </row>
    <row r="185">
      <c r="A185" s="232">
        <f>IFERROR(__xludf.DUMMYFUNCTION("""COMPUTED_VALUE"""),44110.0)</f>
        <v>44110</v>
      </c>
      <c r="B185" s="233">
        <f>IFERROR(__xludf.DUMMYFUNCTION("""COMPUTED_VALUE"""),176.0)</f>
        <v>176</v>
      </c>
      <c r="C185" s="233">
        <f>IFERROR(__xludf.DUMMYFUNCTION("""COMPUTED_VALUE"""),144.0)</f>
        <v>144</v>
      </c>
      <c r="D185" s="233">
        <f>IFERROR(__xludf.DUMMYFUNCTION("""COMPUTED_VALUE"""),35934.0)</f>
        <v>35934</v>
      </c>
      <c r="E185" s="233">
        <f>IFERROR(__xludf.DUMMYFUNCTION("""COMPUTED_VALUE"""),11171.0)</f>
        <v>11171</v>
      </c>
      <c r="F185" s="171">
        <f>IFERROR(__xludf.DUMMYFUNCTION("""COMPUTED_VALUE"""),806539.0)</f>
        <v>806539</v>
      </c>
      <c r="G185" s="171">
        <f>IFERROR(__xludf.DUMMYFUNCTION("""COMPUTED_VALUE"""),11347.0)</f>
        <v>11347</v>
      </c>
      <c r="H185" s="171">
        <f>IFERROR(__xludf.DUMMYFUNCTION("""COMPUTED_VALUE"""),842473.0)</f>
        <v>842473</v>
      </c>
      <c r="I185" s="233">
        <f>IFERROR(__xludf.DUMMYFUNCTION("""COMPUTED_VALUE"""),189.0)</f>
        <v>189</v>
      </c>
      <c r="J185" s="233">
        <f>IFERROR(__xludf.DUMMYFUNCTION("""COMPUTED_VALUE"""),142.0)</f>
        <v>142</v>
      </c>
      <c r="K185" s="233">
        <f>IFERROR(__xludf.DUMMYFUNCTION("""COMPUTED_VALUE"""),25900.0)</f>
        <v>25900</v>
      </c>
      <c r="L185" s="233">
        <f>IFERROR(__xludf.DUMMYFUNCTION("""COMPUTED_VALUE"""),2913.0)</f>
        <v>2913</v>
      </c>
      <c r="M185" s="233">
        <f>IFERROR(__xludf.DUMMYFUNCTION("""COMPUTED_VALUE"""),334529.0)</f>
        <v>334529</v>
      </c>
      <c r="N185" s="233">
        <f>IFERROR(__xludf.DUMMYFUNCTION("""COMPUTED_VALUE"""),360429.0)</f>
        <v>360429</v>
      </c>
      <c r="O185" s="233">
        <f>IFERROR(__xludf.DUMMYFUNCTION("""COMPUTED_VALUE"""),11.0)</f>
        <v>11</v>
      </c>
      <c r="P185" s="233">
        <f>IFERROR(__xludf.DUMMYFUNCTION("""COMPUTED_VALUE"""),2900.0)</f>
        <v>2900</v>
      </c>
      <c r="Q185" s="233">
        <f>IFERROR(__xludf.DUMMYFUNCTION("""COMPUTED_VALUE"""),4.0)</f>
        <v>4</v>
      </c>
      <c r="R185" s="233">
        <f>IFERROR(__xludf.DUMMYFUNCTION("""COMPUTED_VALUE"""),2410.0)</f>
        <v>2410</v>
      </c>
      <c r="S185" s="233">
        <f>IFERROR(__xludf.DUMMYFUNCTION("""COMPUTED_VALUE"""),0.0)</f>
        <v>0</v>
      </c>
      <c r="T185" s="233">
        <f>IFERROR(__xludf.DUMMYFUNCTION("""COMPUTED_VALUE"""),365.0)</f>
        <v>365</v>
      </c>
      <c r="U185" s="233">
        <f>IFERROR(__xludf.DUMMYFUNCTION("""COMPUTED_VALUE"""),125.0)</f>
        <v>125</v>
      </c>
      <c r="V185" s="233">
        <f>IFERROR(__xludf.DUMMYFUNCTION("""COMPUTED_VALUE"""),115.0)</f>
        <v>115</v>
      </c>
      <c r="W185" s="233">
        <f>IFERROR(__xludf.DUMMYFUNCTION("""COMPUTED_VALUE"""),10.0)</f>
        <v>10</v>
      </c>
      <c r="X185" s="233">
        <f>IFERROR(__xludf.DUMMYFUNCTION("""COMPUTED_VALUE"""),6.0)</f>
        <v>6</v>
      </c>
      <c r="Y185" s="233">
        <f>IFERROR(__xludf.DUMMYFUNCTION("""COMPUTED_VALUE"""),0.0)</f>
        <v>0</v>
      </c>
      <c r="Z185" s="233">
        <f>IFERROR(__xludf.DUMMYFUNCTION("""COMPUTED_VALUE"""),1132.0)</f>
        <v>1132</v>
      </c>
    </row>
    <row r="186">
      <c r="A186" s="232">
        <f>IFERROR(__xludf.DUMMYFUNCTION("""COMPUTED_VALUE"""),44111.0)</f>
        <v>44111</v>
      </c>
      <c r="B186" s="233">
        <f>IFERROR(__xludf.DUMMYFUNCTION("""COMPUTED_VALUE"""),228.0)</f>
        <v>228</v>
      </c>
      <c r="C186" s="233">
        <f>IFERROR(__xludf.DUMMYFUNCTION("""COMPUTED_VALUE"""),193.0)</f>
        <v>193</v>
      </c>
      <c r="D186" s="233">
        <f>IFERROR(__xludf.DUMMYFUNCTION("""COMPUTED_VALUE"""),36162.0)</f>
        <v>36162</v>
      </c>
      <c r="E186" s="233">
        <f>IFERROR(__xludf.DUMMYFUNCTION("""COMPUTED_VALUE"""),12404.0)</f>
        <v>12404</v>
      </c>
      <c r="F186" s="171">
        <f>IFERROR(__xludf.DUMMYFUNCTION("""COMPUTED_VALUE"""),818943.0)</f>
        <v>818943</v>
      </c>
      <c r="G186" s="171">
        <f>IFERROR(__xludf.DUMMYFUNCTION("""COMPUTED_VALUE"""),12632.0)</f>
        <v>12632</v>
      </c>
      <c r="H186" s="171">
        <f>IFERROR(__xludf.DUMMYFUNCTION("""COMPUTED_VALUE"""),855105.0)</f>
        <v>855105</v>
      </c>
      <c r="I186" s="233">
        <f>IFERROR(__xludf.DUMMYFUNCTION("""COMPUTED_VALUE"""),243.0)</f>
        <v>243</v>
      </c>
      <c r="J186" s="233">
        <f>IFERROR(__xludf.DUMMYFUNCTION("""COMPUTED_VALUE"""),198.0)</f>
        <v>198</v>
      </c>
      <c r="K186" s="233">
        <f>IFERROR(__xludf.DUMMYFUNCTION("""COMPUTED_VALUE"""),26143.0)</f>
        <v>26143</v>
      </c>
      <c r="L186" s="233">
        <f>IFERROR(__xludf.DUMMYFUNCTION("""COMPUTED_VALUE"""),3544.0)</f>
        <v>3544</v>
      </c>
      <c r="M186" s="233">
        <f>IFERROR(__xludf.DUMMYFUNCTION("""COMPUTED_VALUE"""),338073.0)</f>
        <v>338073</v>
      </c>
      <c r="N186" s="233">
        <f>IFERROR(__xludf.DUMMYFUNCTION("""COMPUTED_VALUE"""),364216.0)</f>
        <v>364216</v>
      </c>
      <c r="O186" s="233">
        <f>IFERROR(__xludf.DUMMYFUNCTION("""COMPUTED_VALUE"""),13.0)</f>
        <v>13</v>
      </c>
      <c r="P186" s="233">
        <f>IFERROR(__xludf.DUMMYFUNCTION("""COMPUTED_VALUE"""),2913.0)</f>
        <v>2913</v>
      </c>
      <c r="Q186" s="233">
        <f>IFERROR(__xludf.DUMMYFUNCTION("""COMPUTED_VALUE"""),14.0)</f>
        <v>14</v>
      </c>
      <c r="R186" s="233">
        <f>IFERROR(__xludf.DUMMYFUNCTION("""COMPUTED_VALUE"""),2424.0)</f>
        <v>2424</v>
      </c>
      <c r="S186" s="233">
        <f>IFERROR(__xludf.DUMMYFUNCTION("""COMPUTED_VALUE"""),2.0)</f>
        <v>2</v>
      </c>
      <c r="T186" s="233">
        <f>IFERROR(__xludf.DUMMYFUNCTION("""COMPUTED_VALUE"""),367.0)</f>
        <v>367</v>
      </c>
      <c r="U186" s="233">
        <f>IFERROR(__xludf.DUMMYFUNCTION("""COMPUTED_VALUE"""),122.0)</f>
        <v>122</v>
      </c>
      <c r="V186" s="233">
        <f>IFERROR(__xludf.DUMMYFUNCTION("""COMPUTED_VALUE"""),122.0)</f>
        <v>122</v>
      </c>
      <c r="W186" s="233">
        <f>IFERROR(__xludf.DUMMYFUNCTION("""COMPUTED_VALUE"""),8.0)</f>
        <v>8</v>
      </c>
      <c r="X186" s="233">
        <f>IFERROR(__xludf.DUMMYFUNCTION("""COMPUTED_VALUE"""),6.0)</f>
        <v>6</v>
      </c>
      <c r="Y186" s="233">
        <f>IFERROR(__xludf.DUMMYFUNCTION("""COMPUTED_VALUE"""),2.0)</f>
        <v>2</v>
      </c>
      <c r="Z186" s="233">
        <f>IFERROR(__xludf.DUMMYFUNCTION("""COMPUTED_VALUE"""),1134.0)</f>
        <v>1134</v>
      </c>
    </row>
    <row r="187">
      <c r="A187" s="232">
        <f>IFERROR(__xludf.DUMMYFUNCTION("""COMPUTED_VALUE"""),44112.0)</f>
        <v>44112</v>
      </c>
      <c r="B187" s="233">
        <f>IFERROR(__xludf.DUMMYFUNCTION("""COMPUTED_VALUE"""),263.0)</f>
        <v>263</v>
      </c>
      <c r="C187" s="233">
        <f>IFERROR(__xludf.DUMMYFUNCTION("""COMPUTED_VALUE"""),222.0)</f>
        <v>222</v>
      </c>
      <c r="D187" s="233">
        <f>IFERROR(__xludf.DUMMYFUNCTION("""COMPUTED_VALUE"""),36425.0)</f>
        <v>36425</v>
      </c>
      <c r="E187" s="233">
        <f>IFERROR(__xludf.DUMMYFUNCTION("""COMPUTED_VALUE"""),15176.0)</f>
        <v>15176</v>
      </c>
      <c r="F187" s="171">
        <f>IFERROR(__xludf.DUMMYFUNCTION("""COMPUTED_VALUE"""),834119.0)</f>
        <v>834119</v>
      </c>
      <c r="G187" s="171">
        <f>IFERROR(__xludf.DUMMYFUNCTION("""COMPUTED_VALUE"""),15439.0)</f>
        <v>15439</v>
      </c>
      <c r="H187" s="171">
        <f>IFERROR(__xludf.DUMMYFUNCTION("""COMPUTED_VALUE"""),870544.0)</f>
        <v>870544</v>
      </c>
      <c r="I187" s="233">
        <f>IFERROR(__xludf.DUMMYFUNCTION("""COMPUTED_VALUE"""),274.0)</f>
        <v>274</v>
      </c>
      <c r="J187" s="233">
        <f>IFERROR(__xludf.DUMMYFUNCTION("""COMPUTED_VALUE"""),235.0)</f>
        <v>235</v>
      </c>
      <c r="K187" s="233">
        <f>IFERROR(__xludf.DUMMYFUNCTION("""COMPUTED_VALUE"""),26417.0)</f>
        <v>26417</v>
      </c>
      <c r="L187" s="233">
        <f>IFERROR(__xludf.DUMMYFUNCTION("""COMPUTED_VALUE"""),4208.0)</f>
        <v>4208</v>
      </c>
      <c r="M187" s="233">
        <f>IFERROR(__xludf.DUMMYFUNCTION("""COMPUTED_VALUE"""),342281.0)</f>
        <v>342281</v>
      </c>
      <c r="N187" s="233">
        <f>IFERROR(__xludf.DUMMYFUNCTION("""COMPUTED_VALUE"""),368698.0)</f>
        <v>368698</v>
      </c>
      <c r="O187" s="233">
        <f>IFERROR(__xludf.DUMMYFUNCTION("""COMPUTED_VALUE"""),16.0)</f>
        <v>16</v>
      </c>
      <c r="P187" s="233">
        <f>IFERROR(__xludf.DUMMYFUNCTION("""COMPUTED_VALUE"""),2929.0)</f>
        <v>2929</v>
      </c>
      <c r="Q187" s="233">
        <f>IFERROR(__xludf.DUMMYFUNCTION("""COMPUTED_VALUE"""),12.0)</f>
        <v>12</v>
      </c>
      <c r="R187" s="233">
        <f>IFERROR(__xludf.DUMMYFUNCTION("""COMPUTED_VALUE"""),2436.0)</f>
        <v>2436</v>
      </c>
      <c r="S187" s="233">
        <f>IFERROR(__xludf.DUMMYFUNCTION("""COMPUTED_VALUE"""),1.0)</f>
        <v>1</v>
      </c>
      <c r="T187" s="233">
        <f>IFERROR(__xludf.DUMMYFUNCTION("""COMPUTED_VALUE"""),368.0)</f>
        <v>368</v>
      </c>
      <c r="U187" s="233">
        <f>IFERROR(__xludf.DUMMYFUNCTION("""COMPUTED_VALUE"""),125.0)</f>
        <v>125</v>
      </c>
      <c r="V187" s="233">
        <f>IFERROR(__xludf.DUMMYFUNCTION("""COMPUTED_VALUE"""),124.0)</f>
        <v>124</v>
      </c>
      <c r="W187" s="233">
        <f>IFERROR(__xludf.DUMMYFUNCTION("""COMPUTED_VALUE"""),7.0)</f>
        <v>7</v>
      </c>
      <c r="X187" s="233">
        <f>IFERROR(__xludf.DUMMYFUNCTION("""COMPUTED_VALUE"""),5.0)</f>
        <v>5</v>
      </c>
      <c r="Y187" s="233">
        <f>IFERROR(__xludf.DUMMYFUNCTION("""COMPUTED_VALUE"""),3.0)</f>
        <v>3</v>
      </c>
      <c r="Z187" s="233">
        <f>IFERROR(__xludf.DUMMYFUNCTION("""COMPUTED_VALUE"""),1137.0)</f>
        <v>1137</v>
      </c>
    </row>
    <row r="188">
      <c r="A188" s="232">
        <f>IFERROR(__xludf.DUMMYFUNCTION("""COMPUTED_VALUE"""),44113.0)</f>
        <v>44113</v>
      </c>
      <c r="B188" s="233">
        <f>IFERROR(__xludf.DUMMYFUNCTION("""COMPUTED_VALUE"""),214.0)</f>
        <v>214</v>
      </c>
      <c r="C188" s="233">
        <f>IFERROR(__xludf.DUMMYFUNCTION("""COMPUTED_VALUE"""),235.0)</f>
        <v>235</v>
      </c>
      <c r="D188" s="233">
        <f>IFERROR(__xludf.DUMMYFUNCTION("""COMPUTED_VALUE"""),36639.0)</f>
        <v>36639</v>
      </c>
      <c r="E188" s="233">
        <f>IFERROR(__xludf.DUMMYFUNCTION("""COMPUTED_VALUE"""),13192.0)</f>
        <v>13192</v>
      </c>
      <c r="F188" s="171">
        <f>IFERROR(__xludf.DUMMYFUNCTION("""COMPUTED_VALUE"""),847311.0)</f>
        <v>847311</v>
      </c>
      <c r="G188" s="171">
        <f>IFERROR(__xludf.DUMMYFUNCTION("""COMPUTED_VALUE"""),13406.0)</f>
        <v>13406</v>
      </c>
      <c r="H188" s="171">
        <f>IFERROR(__xludf.DUMMYFUNCTION("""COMPUTED_VALUE"""),883950.0)</f>
        <v>883950</v>
      </c>
      <c r="I188" s="233">
        <f>IFERROR(__xludf.DUMMYFUNCTION("""COMPUTED_VALUE"""),198.0)</f>
        <v>198</v>
      </c>
      <c r="J188" s="233">
        <f>IFERROR(__xludf.DUMMYFUNCTION("""COMPUTED_VALUE"""),238.0)</f>
        <v>238</v>
      </c>
      <c r="K188" s="233">
        <f>IFERROR(__xludf.DUMMYFUNCTION("""COMPUTED_VALUE"""),26615.0)</f>
        <v>26615</v>
      </c>
      <c r="L188" s="233">
        <f>IFERROR(__xludf.DUMMYFUNCTION("""COMPUTED_VALUE"""),4314.0)</f>
        <v>4314</v>
      </c>
      <c r="M188" s="233">
        <f>IFERROR(__xludf.DUMMYFUNCTION("""COMPUTED_VALUE"""),346595.0)</f>
        <v>346595</v>
      </c>
      <c r="N188" s="233">
        <f>IFERROR(__xludf.DUMMYFUNCTION("""COMPUTED_VALUE"""),373210.0)</f>
        <v>373210</v>
      </c>
      <c r="O188" s="233">
        <f>IFERROR(__xludf.DUMMYFUNCTION("""COMPUTED_VALUE"""),19.0)</f>
        <v>19</v>
      </c>
      <c r="P188" s="233">
        <f>IFERROR(__xludf.DUMMYFUNCTION("""COMPUTED_VALUE"""),2948.0)</f>
        <v>2948</v>
      </c>
      <c r="Q188" s="233">
        <f>IFERROR(__xludf.DUMMYFUNCTION("""COMPUTED_VALUE"""),12.0)</f>
        <v>12</v>
      </c>
      <c r="R188" s="233">
        <f>IFERROR(__xludf.DUMMYFUNCTION("""COMPUTED_VALUE"""),2448.0)</f>
        <v>2448</v>
      </c>
      <c r="S188" s="233">
        <f>IFERROR(__xludf.DUMMYFUNCTION("""COMPUTED_VALUE"""),0.0)</f>
        <v>0</v>
      </c>
      <c r="T188" s="233">
        <f>IFERROR(__xludf.DUMMYFUNCTION("""COMPUTED_VALUE"""),368.0)</f>
        <v>368</v>
      </c>
      <c r="U188" s="233">
        <f>IFERROR(__xludf.DUMMYFUNCTION("""COMPUTED_VALUE"""),132.0)</f>
        <v>132</v>
      </c>
      <c r="V188" s="233">
        <f>IFERROR(__xludf.DUMMYFUNCTION("""COMPUTED_VALUE"""),126.0)</f>
        <v>126</v>
      </c>
      <c r="W188" s="233">
        <f>IFERROR(__xludf.DUMMYFUNCTION("""COMPUTED_VALUE"""),10.0)</f>
        <v>10</v>
      </c>
      <c r="X188" s="233">
        <f>IFERROR(__xludf.DUMMYFUNCTION("""COMPUTED_VALUE"""),7.0)</f>
        <v>7</v>
      </c>
      <c r="Y188" s="233">
        <f>IFERROR(__xludf.DUMMYFUNCTION("""COMPUTED_VALUE"""),3.0)</f>
        <v>3</v>
      </c>
      <c r="Z188" s="233">
        <f>IFERROR(__xludf.DUMMYFUNCTION("""COMPUTED_VALUE"""),1140.0)</f>
        <v>1140</v>
      </c>
    </row>
    <row r="189">
      <c r="A189" s="232">
        <f>IFERROR(__xludf.DUMMYFUNCTION("""COMPUTED_VALUE"""),44114.0)</f>
        <v>44114</v>
      </c>
      <c r="B189" s="233">
        <f>IFERROR(__xludf.DUMMYFUNCTION("""COMPUTED_VALUE"""),229.0)</f>
        <v>229</v>
      </c>
      <c r="C189" s="233">
        <f>IFERROR(__xludf.DUMMYFUNCTION("""COMPUTED_VALUE"""),235.0)</f>
        <v>235</v>
      </c>
      <c r="D189" s="233">
        <f>IFERROR(__xludf.DUMMYFUNCTION("""COMPUTED_VALUE"""),36868.0)</f>
        <v>36868</v>
      </c>
      <c r="E189" s="233">
        <f>IFERROR(__xludf.DUMMYFUNCTION("""COMPUTED_VALUE"""),13808.0)</f>
        <v>13808</v>
      </c>
      <c r="F189" s="171">
        <f>IFERROR(__xludf.DUMMYFUNCTION("""COMPUTED_VALUE"""),861119.0)</f>
        <v>861119</v>
      </c>
      <c r="G189" s="171">
        <f>IFERROR(__xludf.DUMMYFUNCTION("""COMPUTED_VALUE"""),14037.0)</f>
        <v>14037</v>
      </c>
      <c r="H189" s="171">
        <f>IFERROR(__xludf.DUMMYFUNCTION("""COMPUTED_VALUE"""),897987.0)</f>
        <v>897987</v>
      </c>
      <c r="I189" s="233">
        <f>IFERROR(__xludf.DUMMYFUNCTION("""COMPUTED_VALUE"""),197.0)</f>
        <v>197</v>
      </c>
      <c r="J189" s="233">
        <f>IFERROR(__xludf.DUMMYFUNCTION("""COMPUTED_VALUE"""),223.0)</f>
        <v>223</v>
      </c>
      <c r="K189" s="233">
        <f>IFERROR(__xludf.DUMMYFUNCTION("""COMPUTED_VALUE"""),26812.0)</f>
        <v>26812</v>
      </c>
      <c r="L189" s="233">
        <f>IFERROR(__xludf.DUMMYFUNCTION("""COMPUTED_VALUE"""),3829.0)</f>
        <v>3829</v>
      </c>
      <c r="M189" s="233">
        <f>IFERROR(__xludf.DUMMYFUNCTION("""COMPUTED_VALUE"""),350424.0)</f>
        <v>350424</v>
      </c>
      <c r="N189" s="233">
        <f>IFERROR(__xludf.DUMMYFUNCTION("""COMPUTED_VALUE"""),377236.0)</f>
        <v>377236</v>
      </c>
      <c r="O189" s="233">
        <f>IFERROR(__xludf.DUMMYFUNCTION("""COMPUTED_VALUE"""),17.0)</f>
        <v>17</v>
      </c>
      <c r="P189" s="233">
        <f>IFERROR(__xludf.DUMMYFUNCTION("""COMPUTED_VALUE"""),2965.0)</f>
        <v>2965</v>
      </c>
      <c r="Q189" s="233">
        <f>IFERROR(__xludf.DUMMYFUNCTION("""COMPUTED_VALUE"""),10.0)</f>
        <v>10</v>
      </c>
      <c r="R189" s="233">
        <f>IFERROR(__xludf.DUMMYFUNCTION("""COMPUTED_VALUE"""),2458.0)</f>
        <v>2458</v>
      </c>
      <c r="S189" s="233">
        <f>IFERROR(__xludf.DUMMYFUNCTION("""COMPUTED_VALUE"""),1.0)</f>
        <v>1</v>
      </c>
      <c r="T189" s="233">
        <f>IFERROR(__xludf.DUMMYFUNCTION("""COMPUTED_VALUE"""),369.0)</f>
        <v>369</v>
      </c>
      <c r="U189" s="233">
        <f>IFERROR(__xludf.DUMMYFUNCTION("""COMPUTED_VALUE"""),138.0)</f>
        <v>138</v>
      </c>
      <c r="V189" s="233">
        <f>IFERROR(__xludf.DUMMYFUNCTION("""COMPUTED_VALUE"""),132.0)</f>
        <v>132</v>
      </c>
      <c r="W189" s="233">
        <f>IFERROR(__xludf.DUMMYFUNCTION("""COMPUTED_VALUE"""),12.0)</f>
        <v>12</v>
      </c>
      <c r="X189" s="233">
        <f>IFERROR(__xludf.DUMMYFUNCTION("""COMPUTED_VALUE"""),6.0)</f>
        <v>6</v>
      </c>
      <c r="Y189" s="233">
        <f>IFERROR(__xludf.DUMMYFUNCTION("""COMPUTED_VALUE"""),2.0)</f>
        <v>2</v>
      </c>
      <c r="Z189" s="233">
        <f>IFERROR(__xludf.DUMMYFUNCTION("""COMPUTED_VALUE"""),1142.0)</f>
        <v>1142</v>
      </c>
    </row>
    <row r="190">
      <c r="A190" s="232">
        <f>IFERROR(__xludf.DUMMYFUNCTION("""COMPUTED_VALUE"""),44115.0)</f>
        <v>44115</v>
      </c>
      <c r="B190" s="233">
        <f>IFERROR(__xludf.DUMMYFUNCTION("""COMPUTED_VALUE"""),94.0)</f>
        <v>94</v>
      </c>
      <c r="C190" s="233">
        <f>IFERROR(__xludf.DUMMYFUNCTION("""COMPUTED_VALUE"""),179.0)</f>
        <v>179</v>
      </c>
      <c r="D190" s="233">
        <f>IFERROR(__xludf.DUMMYFUNCTION("""COMPUTED_VALUE"""),36962.0)</f>
        <v>36962</v>
      </c>
      <c r="E190" s="233">
        <f>IFERROR(__xludf.DUMMYFUNCTION("""COMPUTED_VALUE"""),3251.0)</f>
        <v>3251</v>
      </c>
      <c r="F190" s="171">
        <f>IFERROR(__xludf.DUMMYFUNCTION("""COMPUTED_VALUE"""),864370.0)</f>
        <v>864370</v>
      </c>
      <c r="G190" s="171">
        <f>IFERROR(__xludf.DUMMYFUNCTION("""COMPUTED_VALUE"""),3345.0)</f>
        <v>3345</v>
      </c>
      <c r="H190" s="171">
        <f>IFERROR(__xludf.DUMMYFUNCTION("""COMPUTED_VALUE"""),901332.0)</f>
        <v>901332</v>
      </c>
      <c r="I190" s="233">
        <f>IFERROR(__xludf.DUMMYFUNCTION("""COMPUTED_VALUE"""),87.0)</f>
        <v>87</v>
      </c>
      <c r="J190" s="233">
        <f>IFERROR(__xludf.DUMMYFUNCTION("""COMPUTED_VALUE"""),161.0)</f>
        <v>161</v>
      </c>
      <c r="K190" s="233">
        <f>IFERROR(__xludf.DUMMYFUNCTION("""COMPUTED_VALUE"""),26899.0)</f>
        <v>26899</v>
      </c>
      <c r="L190" s="233">
        <f>IFERROR(__xludf.DUMMYFUNCTION("""COMPUTED_VALUE"""),1166.0)</f>
        <v>1166</v>
      </c>
      <c r="M190" s="233">
        <f>IFERROR(__xludf.DUMMYFUNCTION("""COMPUTED_VALUE"""),351590.0)</f>
        <v>351590</v>
      </c>
      <c r="N190" s="233">
        <f>IFERROR(__xludf.DUMMYFUNCTION("""COMPUTED_VALUE"""),378489.0)</f>
        <v>378489</v>
      </c>
      <c r="O190" s="233">
        <f>IFERROR(__xludf.DUMMYFUNCTION("""COMPUTED_VALUE"""),12.0)</f>
        <v>12</v>
      </c>
      <c r="P190" s="233">
        <f>IFERROR(__xludf.DUMMYFUNCTION("""COMPUTED_VALUE"""),2977.0)</f>
        <v>2977</v>
      </c>
      <c r="Q190" s="233">
        <f>IFERROR(__xludf.DUMMYFUNCTION("""COMPUTED_VALUE"""),9.0)</f>
        <v>9</v>
      </c>
      <c r="R190" s="233">
        <f>IFERROR(__xludf.DUMMYFUNCTION("""COMPUTED_VALUE"""),2467.0)</f>
        <v>2467</v>
      </c>
      <c r="S190" s="233">
        <f>IFERROR(__xludf.DUMMYFUNCTION("""COMPUTED_VALUE"""),1.0)</f>
        <v>1</v>
      </c>
      <c r="T190" s="233">
        <f>IFERROR(__xludf.DUMMYFUNCTION("""COMPUTED_VALUE"""),370.0)</f>
        <v>370</v>
      </c>
      <c r="U190" s="233">
        <f>IFERROR(__xludf.DUMMYFUNCTION("""COMPUTED_VALUE"""),140.0)</f>
        <v>140</v>
      </c>
      <c r="V190" s="233">
        <f>IFERROR(__xludf.DUMMYFUNCTION("""COMPUTED_VALUE"""),137.0)</f>
        <v>137</v>
      </c>
      <c r="W190" s="233">
        <f>IFERROR(__xludf.DUMMYFUNCTION("""COMPUTED_VALUE"""),13.0)</f>
        <v>13</v>
      </c>
      <c r="X190" s="233">
        <f>IFERROR(__xludf.DUMMYFUNCTION("""COMPUTED_VALUE"""),5.0)</f>
        <v>5</v>
      </c>
      <c r="Y190" s="233">
        <f>IFERROR(__xludf.DUMMYFUNCTION("""COMPUTED_VALUE"""),6.0)</f>
        <v>6</v>
      </c>
      <c r="Z190" s="233">
        <f>IFERROR(__xludf.DUMMYFUNCTION("""COMPUTED_VALUE"""),1148.0)</f>
        <v>1148</v>
      </c>
    </row>
    <row r="191">
      <c r="A191" s="232">
        <f>IFERROR(__xludf.DUMMYFUNCTION("""COMPUTED_VALUE"""),44116.0)</f>
        <v>44116</v>
      </c>
      <c r="B191" s="233">
        <f>IFERROR(__xludf.DUMMYFUNCTION("""COMPUTED_VALUE"""),165.0)</f>
        <v>165</v>
      </c>
      <c r="C191" s="233">
        <f>IFERROR(__xludf.DUMMYFUNCTION("""COMPUTED_VALUE"""),163.0)</f>
        <v>163</v>
      </c>
      <c r="D191" s="233">
        <f>IFERROR(__xludf.DUMMYFUNCTION("""COMPUTED_VALUE"""),37127.0)</f>
        <v>37127</v>
      </c>
      <c r="E191" s="233">
        <f>IFERROR(__xludf.DUMMYFUNCTION("""COMPUTED_VALUE"""),6389.0)</f>
        <v>6389</v>
      </c>
      <c r="F191" s="171">
        <f>IFERROR(__xludf.DUMMYFUNCTION("""COMPUTED_VALUE"""),870759.0)</f>
        <v>870759</v>
      </c>
      <c r="G191" s="171">
        <f>IFERROR(__xludf.DUMMYFUNCTION("""COMPUTED_VALUE"""),6554.0)</f>
        <v>6554</v>
      </c>
      <c r="H191" s="171">
        <f>IFERROR(__xludf.DUMMYFUNCTION("""COMPUTED_VALUE"""),907886.0)</f>
        <v>907886</v>
      </c>
      <c r="I191" s="233">
        <f>IFERROR(__xludf.DUMMYFUNCTION("""COMPUTED_VALUE"""),159.0)</f>
        <v>159</v>
      </c>
      <c r="J191" s="233">
        <f>IFERROR(__xludf.DUMMYFUNCTION("""COMPUTED_VALUE"""),148.0)</f>
        <v>148</v>
      </c>
      <c r="K191" s="233">
        <f>IFERROR(__xludf.DUMMYFUNCTION("""COMPUTED_VALUE"""),27058.0)</f>
        <v>27058</v>
      </c>
      <c r="L191" s="233">
        <f>IFERROR(__xludf.DUMMYFUNCTION("""COMPUTED_VALUE"""),1751.0)</f>
        <v>1751</v>
      </c>
      <c r="M191" s="233">
        <f>IFERROR(__xludf.DUMMYFUNCTION("""COMPUTED_VALUE"""),353341.0)</f>
        <v>353341</v>
      </c>
      <c r="N191" s="233">
        <f>IFERROR(__xludf.DUMMYFUNCTION("""COMPUTED_VALUE"""),380399.0)</f>
        <v>380399</v>
      </c>
      <c r="O191" s="233">
        <f>IFERROR(__xludf.DUMMYFUNCTION("""COMPUTED_VALUE"""),17.0)</f>
        <v>17</v>
      </c>
      <c r="P191" s="233">
        <f>IFERROR(__xludf.DUMMYFUNCTION("""COMPUTED_VALUE"""),2994.0)</f>
        <v>2994</v>
      </c>
      <c r="Q191" s="233">
        <f>IFERROR(__xludf.DUMMYFUNCTION("""COMPUTED_VALUE"""),15.0)</f>
        <v>15</v>
      </c>
      <c r="R191" s="233">
        <f>IFERROR(__xludf.DUMMYFUNCTION("""COMPUTED_VALUE"""),2482.0)</f>
        <v>2482</v>
      </c>
      <c r="S191" s="233">
        <f>IFERROR(__xludf.DUMMYFUNCTION("""COMPUTED_VALUE"""),2.0)</f>
        <v>2</v>
      </c>
      <c r="T191" s="233">
        <f>IFERROR(__xludf.DUMMYFUNCTION("""COMPUTED_VALUE"""),372.0)</f>
        <v>372</v>
      </c>
      <c r="U191" s="233">
        <f>IFERROR(__xludf.DUMMYFUNCTION("""COMPUTED_VALUE"""),140.0)</f>
        <v>140</v>
      </c>
      <c r="V191" s="233">
        <f>IFERROR(__xludf.DUMMYFUNCTION("""COMPUTED_VALUE"""),139.0)</f>
        <v>139</v>
      </c>
      <c r="W191" s="233">
        <f>IFERROR(__xludf.DUMMYFUNCTION("""COMPUTED_VALUE"""),13.0)</f>
        <v>13</v>
      </c>
      <c r="X191" s="233">
        <f>IFERROR(__xludf.DUMMYFUNCTION("""COMPUTED_VALUE"""),5.0)</f>
        <v>5</v>
      </c>
      <c r="Y191" s="233">
        <f>IFERROR(__xludf.DUMMYFUNCTION("""COMPUTED_VALUE"""),4.0)</f>
        <v>4</v>
      </c>
      <c r="Z191" s="233">
        <f>IFERROR(__xludf.DUMMYFUNCTION("""COMPUTED_VALUE"""),1152.0)</f>
        <v>1152</v>
      </c>
    </row>
    <row r="192">
      <c r="A192" s="232">
        <f>IFERROR(__xludf.DUMMYFUNCTION("""COMPUTED_VALUE"""),44117.0)</f>
        <v>44117</v>
      </c>
      <c r="B192" s="233">
        <f>IFERROR(__xludf.DUMMYFUNCTION("""COMPUTED_VALUE"""),210.0)</f>
        <v>210</v>
      </c>
      <c r="C192" s="233">
        <f>IFERROR(__xludf.DUMMYFUNCTION("""COMPUTED_VALUE"""),156.0)</f>
        <v>156</v>
      </c>
      <c r="D192" s="233">
        <f>IFERROR(__xludf.DUMMYFUNCTION("""COMPUTED_VALUE"""),37337.0)</f>
        <v>37337</v>
      </c>
      <c r="E192" s="233">
        <f>IFERROR(__xludf.DUMMYFUNCTION("""COMPUTED_VALUE"""),8481.0)</f>
        <v>8481</v>
      </c>
      <c r="F192" s="171">
        <f>IFERROR(__xludf.DUMMYFUNCTION("""COMPUTED_VALUE"""),879240.0)</f>
        <v>879240</v>
      </c>
      <c r="G192" s="171">
        <f>IFERROR(__xludf.DUMMYFUNCTION("""COMPUTED_VALUE"""),8691.0)</f>
        <v>8691</v>
      </c>
      <c r="H192" s="171">
        <f>IFERROR(__xludf.DUMMYFUNCTION("""COMPUTED_VALUE"""),916577.0)</f>
        <v>916577</v>
      </c>
      <c r="I192" s="233">
        <f>IFERROR(__xludf.DUMMYFUNCTION("""COMPUTED_VALUE"""),207.0)</f>
        <v>207</v>
      </c>
      <c r="J192" s="233">
        <f>IFERROR(__xludf.DUMMYFUNCTION("""COMPUTED_VALUE"""),151.0)</f>
        <v>151</v>
      </c>
      <c r="K192" s="233">
        <f>IFERROR(__xludf.DUMMYFUNCTION("""COMPUTED_VALUE"""),27265.0)</f>
        <v>27265</v>
      </c>
      <c r="L192" s="233">
        <f>IFERROR(__xludf.DUMMYFUNCTION("""COMPUTED_VALUE"""),2315.0)</f>
        <v>2315</v>
      </c>
      <c r="M192" s="233">
        <f>IFERROR(__xludf.DUMMYFUNCTION("""COMPUTED_VALUE"""),355656.0)</f>
        <v>355656</v>
      </c>
      <c r="N192" s="233">
        <f>IFERROR(__xludf.DUMMYFUNCTION("""COMPUTED_VALUE"""),382921.0)</f>
        <v>382921</v>
      </c>
      <c r="O192" s="233">
        <f>IFERROR(__xludf.DUMMYFUNCTION("""COMPUTED_VALUE"""),14.0)</f>
        <v>14</v>
      </c>
      <c r="P192" s="233">
        <f>IFERROR(__xludf.DUMMYFUNCTION("""COMPUTED_VALUE"""),3008.0)</f>
        <v>3008</v>
      </c>
      <c r="Q192" s="233">
        <f>IFERROR(__xludf.DUMMYFUNCTION("""COMPUTED_VALUE"""),13.0)</f>
        <v>13</v>
      </c>
      <c r="R192" s="233">
        <f>IFERROR(__xludf.DUMMYFUNCTION("""COMPUTED_VALUE"""),2495.0)</f>
        <v>2495</v>
      </c>
      <c r="S192" s="233">
        <f>IFERROR(__xludf.DUMMYFUNCTION("""COMPUTED_VALUE"""),4.0)</f>
        <v>4</v>
      </c>
      <c r="T192" s="233">
        <f>IFERROR(__xludf.DUMMYFUNCTION("""COMPUTED_VALUE"""),376.0)</f>
        <v>376</v>
      </c>
      <c r="U192" s="233">
        <f>IFERROR(__xludf.DUMMYFUNCTION("""COMPUTED_VALUE"""),137.0)</f>
        <v>137</v>
      </c>
      <c r="V192" s="233">
        <f>IFERROR(__xludf.DUMMYFUNCTION("""COMPUTED_VALUE"""),139.0)</f>
        <v>139</v>
      </c>
      <c r="W192" s="233">
        <f>IFERROR(__xludf.DUMMYFUNCTION("""COMPUTED_VALUE"""),12.0)</f>
        <v>12</v>
      </c>
      <c r="X192" s="233">
        <f>IFERROR(__xludf.DUMMYFUNCTION("""COMPUTED_VALUE"""),5.0)</f>
        <v>5</v>
      </c>
      <c r="Y192" s="233">
        <f>IFERROR(__xludf.DUMMYFUNCTION("""COMPUTED_VALUE"""),7.0)</f>
        <v>7</v>
      </c>
      <c r="Z192" s="233">
        <f>IFERROR(__xludf.DUMMYFUNCTION("""COMPUTED_VALUE"""),1159.0)</f>
        <v>1159</v>
      </c>
    </row>
    <row r="193">
      <c r="A193" s="232">
        <f>IFERROR(__xludf.DUMMYFUNCTION("""COMPUTED_VALUE"""),44118.0)</f>
        <v>44118</v>
      </c>
      <c r="B193" s="233">
        <f>IFERROR(__xludf.DUMMYFUNCTION("""COMPUTED_VALUE"""),320.0)</f>
        <v>320</v>
      </c>
      <c r="C193" s="233">
        <f>IFERROR(__xludf.DUMMYFUNCTION("""COMPUTED_VALUE"""),232.0)</f>
        <v>232</v>
      </c>
      <c r="D193" s="233">
        <f>IFERROR(__xludf.DUMMYFUNCTION("""COMPUTED_VALUE"""),37657.0)</f>
        <v>37657</v>
      </c>
      <c r="E193" s="233">
        <f>IFERROR(__xludf.DUMMYFUNCTION("""COMPUTED_VALUE"""),14988.0)</f>
        <v>14988</v>
      </c>
      <c r="F193" s="171">
        <f>IFERROR(__xludf.DUMMYFUNCTION("""COMPUTED_VALUE"""),894228.0)</f>
        <v>894228</v>
      </c>
      <c r="G193" s="171">
        <f>IFERROR(__xludf.DUMMYFUNCTION("""COMPUTED_VALUE"""),15308.0)</f>
        <v>15308</v>
      </c>
      <c r="H193" s="171">
        <f>IFERROR(__xludf.DUMMYFUNCTION("""COMPUTED_VALUE"""),931885.0)</f>
        <v>931885</v>
      </c>
      <c r="I193" s="233">
        <f>IFERROR(__xludf.DUMMYFUNCTION("""COMPUTED_VALUE"""),309.0)</f>
        <v>309</v>
      </c>
      <c r="J193" s="233">
        <f>IFERROR(__xludf.DUMMYFUNCTION("""COMPUTED_VALUE"""),225.0)</f>
        <v>225</v>
      </c>
      <c r="K193" s="233">
        <f>IFERROR(__xludf.DUMMYFUNCTION("""COMPUTED_VALUE"""),27574.0)</f>
        <v>27574</v>
      </c>
      <c r="L193" s="233">
        <f>IFERROR(__xludf.DUMMYFUNCTION("""COMPUTED_VALUE"""),4070.0)</f>
        <v>4070</v>
      </c>
      <c r="M193" s="233">
        <f>IFERROR(__xludf.DUMMYFUNCTION("""COMPUTED_VALUE"""),359726.0)</f>
        <v>359726</v>
      </c>
      <c r="N193" s="233">
        <f>IFERROR(__xludf.DUMMYFUNCTION("""COMPUTED_VALUE"""),387300.0)</f>
        <v>387300</v>
      </c>
      <c r="O193" s="233">
        <f>IFERROR(__xludf.DUMMYFUNCTION("""COMPUTED_VALUE"""),15.0)</f>
        <v>15</v>
      </c>
      <c r="P193" s="233">
        <f>IFERROR(__xludf.DUMMYFUNCTION("""COMPUTED_VALUE"""),3023.0)</f>
        <v>3023</v>
      </c>
      <c r="Q193" s="233">
        <f>IFERROR(__xludf.DUMMYFUNCTION("""COMPUTED_VALUE"""),7.0)</f>
        <v>7</v>
      </c>
      <c r="R193" s="233">
        <f>IFERROR(__xludf.DUMMYFUNCTION("""COMPUTED_VALUE"""),2502.0)</f>
        <v>2502</v>
      </c>
      <c r="S193" s="233">
        <f>IFERROR(__xludf.DUMMYFUNCTION("""COMPUTED_VALUE"""),0.0)</f>
        <v>0</v>
      </c>
      <c r="T193" s="233">
        <f>IFERROR(__xludf.DUMMYFUNCTION("""COMPUTED_VALUE"""),376.0)</f>
        <v>376</v>
      </c>
      <c r="U193" s="233">
        <f>IFERROR(__xludf.DUMMYFUNCTION("""COMPUTED_VALUE"""),145.0)</f>
        <v>145</v>
      </c>
      <c r="V193" s="233">
        <f>IFERROR(__xludf.DUMMYFUNCTION("""COMPUTED_VALUE"""),141.0)</f>
        <v>141</v>
      </c>
      <c r="W193" s="233">
        <f>IFERROR(__xludf.DUMMYFUNCTION("""COMPUTED_VALUE"""),14.0)</f>
        <v>14</v>
      </c>
      <c r="X193" s="233">
        <f>IFERROR(__xludf.DUMMYFUNCTION("""COMPUTED_VALUE"""),5.0)</f>
        <v>5</v>
      </c>
      <c r="Y193" s="233">
        <f>IFERROR(__xludf.DUMMYFUNCTION("""COMPUTED_VALUE"""),2.0)</f>
        <v>2</v>
      </c>
      <c r="Z193" s="233">
        <f>IFERROR(__xludf.DUMMYFUNCTION("""COMPUTED_VALUE"""),1161.0)</f>
        <v>1161</v>
      </c>
    </row>
    <row r="194">
      <c r="A194" s="232">
        <f>IFERROR(__xludf.DUMMYFUNCTION("""COMPUTED_VALUE"""),44119.0)</f>
        <v>44119</v>
      </c>
      <c r="B194" s="233">
        <f>IFERROR(__xludf.DUMMYFUNCTION("""COMPUTED_VALUE"""),263.0)</f>
        <v>263</v>
      </c>
      <c r="C194" s="233">
        <f>IFERROR(__xludf.DUMMYFUNCTION("""COMPUTED_VALUE"""),264.0)</f>
        <v>264</v>
      </c>
      <c r="D194" s="233">
        <f>IFERROR(__xludf.DUMMYFUNCTION("""COMPUTED_VALUE"""),37920.0)</f>
        <v>37920</v>
      </c>
      <c r="E194" s="233">
        <f>IFERROR(__xludf.DUMMYFUNCTION("""COMPUTED_VALUE"""),14553.0)</f>
        <v>14553</v>
      </c>
      <c r="F194" s="171">
        <f>IFERROR(__xludf.DUMMYFUNCTION("""COMPUTED_VALUE"""),908781.0)</f>
        <v>908781</v>
      </c>
      <c r="G194" s="171">
        <f>IFERROR(__xludf.DUMMYFUNCTION("""COMPUTED_VALUE"""),14816.0)</f>
        <v>14816</v>
      </c>
      <c r="H194" s="171">
        <f>IFERROR(__xludf.DUMMYFUNCTION("""COMPUTED_VALUE"""),946701.0)</f>
        <v>946701</v>
      </c>
      <c r="I194" s="233">
        <f>IFERROR(__xludf.DUMMYFUNCTION("""COMPUTED_VALUE"""),254.0)</f>
        <v>254</v>
      </c>
      <c r="J194" s="233">
        <f>IFERROR(__xludf.DUMMYFUNCTION("""COMPUTED_VALUE"""),257.0)</f>
        <v>257</v>
      </c>
      <c r="K194" s="233">
        <f>IFERROR(__xludf.DUMMYFUNCTION("""COMPUTED_VALUE"""),27828.0)</f>
        <v>27828</v>
      </c>
      <c r="L194" s="233">
        <f>IFERROR(__xludf.DUMMYFUNCTION("""COMPUTED_VALUE"""),3590.0)</f>
        <v>3590</v>
      </c>
      <c r="M194" s="233">
        <f>IFERROR(__xludf.DUMMYFUNCTION("""COMPUTED_VALUE"""),363316.0)</f>
        <v>363316</v>
      </c>
      <c r="N194" s="233">
        <f>IFERROR(__xludf.DUMMYFUNCTION("""COMPUTED_VALUE"""),391144.0)</f>
        <v>391144</v>
      </c>
      <c r="O194" s="233">
        <f>IFERROR(__xludf.DUMMYFUNCTION("""COMPUTED_VALUE"""),9.0)</f>
        <v>9</v>
      </c>
      <c r="P194" s="233">
        <f>IFERROR(__xludf.DUMMYFUNCTION("""COMPUTED_VALUE"""),3032.0)</f>
        <v>3032</v>
      </c>
      <c r="Q194" s="233">
        <f>IFERROR(__xludf.DUMMYFUNCTION("""COMPUTED_VALUE"""),16.0)</f>
        <v>16</v>
      </c>
      <c r="R194" s="233">
        <f>IFERROR(__xludf.DUMMYFUNCTION("""COMPUTED_VALUE"""),2518.0)</f>
        <v>2518</v>
      </c>
      <c r="S194" s="233">
        <f>IFERROR(__xludf.DUMMYFUNCTION("""COMPUTED_VALUE"""),1.0)</f>
        <v>1</v>
      </c>
      <c r="T194" s="233">
        <f>IFERROR(__xludf.DUMMYFUNCTION("""COMPUTED_VALUE"""),377.0)</f>
        <v>377</v>
      </c>
      <c r="U194" s="233">
        <f>IFERROR(__xludf.DUMMYFUNCTION("""COMPUTED_VALUE"""),137.0)</f>
        <v>137</v>
      </c>
      <c r="V194" s="233">
        <f>IFERROR(__xludf.DUMMYFUNCTION("""COMPUTED_VALUE"""),140.0)</f>
        <v>140</v>
      </c>
      <c r="W194" s="233">
        <f>IFERROR(__xludf.DUMMYFUNCTION("""COMPUTED_VALUE"""),12.0)</f>
        <v>12</v>
      </c>
      <c r="X194" s="233">
        <f>IFERROR(__xludf.DUMMYFUNCTION("""COMPUTED_VALUE"""),5.0)</f>
        <v>5</v>
      </c>
      <c r="Y194" s="233">
        <f>IFERROR(__xludf.DUMMYFUNCTION("""COMPUTED_VALUE"""),2.0)</f>
        <v>2</v>
      </c>
      <c r="Z194" s="233">
        <f>IFERROR(__xludf.DUMMYFUNCTION("""COMPUTED_VALUE"""),1163.0)</f>
        <v>1163</v>
      </c>
    </row>
    <row r="195">
      <c r="A195" s="232">
        <f>IFERROR(__xludf.DUMMYFUNCTION("""COMPUTED_VALUE"""),44120.0)</f>
        <v>44120</v>
      </c>
      <c r="B195" s="233">
        <f>IFERROR(__xludf.DUMMYFUNCTION("""COMPUTED_VALUE"""),273.0)</f>
        <v>273</v>
      </c>
      <c r="C195" s="233">
        <f>IFERROR(__xludf.DUMMYFUNCTION("""COMPUTED_VALUE"""),285.0)</f>
        <v>285</v>
      </c>
      <c r="D195" s="233">
        <f>IFERROR(__xludf.DUMMYFUNCTION("""COMPUTED_VALUE"""),38193.0)</f>
        <v>38193</v>
      </c>
      <c r="E195" s="233">
        <f>IFERROR(__xludf.DUMMYFUNCTION("""COMPUTED_VALUE"""),14937.0)</f>
        <v>14937</v>
      </c>
      <c r="F195" s="171">
        <f>IFERROR(__xludf.DUMMYFUNCTION("""COMPUTED_VALUE"""),923718.0)</f>
        <v>923718</v>
      </c>
      <c r="G195" s="171">
        <f>IFERROR(__xludf.DUMMYFUNCTION("""COMPUTED_VALUE"""),15210.0)</f>
        <v>15210</v>
      </c>
      <c r="H195" s="171">
        <f>IFERROR(__xludf.DUMMYFUNCTION("""COMPUTED_VALUE"""),961911.0)</f>
        <v>961911</v>
      </c>
      <c r="I195" s="233">
        <f>IFERROR(__xludf.DUMMYFUNCTION("""COMPUTED_VALUE"""),265.0)</f>
        <v>265</v>
      </c>
      <c r="J195" s="233">
        <f>IFERROR(__xludf.DUMMYFUNCTION("""COMPUTED_VALUE"""),276.0)</f>
        <v>276</v>
      </c>
      <c r="K195" s="233">
        <f>IFERROR(__xludf.DUMMYFUNCTION("""COMPUTED_VALUE"""),28093.0)</f>
        <v>28093</v>
      </c>
      <c r="L195" s="233">
        <f>IFERROR(__xludf.DUMMYFUNCTION("""COMPUTED_VALUE"""),3406.0)</f>
        <v>3406</v>
      </c>
      <c r="M195" s="233">
        <f>IFERROR(__xludf.DUMMYFUNCTION("""COMPUTED_VALUE"""),366722.0)</f>
        <v>366722</v>
      </c>
      <c r="N195" s="233">
        <f>IFERROR(__xludf.DUMMYFUNCTION("""COMPUTED_VALUE"""),394815.0)</f>
        <v>394815</v>
      </c>
      <c r="O195" s="233">
        <f>IFERROR(__xludf.DUMMYFUNCTION("""COMPUTED_VALUE"""),13.0)</f>
        <v>13</v>
      </c>
      <c r="P195" s="233">
        <f>IFERROR(__xludf.DUMMYFUNCTION("""COMPUTED_VALUE"""),3045.0)</f>
        <v>3045</v>
      </c>
      <c r="Q195" s="233">
        <f>IFERROR(__xludf.DUMMYFUNCTION("""COMPUTED_VALUE"""),18.0)</f>
        <v>18</v>
      </c>
      <c r="R195" s="233">
        <f>IFERROR(__xludf.DUMMYFUNCTION("""COMPUTED_VALUE"""),2536.0)</f>
        <v>2536</v>
      </c>
      <c r="S195" s="233">
        <f>IFERROR(__xludf.DUMMYFUNCTION("""COMPUTED_VALUE"""),1.0)</f>
        <v>1</v>
      </c>
      <c r="T195" s="233">
        <f>IFERROR(__xludf.DUMMYFUNCTION("""COMPUTED_VALUE"""),378.0)</f>
        <v>378</v>
      </c>
      <c r="U195" s="233">
        <f>IFERROR(__xludf.DUMMYFUNCTION("""COMPUTED_VALUE"""),131.0)</f>
        <v>131</v>
      </c>
      <c r="V195" s="233">
        <f>IFERROR(__xludf.DUMMYFUNCTION("""COMPUTED_VALUE"""),138.0)</f>
        <v>138</v>
      </c>
      <c r="W195" s="233">
        <f>IFERROR(__xludf.DUMMYFUNCTION("""COMPUTED_VALUE"""),13.0)</f>
        <v>13</v>
      </c>
      <c r="X195" s="233">
        <f>IFERROR(__xludf.DUMMYFUNCTION("""COMPUTED_VALUE"""),4.0)</f>
        <v>4</v>
      </c>
      <c r="Y195" s="233">
        <f>IFERROR(__xludf.DUMMYFUNCTION("""COMPUTED_VALUE"""),2.0)</f>
        <v>2</v>
      </c>
      <c r="Z195" s="233">
        <f>IFERROR(__xludf.DUMMYFUNCTION("""COMPUTED_VALUE"""),1165.0)</f>
        <v>1165</v>
      </c>
    </row>
    <row r="196">
      <c r="A196" s="232">
        <f>IFERROR(__xludf.DUMMYFUNCTION("""COMPUTED_VALUE"""),44121.0)</f>
        <v>44121</v>
      </c>
      <c r="B196" s="233">
        <f>IFERROR(__xludf.DUMMYFUNCTION("""COMPUTED_VALUE"""),348.0)</f>
        <v>348</v>
      </c>
      <c r="C196" s="233">
        <f>IFERROR(__xludf.DUMMYFUNCTION("""COMPUTED_VALUE"""),295.0)</f>
        <v>295</v>
      </c>
      <c r="D196" s="233">
        <f>IFERROR(__xludf.DUMMYFUNCTION("""COMPUTED_VALUE"""),38541.0)</f>
        <v>38541</v>
      </c>
      <c r="E196" s="233">
        <f>IFERROR(__xludf.DUMMYFUNCTION("""COMPUTED_VALUE"""),13970.0)</f>
        <v>13970</v>
      </c>
      <c r="F196" s="171">
        <f>IFERROR(__xludf.DUMMYFUNCTION("""COMPUTED_VALUE"""),937688.0)</f>
        <v>937688</v>
      </c>
      <c r="G196" s="171">
        <f>IFERROR(__xludf.DUMMYFUNCTION("""COMPUTED_VALUE"""),14318.0)</f>
        <v>14318</v>
      </c>
      <c r="H196" s="171">
        <f>IFERROR(__xludf.DUMMYFUNCTION("""COMPUTED_VALUE"""),976229.0)</f>
        <v>976229</v>
      </c>
      <c r="I196" s="233">
        <f>IFERROR(__xludf.DUMMYFUNCTION("""COMPUTED_VALUE"""),305.0)</f>
        <v>305</v>
      </c>
      <c r="J196" s="233">
        <f>IFERROR(__xludf.DUMMYFUNCTION("""COMPUTED_VALUE"""),275.0)</f>
        <v>275</v>
      </c>
      <c r="K196" s="233">
        <f>IFERROR(__xludf.DUMMYFUNCTION("""COMPUTED_VALUE"""),28398.0)</f>
        <v>28398</v>
      </c>
      <c r="L196" s="233">
        <f>IFERROR(__xludf.DUMMYFUNCTION("""COMPUTED_VALUE"""),3266.0)</f>
        <v>3266</v>
      </c>
      <c r="M196" s="233">
        <f>IFERROR(__xludf.DUMMYFUNCTION("""COMPUTED_VALUE"""),369988.0)</f>
        <v>369988</v>
      </c>
      <c r="N196" s="233">
        <f>IFERROR(__xludf.DUMMYFUNCTION("""COMPUTED_VALUE"""),398386.0)</f>
        <v>398386</v>
      </c>
      <c r="O196" s="233">
        <f>IFERROR(__xludf.DUMMYFUNCTION("""COMPUTED_VALUE"""),17.0)</f>
        <v>17</v>
      </c>
      <c r="P196" s="233">
        <f>IFERROR(__xludf.DUMMYFUNCTION("""COMPUTED_VALUE"""),3062.0)</f>
        <v>3062</v>
      </c>
      <c r="Q196" s="233">
        <f>IFERROR(__xludf.DUMMYFUNCTION("""COMPUTED_VALUE"""),11.0)</f>
        <v>11</v>
      </c>
      <c r="R196" s="233">
        <f>IFERROR(__xludf.DUMMYFUNCTION("""COMPUTED_VALUE"""),2547.0)</f>
        <v>2547</v>
      </c>
      <c r="S196" s="233">
        <f>IFERROR(__xludf.DUMMYFUNCTION("""COMPUTED_VALUE"""),1.0)</f>
        <v>1</v>
      </c>
      <c r="T196" s="233">
        <f>IFERROR(__xludf.DUMMYFUNCTION("""COMPUTED_VALUE"""),379.0)</f>
        <v>379</v>
      </c>
      <c r="U196" s="233">
        <f>IFERROR(__xludf.DUMMYFUNCTION("""COMPUTED_VALUE"""),136.0)</f>
        <v>136</v>
      </c>
      <c r="V196" s="233">
        <f>IFERROR(__xludf.DUMMYFUNCTION("""COMPUTED_VALUE"""),135.0)</f>
        <v>135</v>
      </c>
      <c r="W196" s="233">
        <f>IFERROR(__xludf.DUMMYFUNCTION("""COMPUTED_VALUE"""),16.0)</f>
        <v>16</v>
      </c>
      <c r="X196" s="233">
        <f>IFERROR(__xludf.DUMMYFUNCTION("""COMPUTED_VALUE"""),4.0)</f>
        <v>4</v>
      </c>
      <c r="Y196" s="233">
        <f>IFERROR(__xludf.DUMMYFUNCTION("""COMPUTED_VALUE"""),2.0)</f>
        <v>2</v>
      </c>
      <c r="Z196" s="233">
        <f>IFERROR(__xludf.DUMMYFUNCTION("""COMPUTED_VALUE"""),1167.0)</f>
        <v>1167</v>
      </c>
    </row>
    <row r="197">
      <c r="A197" s="232">
        <f>IFERROR(__xludf.DUMMYFUNCTION("""COMPUTED_VALUE"""),44122.0)</f>
        <v>44122</v>
      </c>
      <c r="B197" s="233">
        <f>IFERROR(__xludf.DUMMYFUNCTION("""COMPUTED_VALUE"""),137.0)</f>
        <v>137</v>
      </c>
      <c r="C197" s="233">
        <f>IFERROR(__xludf.DUMMYFUNCTION("""COMPUTED_VALUE"""),253.0)</f>
        <v>253</v>
      </c>
      <c r="D197" s="233">
        <f>IFERROR(__xludf.DUMMYFUNCTION("""COMPUTED_VALUE"""),38678.0)</f>
        <v>38678</v>
      </c>
      <c r="E197" s="233">
        <f>IFERROR(__xludf.DUMMYFUNCTION("""COMPUTED_VALUE"""),3770.0)</f>
        <v>3770</v>
      </c>
      <c r="F197" s="171">
        <f>IFERROR(__xludf.DUMMYFUNCTION("""COMPUTED_VALUE"""),941458.0)</f>
        <v>941458</v>
      </c>
      <c r="G197" s="171">
        <f>IFERROR(__xludf.DUMMYFUNCTION("""COMPUTED_VALUE"""),3907.0)</f>
        <v>3907</v>
      </c>
      <c r="H197" s="171">
        <f>IFERROR(__xludf.DUMMYFUNCTION("""COMPUTED_VALUE"""),980136.0)</f>
        <v>980136</v>
      </c>
      <c r="I197" s="233">
        <f>IFERROR(__xludf.DUMMYFUNCTION("""COMPUTED_VALUE"""),124.0)</f>
        <v>124</v>
      </c>
      <c r="J197" s="233">
        <f>IFERROR(__xludf.DUMMYFUNCTION("""COMPUTED_VALUE"""),231.0)</f>
        <v>231</v>
      </c>
      <c r="K197" s="233">
        <f>IFERROR(__xludf.DUMMYFUNCTION("""COMPUTED_VALUE"""),28522.0)</f>
        <v>28522</v>
      </c>
      <c r="L197" s="233">
        <f>IFERROR(__xludf.DUMMYFUNCTION("""COMPUTED_VALUE"""),1202.0)</f>
        <v>1202</v>
      </c>
      <c r="M197" s="233">
        <f>IFERROR(__xludf.DUMMYFUNCTION("""COMPUTED_VALUE"""),371190.0)</f>
        <v>371190</v>
      </c>
      <c r="N197" s="233">
        <f>IFERROR(__xludf.DUMMYFUNCTION("""COMPUTED_VALUE"""),399712.0)</f>
        <v>399712</v>
      </c>
      <c r="O197" s="233">
        <f>IFERROR(__xludf.DUMMYFUNCTION("""COMPUTED_VALUE"""),16.0)</f>
        <v>16</v>
      </c>
      <c r="P197" s="233">
        <f>IFERROR(__xludf.DUMMYFUNCTION("""COMPUTED_VALUE"""),3078.0)</f>
        <v>3078</v>
      </c>
      <c r="Q197" s="233">
        <f>IFERROR(__xludf.DUMMYFUNCTION("""COMPUTED_VALUE"""),11.0)</f>
        <v>11</v>
      </c>
      <c r="R197" s="233">
        <f>IFERROR(__xludf.DUMMYFUNCTION("""COMPUTED_VALUE"""),2558.0)</f>
        <v>2558</v>
      </c>
      <c r="S197" s="233">
        <f>IFERROR(__xludf.DUMMYFUNCTION("""COMPUTED_VALUE"""),0.0)</f>
        <v>0</v>
      </c>
      <c r="T197" s="233">
        <f>IFERROR(__xludf.DUMMYFUNCTION("""COMPUTED_VALUE"""),379.0)</f>
        <v>379</v>
      </c>
      <c r="U197" s="233">
        <f>IFERROR(__xludf.DUMMYFUNCTION("""COMPUTED_VALUE"""),141.0)</f>
        <v>141</v>
      </c>
      <c r="V197" s="233">
        <f>IFERROR(__xludf.DUMMYFUNCTION("""COMPUTED_VALUE"""),136.0)</f>
        <v>136</v>
      </c>
      <c r="W197" s="233">
        <f>IFERROR(__xludf.DUMMYFUNCTION("""COMPUTED_VALUE"""),16.0)</f>
        <v>16</v>
      </c>
      <c r="X197" s="233">
        <f>IFERROR(__xludf.DUMMYFUNCTION("""COMPUTED_VALUE"""),6.0)</f>
        <v>6</v>
      </c>
      <c r="Y197" s="233">
        <f>IFERROR(__xludf.DUMMYFUNCTION("""COMPUTED_VALUE"""),1.0)</f>
        <v>1</v>
      </c>
      <c r="Z197" s="233">
        <f>IFERROR(__xludf.DUMMYFUNCTION("""COMPUTED_VALUE"""),1168.0)</f>
        <v>1168</v>
      </c>
    </row>
    <row r="198">
      <c r="A198" s="232">
        <f>IFERROR(__xludf.DUMMYFUNCTION("""COMPUTED_VALUE"""),44123.0)</f>
        <v>44123</v>
      </c>
      <c r="B198" s="233">
        <f>IFERROR(__xludf.DUMMYFUNCTION("""COMPUTED_VALUE"""),334.0)</f>
        <v>334</v>
      </c>
      <c r="C198" s="233">
        <f>IFERROR(__xludf.DUMMYFUNCTION("""COMPUTED_VALUE"""),273.0)</f>
        <v>273</v>
      </c>
      <c r="D198" s="233">
        <f>IFERROR(__xludf.DUMMYFUNCTION("""COMPUTED_VALUE"""),39012.0)</f>
        <v>39012</v>
      </c>
      <c r="E198" s="233">
        <f>IFERROR(__xludf.DUMMYFUNCTION("""COMPUTED_VALUE"""),7210.0)</f>
        <v>7210</v>
      </c>
      <c r="F198" s="171">
        <f>IFERROR(__xludf.DUMMYFUNCTION("""COMPUTED_VALUE"""),948668.0)</f>
        <v>948668</v>
      </c>
      <c r="G198" s="171">
        <f>IFERROR(__xludf.DUMMYFUNCTION("""COMPUTED_VALUE"""),7544.0)</f>
        <v>7544</v>
      </c>
      <c r="H198" s="171">
        <f>IFERROR(__xludf.DUMMYFUNCTION("""COMPUTED_VALUE"""),987680.0)</f>
        <v>987680</v>
      </c>
      <c r="I198" s="233">
        <f>IFERROR(__xludf.DUMMYFUNCTION("""COMPUTED_VALUE"""),317.0)</f>
        <v>317</v>
      </c>
      <c r="J198" s="233">
        <f>IFERROR(__xludf.DUMMYFUNCTION("""COMPUTED_VALUE"""),249.0)</f>
        <v>249</v>
      </c>
      <c r="K198" s="233">
        <f>IFERROR(__xludf.DUMMYFUNCTION("""COMPUTED_VALUE"""),28839.0)</f>
        <v>28839</v>
      </c>
      <c r="L198" s="233">
        <f>IFERROR(__xludf.DUMMYFUNCTION("""COMPUTED_VALUE"""),2137.0)</f>
        <v>2137</v>
      </c>
      <c r="M198" s="233">
        <f>IFERROR(__xludf.DUMMYFUNCTION("""COMPUTED_VALUE"""),373327.0)</f>
        <v>373327</v>
      </c>
      <c r="N198" s="233">
        <f>IFERROR(__xludf.DUMMYFUNCTION("""COMPUTED_VALUE"""),402166.0)</f>
        <v>402166</v>
      </c>
      <c r="O198" s="233">
        <f>IFERROR(__xludf.DUMMYFUNCTION("""COMPUTED_VALUE"""),13.0)</f>
        <v>13</v>
      </c>
      <c r="P198" s="233">
        <f>IFERROR(__xludf.DUMMYFUNCTION("""COMPUTED_VALUE"""),3091.0)</f>
        <v>3091</v>
      </c>
      <c r="Q198" s="233">
        <f>IFERROR(__xludf.DUMMYFUNCTION("""COMPUTED_VALUE"""),22.0)</f>
        <v>22</v>
      </c>
      <c r="R198" s="233">
        <f>IFERROR(__xludf.DUMMYFUNCTION("""COMPUTED_VALUE"""),2580.0)</f>
        <v>2580</v>
      </c>
      <c r="S198" s="233">
        <f>IFERROR(__xludf.DUMMYFUNCTION("""COMPUTED_VALUE"""),2.0)</f>
        <v>2</v>
      </c>
      <c r="T198" s="233">
        <f>IFERROR(__xludf.DUMMYFUNCTION("""COMPUTED_VALUE"""),381.0)</f>
        <v>381</v>
      </c>
      <c r="U198" s="233">
        <f>IFERROR(__xludf.DUMMYFUNCTION("""COMPUTED_VALUE"""),130.0)</f>
        <v>130</v>
      </c>
      <c r="V198" s="233">
        <f>IFERROR(__xludf.DUMMYFUNCTION("""COMPUTED_VALUE"""),136.0)</f>
        <v>136</v>
      </c>
      <c r="W198" s="233">
        <f>IFERROR(__xludf.DUMMYFUNCTION("""COMPUTED_VALUE"""),14.0)</f>
        <v>14</v>
      </c>
      <c r="X198" s="233">
        <f>IFERROR(__xludf.DUMMYFUNCTION("""COMPUTED_VALUE"""),6.0)</f>
        <v>6</v>
      </c>
      <c r="Y198" s="233">
        <f>IFERROR(__xludf.DUMMYFUNCTION("""COMPUTED_VALUE"""),0.0)</f>
        <v>0</v>
      </c>
      <c r="Z198" s="233">
        <f>IFERROR(__xludf.DUMMYFUNCTION("""COMPUTED_VALUE"""),1168.0)</f>
        <v>1168</v>
      </c>
    </row>
    <row r="199">
      <c r="A199" s="232">
        <f>IFERROR(__xludf.DUMMYFUNCTION("""COMPUTED_VALUE"""),44124.0)</f>
        <v>44124</v>
      </c>
      <c r="B199" s="233">
        <f>IFERROR(__xludf.DUMMYFUNCTION("""COMPUTED_VALUE"""),312.0)</f>
        <v>312</v>
      </c>
      <c r="C199" s="233">
        <f>IFERROR(__xludf.DUMMYFUNCTION("""COMPUTED_VALUE"""),261.0)</f>
        <v>261</v>
      </c>
      <c r="D199" s="233">
        <f>IFERROR(__xludf.DUMMYFUNCTION("""COMPUTED_VALUE"""),39324.0)</f>
        <v>39324</v>
      </c>
      <c r="E199" s="233">
        <f>IFERROR(__xludf.DUMMYFUNCTION("""COMPUTED_VALUE"""),10568.0)</f>
        <v>10568</v>
      </c>
      <c r="F199" s="171">
        <f>IFERROR(__xludf.DUMMYFUNCTION("""COMPUTED_VALUE"""),959236.0)</f>
        <v>959236</v>
      </c>
      <c r="G199" s="171">
        <f>IFERROR(__xludf.DUMMYFUNCTION("""COMPUTED_VALUE"""),10880.0)</f>
        <v>10880</v>
      </c>
      <c r="H199" s="171">
        <f>IFERROR(__xludf.DUMMYFUNCTION("""COMPUTED_VALUE"""),998560.0)</f>
        <v>998560</v>
      </c>
      <c r="I199" s="233">
        <f>IFERROR(__xludf.DUMMYFUNCTION("""COMPUTED_VALUE"""),284.0)</f>
        <v>284</v>
      </c>
      <c r="J199" s="233">
        <f>IFERROR(__xludf.DUMMYFUNCTION("""COMPUTED_VALUE"""),242.0)</f>
        <v>242</v>
      </c>
      <c r="K199" s="233">
        <f>IFERROR(__xludf.DUMMYFUNCTION("""COMPUTED_VALUE"""),29123.0)</f>
        <v>29123</v>
      </c>
      <c r="L199" s="233">
        <f>IFERROR(__xludf.DUMMYFUNCTION("""COMPUTED_VALUE"""),2230.0)</f>
        <v>2230</v>
      </c>
      <c r="M199" s="233">
        <f>IFERROR(__xludf.DUMMYFUNCTION("""COMPUTED_VALUE"""),375557.0)</f>
        <v>375557</v>
      </c>
      <c r="N199" s="233">
        <f>IFERROR(__xludf.DUMMYFUNCTION("""COMPUTED_VALUE"""),404680.0)</f>
        <v>404680</v>
      </c>
      <c r="O199" s="233" t="str">
        <f>IFERROR(__xludf.DUMMYFUNCTION("""COMPUTED_VALUE"""),"")</f>
        <v/>
      </c>
      <c r="P199" s="233" t="str">
        <f>IFERROR(__xludf.DUMMYFUNCTION("""COMPUTED_VALUE"""),"")</f>
        <v/>
      </c>
      <c r="Q199" s="233" t="str">
        <f>IFERROR(__xludf.DUMMYFUNCTION("""COMPUTED_VALUE"""),"")</f>
        <v/>
      </c>
      <c r="R199" s="233" t="str">
        <f>IFERROR(__xludf.DUMMYFUNCTION("""COMPUTED_VALUE"""),"")</f>
        <v/>
      </c>
      <c r="S199" s="233" t="str">
        <f>IFERROR(__xludf.DUMMYFUNCTION("""COMPUTED_VALUE"""),"")</f>
        <v/>
      </c>
      <c r="T199" s="233" t="str">
        <f>IFERROR(__xludf.DUMMYFUNCTION("""COMPUTED_VALUE"""),"")</f>
        <v/>
      </c>
      <c r="U199" s="233" t="str">
        <f>IFERROR(__xludf.DUMMYFUNCTION("""COMPUTED_VALUE"""),"")</f>
        <v/>
      </c>
      <c r="V199" s="233" t="str">
        <f>IFERROR(__xludf.DUMMYFUNCTION("""COMPUTED_VALUE"""),"")</f>
        <v/>
      </c>
      <c r="W199" s="233" t="str">
        <f>IFERROR(__xludf.DUMMYFUNCTION("""COMPUTED_VALUE"""),"")</f>
        <v/>
      </c>
      <c r="X199" s="233" t="str">
        <f>IFERROR(__xludf.DUMMYFUNCTION("""COMPUTED_VALUE"""),"")</f>
        <v/>
      </c>
      <c r="Y199" s="233">
        <f>IFERROR(__xludf.DUMMYFUNCTION("""COMPUTED_VALUE"""),1.0)</f>
        <v>1</v>
      </c>
      <c r="Z199" s="233">
        <f>IFERROR(__xludf.DUMMYFUNCTION("""COMPUTED_VALUE"""),1169.0)</f>
        <v>1169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4" t="s">
        <v>691</v>
      </c>
      <c r="B1" s="235" t="s">
        <v>227</v>
      </c>
      <c r="C1" s="169" t="s">
        <v>124</v>
      </c>
    </row>
    <row r="2" ht="14.25" customHeight="1">
      <c r="A2" s="236" t="str">
        <f>'Cases by ZCTA'!A2</f>
        <v>02802</v>
      </c>
      <c r="B2" s="237">
        <f>'Cases by ZCTA'!B2</f>
        <v>12</v>
      </c>
      <c r="C2" s="237">
        <f>'Cases by ZCTA'!C2</f>
        <v>1788</v>
      </c>
    </row>
    <row r="3" ht="14.25" customHeight="1">
      <c r="A3" s="236" t="str">
        <f>'Cases by ZCTA'!A3</f>
        <v>02804</v>
      </c>
      <c r="B3" s="237">
        <f>'Cases by ZCTA'!B3</f>
        <v>6</v>
      </c>
      <c r="C3" s="237">
        <f>'Cases by ZCTA'!C3</f>
        <v>299</v>
      </c>
    </row>
    <row r="4" ht="14.25" customHeight="1">
      <c r="A4" s="236" t="str">
        <f>'Cases by ZCTA'!A4</f>
        <v>02806</v>
      </c>
      <c r="B4" s="237">
        <f>'Cases by ZCTA'!B4</f>
        <v>103</v>
      </c>
      <c r="C4" s="237">
        <f>'Cases by ZCTA'!C4</f>
        <v>636</v>
      </c>
    </row>
    <row r="5" ht="14.25" customHeight="1">
      <c r="A5" s="236" t="str">
        <f>'Cases by ZCTA'!A5</f>
        <v>02807</v>
      </c>
      <c r="B5" s="237">
        <f>'Cases by ZCTA'!B5</f>
        <v>8</v>
      </c>
      <c r="C5" s="237">
        <f>'Cases by ZCTA'!C5</f>
        <v>967</v>
      </c>
    </row>
    <row r="6" ht="14.25" customHeight="1">
      <c r="A6" s="236" t="str">
        <f>'Cases by ZCTA'!A6</f>
        <v>02808</v>
      </c>
      <c r="B6" s="237">
        <f>'Cases by ZCTA'!B6</f>
        <v>19</v>
      </c>
      <c r="C6" s="237">
        <f>'Cases by ZCTA'!C6</f>
        <v>741</v>
      </c>
    </row>
    <row r="7" ht="14.25" customHeight="1">
      <c r="A7" s="236" t="str">
        <f>'Cases by ZCTA'!A7</f>
        <v>02809</v>
      </c>
      <c r="B7" s="237">
        <f>'Cases by ZCTA'!B7</f>
        <v>263</v>
      </c>
      <c r="C7" s="237">
        <f>'Cases by ZCTA'!C7</f>
        <v>1182</v>
      </c>
    </row>
    <row r="8" ht="14.25" customHeight="1">
      <c r="A8" s="236" t="str">
        <f>'Cases by ZCTA'!A8</f>
        <v>02812</v>
      </c>
      <c r="B8" s="237">
        <f>'Cases by ZCTA'!B8</f>
        <v>11</v>
      </c>
      <c r="C8" s="237">
        <f>'Cases by ZCTA'!C8</f>
        <v>911</v>
      </c>
    </row>
    <row r="9" ht="14.25" customHeight="1">
      <c r="A9" s="236" t="str">
        <f>'Cases by ZCTA'!A9</f>
        <v>02813</v>
      </c>
      <c r="B9" s="237">
        <f>'Cases by ZCTA'!B9</f>
        <v>47</v>
      </c>
      <c r="C9" s="237">
        <f>'Cases by ZCTA'!C9</f>
        <v>604</v>
      </c>
    </row>
    <row r="10" ht="14.25" customHeight="1">
      <c r="A10" s="236" t="str">
        <f>'Cases by ZCTA'!A10</f>
        <v>02814</v>
      </c>
      <c r="B10" s="237">
        <f>'Cases by ZCTA'!B10</f>
        <v>59</v>
      </c>
      <c r="C10" s="237">
        <f>'Cases by ZCTA'!C10</f>
        <v>769</v>
      </c>
    </row>
    <row r="11" ht="14.25" customHeight="1">
      <c r="A11" s="236" t="str">
        <f>'Cases by ZCTA'!A11</f>
        <v>02815</v>
      </c>
      <c r="B11" s="237">
        <f>'Cases by ZCTA'!B11</f>
        <v>0</v>
      </c>
      <c r="C11" s="237">
        <f>'Cases by ZCTA'!C11</f>
        <v>0</v>
      </c>
    </row>
    <row r="12" ht="14.25" customHeight="1">
      <c r="A12" s="236" t="str">
        <f>'Cases by ZCTA'!A12</f>
        <v>02816</v>
      </c>
      <c r="B12" s="237">
        <f>'Cases by ZCTA'!B12</f>
        <v>398</v>
      </c>
      <c r="C12" s="237">
        <f>'Cases by ZCTA'!C12</f>
        <v>1212</v>
      </c>
    </row>
    <row r="13" ht="14.25" customHeight="1">
      <c r="A13" s="236" t="str">
        <f>'Cases by ZCTA'!A13</f>
        <v>02817</v>
      </c>
      <c r="B13" s="237">
        <f>'Cases by ZCTA'!B13</f>
        <v>53</v>
      </c>
      <c r="C13" s="237">
        <f>'Cases by ZCTA'!C13</f>
        <v>879</v>
      </c>
    </row>
    <row r="14" ht="14.25" customHeight="1">
      <c r="A14" s="236" t="str">
        <f>'Cases by ZCTA'!A14</f>
        <v>02818</v>
      </c>
      <c r="B14" s="237">
        <f>'Cases by ZCTA'!B14</f>
        <v>177</v>
      </c>
      <c r="C14" s="237">
        <f>'Cases by ZCTA'!C14</f>
        <v>973</v>
      </c>
    </row>
    <row r="15" ht="14.25" customHeight="1">
      <c r="A15" s="236" t="str">
        <f>'Cases by ZCTA'!A15</f>
        <v>02822</v>
      </c>
      <c r="B15" s="237">
        <f>'Cases by ZCTA'!B15</f>
        <v>60</v>
      </c>
      <c r="C15" s="237">
        <f>'Cases by ZCTA'!C15</f>
        <v>912</v>
      </c>
    </row>
    <row r="16" ht="14.25" customHeight="1">
      <c r="A16" s="236" t="str">
        <f>'Cases by ZCTA'!A16</f>
        <v>02825</v>
      </c>
      <c r="B16" s="237">
        <f>'Cases by ZCTA'!B16</f>
        <v>48</v>
      </c>
      <c r="C16" s="237">
        <f>'Cases by ZCTA'!C16</f>
        <v>873</v>
      </c>
    </row>
    <row r="17" ht="14.25" customHeight="1">
      <c r="A17" s="236" t="str">
        <f>'Cases by ZCTA'!A17</f>
        <v>02826</v>
      </c>
      <c r="B17" s="237">
        <f>'Cases by ZCTA'!B17</f>
        <v>5</v>
      </c>
      <c r="C17" s="237">
        <f>'Cases by ZCTA'!C17</f>
        <v>998</v>
      </c>
    </row>
    <row r="18" ht="14.25" customHeight="1">
      <c r="A18" s="236" t="str">
        <f>'Cases by ZCTA'!A18</f>
        <v>02827</v>
      </c>
      <c r="B18" s="237">
        <f>'Cases by ZCTA'!B18</f>
        <v>23</v>
      </c>
      <c r="C18" s="237">
        <f>'Cases by ZCTA'!C18</f>
        <v>1117</v>
      </c>
    </row>
    <row r="19" ht="14.25" customHeight="1">
      <c r="A19" s="236" t="str">
        <f>'Cases by ZCTA'!A19</f>
        <v>02828</v>
      </c>
      <c r="B19" s="237">
        <f>'Cases by ZCTA'!B19</f>
        <v>260</v>
      </c>
      <c r="C19" s="237">
        <f>'Cases by ZCTA'!C19</f>
        <v>3307</v>
      </c>
    </row>
    <row r="20" ht="14.25" customHeight="1">
      <c r="A20" s="236" t="str">
        <f>'Cases by ZCTA'!A20</f>
        <v>02830</v>
      </c>
      <c r="B20" s="237">
        <f>'Cases by ZCTA'!B20</f>
        <v>49</v>
      </c>
      <c r="C20" s="237">
        <f>'Cases by ZCTA'!C20</f>
        <v>826</v>
      </c>
    </row>
    <row r="21" ht="14.25" customHeight="1">
      <c r="A21" s="236" t="str">
        <f>'Cases by ZCTA'!A21</f>
        <v>02831</v>
      </c>
      <c r="B21" s="237">
        <f>'Cases by ZCTA'!B21</f>
        <v>44</v>
      </c>
      <c r="C21" s="237">
        <f>'Cases by ZCTA'!C21</f>
        <v>1257</v>
      </c>
    </row>
    <row r="22" ht="14.25" customHeight="1">
      <c r="A22" s="236" t="str">
        <f>'Cases by ZCTA'!A22</f>
        <v>02832</v>
      </c>
      <c r="B22" s="237">
        <f>'Cases by ZCTA'!B22</f>
        <v>23</v>
      </c>
      <c r="C22" s="237">
        <f>'Cases by ZCTA'!C22</f>
        <v>532</v>
      </c>
    </row>
    <row r="23" ht="14.25" customHeight="1">
      <c r="A23" s="236" t="str">
        <f>'Cases by ZCTA'!A23</f>
        <v>02833</v>
      </c>
      <c r="B23" s="237">
        <f>'Cases by ZCTA'!B23</f>
        <v>0</v>
      </c>
      <c r="C23" s="237">
        <f>'Cases by ZCTA'!C23</f>
        <v>0</v>
      </c>
    </row>
    <row r="24" ht="14.25" customHeight="1">
      <c r="A24" s="236" t="str">
        <f>'Cases by ZCTA'!A24</f>
        <v>02835</v>
      </c>
      <c r="B24" s="237">
        <f>'Cases by ZCTA'!B24</f>
        <v>41</v>
      </c>
      <c r="C24" s="237">
        <f>'Cases by ZCTA'!C24</f>
        <v>746</v>
      </c>
    </row>
    <row r="25" ht="14.25" customHeight="1">
      <c r="A25" s="236" t="str">
        <f>'Cases by ZCTA'!A25</f>
        <v>02836</v>
      </c>
      <c r="B25" s="237">
        <f>'Cases by ZCTA'!B25</f>
        <v>0</v>
      </c>
      <c r="C25" s="237">
        <f>'Cases by ZCTA'!C25</f>
        <v>0</v>
      </c>
    </row>
    <row r="26" ht="14.25" customHeight="1">
      <c r="A26" s="236" t="str">
        <f>'Cases by ZCTA'!A26</f>
        <v>02837</v>
      </c>
      <c r="B26" s="237">
        <f>'Cases by ZCTA'!B26</f>
        <v>17</v>
      </c>
      <c r="C26" s="237">
        <f>'Cases by ZCTA'!C26</f>
        <v>485</v>
      </c>
    </row>
    <row r="27" ht="14.25" customHeight="1">
      <c r="A27" s="236" t="str">
        <f>'Cases by ZCTA'!A27</f>
        <v>02838</v>
      </c>
      <c r="B27" s="237">
        <f>'Cases by ZCTA'!B27</f>
        <v>143</v>
      </c>
      <c r="C27" s="237">
        <f>'Cases by ZCTA'!C27</f>
        <v>4064</v>
      </c>
    </row>
    <row r="28" ht="14.25" customHeight="1">
      <c r="A28" s="236" t="str">
        <f>'Cases by ZCTA'!A28</f>
        <v>02839</v>
      </c>
      <c r="B28" s="237">
        <f>'Cases by ZCTA'!B28</f>
        <v>22</v>
      </c>
      <c r="C28" s="237">
        <f>'Cases by ZCTA'!C28</f>
        <v>1067</v>
      </c>
    </row>
    <row r="29" ht="14.25" customHeight="1">
      <c r="A29" s="236" t="str">
        <f>'Cases by ZCTA'!A29</f>
        <v>02840</v>
      </c>
      <c r="B29" s="237">
        <f>'Cases by ZCTA'!B29</f>
        <v>186</v>
      </c>
      <c r="C29" s="237">
        <f>'Cases by ZCTA'!C29</f>
        <v>801</v>
      </c>
    </row>
    <row r="30" ht="14.25" customHeight="1">
      <c r="A30" s="236" t="str">
        <f>'Cases by ZCTA'!A30</f>
        <v>02841</v>
      </c>
      <c r="B30" s="237">
        <f>'Cases by ZCTA'!B30</f>
        <v>12</v>
      </c>
      <c r="C30" s="237">
        <f>'Cases by ZCTA'!C30</f>
        <v>735</v>
      </c>
    </row>
    <row r="31" ht="14.25" customHeight="1">
      <c r="A31" s="236" t="str">
        <f>'Cases by ZCTA'!A31</f>
        <v>02842</v>
      </c>
      <c r="B31" s="237">
        <f>'Cases by ZCTA'!B31</f>
        <v>93</v>
      </c>
      <c r="C31" s="237">
        <f>'Cases by ZCTA'!C31</f>
        <v>581</v>
      </c>
    </row>
    <row r="32" ht="14.25" customHeight="1">
      <c r="A32" s="236" t="str">
        <f>'Cases by ZCTA'!A32</f>
        <v>02852</v>
      </c>
      <c r="B32" s="237">
        <f>'Cases by ZCTA'!B32</f>
        <v>347</v>
      </c>
      <c r="C32" s="237">
        <f>'Cases by ZCTA'!C32</f>
        <v>1575</v>
      </c>
    </row>
    <row r="33" ht="14.25" customHeight="1">
      <c r="A33" s="236" t="str">
        <f>'Cases by ZCTA'!A33</f>
        <v>02857</v>
      </c>
      <c r="B33" s="237">
        <f>'Cases by ZCTA'!B33</f>
        <v>69</v>
      </c>
      <c r="C33" s="237">
        <f>'Cases by ZCTA'!C33</f>
        <v>790</v>
      </c>
    </row>
    <row r="34" ht="14.25" customHeight="1">
      <c r="A34" s="236" t="str">
        <f>'Cases by ZCTA'!A34</f>
        <v>02858</v>
      </c>
      <c r="B34" s="237">
        <f>'Cases by ZCTA'!B34</f>
        <v>5</v>
      </c>
      <c r="C34" s="237">
        <f>'Cases by ZCTA'!C34</f>
        <v>687</v>
      </c>
    </row>
    <row r="35" ht="14.25" customHeight="1">
      <c r="A35" s="236" t="str">
        <f>'Cases by ZCTA'!A35</f>
        <v>02859</v>
      </c>
      <c r="B35" s="237">
        <f>'Cases by ZCTA'!B35</f>
        <v>116</v>
      </c>
      <c r="C35" s="237">
        <f>'Cases by ZCTA'!C35</f>
        <v>1605</v>
      </c>
    </row>
    <row r="36" ht="14.25" customHeight="1">
      <c r="A36" s="236" t="str">
        <f>'Cases by ZCTA'!A36</f>
        <v>02860</v>
      </c>
      <c r="B36" s="237">
        <f>'Cases by ZCTA'!B36</f>
        <v>2056</v>
      </c>
      <c r="C36" s="237">
        <f>'Cases by ZCTA'!C36</f>
        <v>4363</v>
      </c>
    </row>
    <row r="37" ht="14.25" customHeight="1">
      <c r="A37" s="236" t="str">
        <f>'Cases by ZCTA'!A37</f>
        <v>02861</v>
      </c>
      <c r="B37" s="237">
        <f>'Cases by ZCTA'!B37</f>
        <v>721</v>
      </c>
      <c r="C37" s="237">
        <f>'Cases by ZCTA'!C37</f>
        <v>2879</v>
      </c>
    </row>
    <row r="38" ht="14.25" customHeight="1">
      <c r="A38" s="236" t="str">
        <f>'Cases by ZCTA'!A38</f>
        <v>02863</v>
      </c>
      <c r="B38" s="237">
        <f>'Cases by ZCTA'!B38</f>
        <v>1460</v>
      </c>
      <c r="C38" s="237">
        <f>'Cases by ZCTA'!C38</f>
        <v>7547</v>
      </c>
    </row>
    <row r="39" ht="14.25" customHeight="1">
      <c r="A39" s="236" t="str">
        <f>'Cases by ZCTA'!A39</f>
        <v>02864</v>
      </c>
      <c r="B39" s="237">
        <f>'Cases by ZCTA'!B39</f>
        <v>602</v>
      </c>
      <c r="C39" s="237">
        <f>'Cases by ZCTA'!C39</f>
        <v>1739</v>
      </c>
    </row>
    <row r="40" ht="14.25" customHeight="1">
      <c r="A40" s="236" t="str">
        <f>'Cases by ZCTA'!A40</f>
        <v>02865</v>
      </c>
      <c r="B40" s="237">
        <f>'Cases by ZCTA'!B40</f>
        <v>278</v>
      </c>
      <c r="C40" s="237">
        <f>'Cases by ZCTA'!C40</f>
        <v>1593</v>
      </c>
    </row>
    <row r="41" ht="14.25" customHeight="1">
      <c r="A41" s="236" t="str">
        <f>'Cases by ZCTA'!A41</f>
        <v>02871</v>
      </c>
      <c r="B41" s="237">
        <f>'Cases by ZCTA'!B41</f>
        <v>103</v>
      </c>
      <c r="C41" s="237">
        <f>'Cases by ZCTA'!C41</f>
        <v>601</v>
      </c>
    </row>
    <row r="42" ht="14.25" customHeight="1">
      <c r="A42" s="236" t="str">
        <f>'Cases by ZCTA'!A42</f>
        <v>02872</v>
      </c>
      <c r="B42" s="237">
        <f>'Cases by ZCTA'!B42</f>
        <v>0</v>
      </c>
      <c r="C42" s="237">
        <f>'Cases by ZCTA'!C42</f>
        <v>0</v>
      </c>
    </row>
    <row r="43" ht="14.25" customHeight="1">
      <c r="A43" s="236" t="str">
        <f>'Cases by ZCTA'!A43</f>
        <v>02873</v>
      </c>
      <c r="B43" s="237">
        <f>'Cases by ZCTA'!B43</f>
        <v>0</v>
      </c>
      <c r="C43" s="237">
        <f>'Cases by ZCTA'!C43</f>
        <v>0</v>
      </c>
    </row>
    <row r="44" ht="14.25" customHeight="1">
      <c r="A44" s="236" t="str">
        <f>'Cases by ZCTA'!A44</f>
        <v>02874</v>
      </c>
      <c r="B44" s="237">
        <f>'Cases by ZCTA'!B44</f>
        <v>63</v>
      </c>
      <c r="C44" s="237">
        <f>'Cases by ZCTA'!C44</f>
        <v>1057</v>
      </c>
    </row>
    <row r="45" ht="14.25" customHeight="1">
      <c r="A45" s="236" t="str">
        <f>'Cases by ZCTA'!A45</f>
        <v>02875</v>
      </c>
      <c r="B45" s="237">
        <f>'Cases by ZCTA'!B45</f>
        <v>0</v>
      </c>
      <c r="C45" s="237">
        <f>'Cases by ZCTA'!C45</f>
        <v>0</v>
      </c>
    </row>
    <row r="46" ht="14.25" customHeight="1">
      <c r="A46" s="236" t="str">
        <f>'Cases by ZCTA'!A46</f>
        <v>02876</v>
      </c>
      <c r="B46" s="237">
        <f>'Cases by ZCTA'!B46</f>
        <v>7</v>
      </c>
      <c r="C46" s="237">
        <f>'Cases by ZCTA'!C46</f>
        <v>2405</v>
      </c>
    </row>
    <row r="47" ht="14.25" customHeight="1">
      <c r="A47" s="236" t="str">
        <f>'Cases by ZCTA'!A47</f>
        <v>02878</v>
      </c>
      <c r="B47" s="237">
        <f>'Cases by ZCTA'!B47</f>
        <v>167</v>
      </c>
      <c r="C47" s="237">
        <f>'Cases by ZCTA'!C47</f>
        <v>1056</v>
      </c>
    </row>
    <row r="48" ht="14.25" customHeight="1">
      <c r="A48" s="236" t="str">
        <f>'Cases by ZCTA'!A48</f>
        <v>02879</v>
      </c>
      <c r="B48" s="237">
        <f>'Cases by ZCTA'!B48</f>
        <v>192</v>
      </c>
      <c r="C48" s="237">
        <f>'Cases by ZCTA'!C48</f>
        <v>935</v>
      </c>
    </row>
    <row r="49" ht="14.25" customHeight="1">
      <c r="A49" s="236" t="str">
        <f>'Cases by ZCTA'!A49</f>
        <v>02881</v>
      </c>
      <c r="B49" s="237">
        <f>'Cases by ZCTA'!B49</f>
        <v>83</v>
      </c>
      <c r="C49" s="237">
        <f>'Cases by ZCTA'!C49</f>
        <v>1059</v>
      </c>
    </row>
    <row r="50" ht="14.25" customHeight="1">
      <c r="A50" s="236" t="str">
        <f>'Cases by ZCTA'!A50</f>
        <v>02882</v>
      </c>
      <c r="B50" s="237">
        <f>'Cases by ZCTA'!B50</f>
        <v>310</v>
      </c>
      <c r="C50" s="237">
        <f>'Cases by ZCTA'!C50</f>
        <v>2222</v>
      </c>
    </row>
    <row r="51" ht="14.25" customHeight="1">
      <c r="A51" s="236" t="str">
        <f>'Cases by ZCTA'!A51</f>
        <v>02885</v>
      </c>
      <c r="B51" s="237">
        <f>'Cases by ZCTA'!B51</f>
        <v>130</v>
      </c>
      <c r="C51" s="237">
        <f>'Cases by ZCTA'!C51</f>
        <v>1242</v>
      </c>
    </row>
    <row r="52" ht="14.25" customHeight="1">
      <c r="A52" s="236" t="str">
        <f>'Cases by ZCTA'!A52</f>
        <v>02886</v>
      </c>
      <c r="B52" s="237">
        <f>'Cases by ZCTA'!B52</f>
        <v>362</v>
      </c>
      <c r="C52" s="237">
        <f>'Cases by ZCTA'!C52</f>
        <v>1248</v>
      </c>
    </row>
    <row r="53" ht="14.25" customHeight="1">
      <c r="A53" s="236" t="str">
        <f>'Cases by ZCTA'!A53</f>
        <v>02888</v>
      </c>
      <c r="B53" s="237">
        <f>'Cases by ZCTA'!B53</f>
        <v>253</v>
      </c>
      <c r="C53" s="237">
        <f>'Cases by ZCTA'!C53</f>
        <v>1320</v>
      </c>
    </row>
    <row r="54" ht="14.25" customHeight="1">
      <c r="A54" s="236" t="str">
        <f>'Cases by ZCTA'!A54</f>
        <v>02889</v>
      </c>
      <c r="B54" s="237">
        <f>'Cases by ZCTA'!B54</f>
        <v>484</v>
      </c>
      <c r="C54" s="237">
        <f>'Cases by ZCTA'!C54</f>
        <v>1771</v>
      </c>
    </row>
    <row r="55" ht="14.25" customHeight="1">
      <c r="A55" s="236" t="str">
        <f>'Cases by ZCTA'!A55</f>
        <v>02891</v>
      </c>
      <c r="B55" s="237">
        <f>'Cases by ZCTA'!B55</f>
        <v>155</v>
      </c>
      <c r="C55" s="237">
        <f>'Cases by ZCTA'!C55</f>
        <v>735</v>
      </c>
    </row>
    <row r="56" ht="14.25" customHeight="1">
      <c r="A56" s="236" t="str">
        <f>'Cases by ZCTA'!A56</f>
        <v>02892</v>
      </c>
      <c r="B56" s="237">
        <f>'Cases by ZCTA'!B56</f>
        <v>42</v>
      </c>
      <c r="C56" s="237">
        <f>'Cases by ZCTA'!C56</f>
        <v>810</v>
      </c>
    </row>
    <row r="57" ht="14.25" customHeight="1">
      <c r="A57" s="236" t="str">
        <f>'Cases by ZCTA'!A57</f>
        <v>02893</v>
      </c>
      <c r="B57" s="237">
        <f>'Cases by ZCTA'!B57</f>
        <v>498</v>
      </c>
      <c r="C57" s="237">
        <f>'Cases by ZCTA'!C57</f>
        <v>1708</v>
      </c>
    </row>
    <row r="58" ht="14.25" customHeight="1">
      <c r="A58" s="236" t="str">
        <f>'Cases by ZCTA'!A58</f>
        <v>02894</v>
      </c>
      <c r="B58" s="237">
        <f>'Cases by ZCTA'!B58</f>
        <v>6</v>
      </c>
      <c r="C58" s="237">
        <f>'Cases by ZCTA'!C58</f>
        <v>890</v>
      </c>
    </row>
    <row r="59" ht="14.25" customHeight="1">
      <c r="A59" s="236" t="str">
        <f>'Cases by ZCTA'!A59</f>
        <v>02895</v>
      </c>
      <c r="B59" s="237">
        <f>'Cases by ZCTA'!B59</f>
        <v>972</v>
      </c>
      <c r="C59" s="237">
        <f>'Cases by ZCTA'!C59</f>
        <v>2340</v>
      </c>
    </row>
    <row r="60" ht="14.25" customHeight="1">
      <c r="A60" s="236" t="str">
        <f>'Cases by ZCTA'!A60</f>
        <v>02896</v>
      </c>
      <c r="B60" s="237">
        <f>'Cases by ZCTA'!B60</f>
        <v>201</v>
      </c>
      <c r="C60" s="237">
        <f>'Cases by ZCTA'!C60</f>
        <v>1667</v>
      </c>
    </row>
    <row r="61" ht="14.25" customHeight="1">
      <c r="A61" s="236" t="str">
        <f>'Cases by ZCTA'!A61</f>
        <v>02898</v>
      </c>
      <c r="B61" s="237">
        <f>'Cases by ZCTA'!B61</f>
        <v>21</v>
      </c>
      <c r="C61" s="237">
        <f>'Cases by ZCTA'!C61</f>
        <v>1278</v>
      </c>
    </row>
    <row r="62" ht="14.25" customHeight="1">
      <c r="A62" s="236" t="str">
        <f>'Cases by ZCTA'!A62</f>
        <v>02903</v>
      </c>
      <c r="B62" s="237">
        <f>'Cases by ZCTA'!B62</f>
        <v>293</v>
      </c>
      <c r="C62" s="237">
        <f>'Cases by ZCTA'!C62</f>
        <v>2779</v>
      </c>
    </row>
    <row r="63" ht="14.25" customHeight="1">
      <c r="A63" s="236" t="str">
        <f>'Cases by ZCTA'!A63</f>
        <v>02904</v>
      </c>
      <c r="B63" s="237">
        <f>'Cases by ZCTA'!B63</f>
        <v>1329</v>
      </c>
      <c r="C63" s="237">
        <f>'Cases by ZCTA'!C63</f>
        <v>4354</v>
      </c>
    </row>
    <row r="64" ht="14.25" customHeight="1">
      <c r="A64" s="236" t="str">
        <f>'Cases by ZCTA'!A64</f>
        <v>02905</v>
      </c>
      <c r="B64" s="237">
        <f>'Cases by ZCTA'!B64</f>
        <v>999</v>
      </c>
      <c r="C64" s="237">
        <f>'Cases by ZCTA'!C64</f>
        <v>3919</v>
      </c>
    </row>
    <row r="65" ht="14.25" customHeight="1">
      <c r="A65" s="236" t="str">
        <f>'Cases by ZCTA'!A65</f>
        <v>02906</v>
      </c>
      <c r="B65" s="237">
        <f>'Cases by ZCTA'!B65</f>
        <v>478</v>
      </c>
      <c r="C65" s="237">
        <f>'Cases by ZCTA'!C65</f>
        <v>1695</v>
      </c>
    </row>
    <row r="66" ht="14.25" customHeight="1">
      <c r="A66" s="236" t="str">
        <f>'Cases by ZCTA'!A66</f>
        <v>02907</v>
      </c>
      <c r="B66" s="237">
        <f>'Cases by ZCTA'!B66</f>
        <v>2041</v>
      </c>
      <c r="C66" s="237">
        <f>'Cases by ZCTA'!C66</f>
        <v>6631</v>
      </c>
    </row>
    <row r="67" ht="14.25" customHeight="1">
      <c r="A67" s="236" t="str">
        <f>'Cases by ZCTA'!A67</f>
        <v>02908</v>
      </c>
      <c r="B67" s="237">
        <f>'Cases by ZCTA'!B67</f>
        <v>2251</v>
      </c>
      <c r="C67" s="237">
        <f>'Cases by ZCTA'!C67</f>
        <v>5995</v>
      </c>
    </row>
    <row r="68" ht="14.25" customHeight="1">
      <c r="A68" s="236" t="str">
        <f>'Cases by ZCTA'!A68</f>
        <v>02909</v>
      </c>
      <c r="B68" s="237">
        <f>'Cases by ZCTA'!B68</f>
        <v>2809</v>
      </c>
      <c r="C68" s="237">
        <f>'Cases by ZCTA'!C68</f>
        <v>6923</v>
      </c>
    </row>
    <row r="69" ht="14.25" customHeight="1">
      <c r="A69" s="236" t="str">
        <f>'Cases by ZCTA'!A69</f>
        <v>02910</v>
      </c>
      <c r="B69" s="237">
        <f>'Cases by ZCTA'!B69</f>
        <v>491</v>
      </c>
      <c r="C69" s="237">
        <f>'Cases by ZCTA'!C69</f>
        <v>2217</v>
      </c>
    </row>
    <row r="70" ht="14.25" customHeight="1">
      <c r="A70" s="236" t="str">
        <f>'Cases by ZCTA'!A70</f>
        <v>02911</v>
      </c>
      <c r="B70" s="237">
        <f>'Cases by ZCTA'!B70</f>
        <v>365</v>
      </c>
      <c r="C70" s="237">
        <f>'Cases by ZCTA'!C70</f>
        <v>2301</v>
      </c>
    </row>
    <row r="71" ht="14.25" customHeight="1">
      <c r="A71" s="236" t="str">
        <f>'Cases by ZCTA'!A71</f>
        <v>02912</v>
      </c>
      <c r="B71" s="237">
        <f>'Cases by ZCTA'!B71</f>
        <v>0</v>
      </c>
      <c r="C71" s="237">
        <f>'Cases by ZCTA'!C71</f>
        <v>0</v>
      </c>
    </row>
    <row r="72" ht="14.25" customHeight="1">
      <c r="A72" s="236" t="str">
        <f>'Cases by ZCTA'!A72</f>
        <v>02914</v>
      </c>
      <c r="B72" s="237">
        <f>'Cases by ZCTA'!B72</f>
        <v>587</v>
      </c>
      <c r="C72" s="237">
        <f>'Cases by ZCTA'!C72</f>
        <v>2717</v>
      </c>
    </row>
    <row r="73" ht="14.25" customHeight="1">
      <c r="A73" s="236" t="str">
        <f>'Cases by ZCTA'!A73</f>
        <v>02915</v>
      </c>
      <c r="B73" s="237">
        <f>'Cases by ZCTA'!B73</f>
        <v>294</v>
      </c>
      <c r="C73" s="237">
        <f>'Cases by ZCTA'!C73</f>
        <v>1766</v>
      </c>
    </row>
    <row r="74" ht="14.25" customHeight="1">
      <c r="A74" s="236" t="str">
        <f>'Cases by ZCTA'!A74</f>
        <v>02916</v>
      </c>
      <c r="B74" s="237">
        <f>'Cases by ZCTA'!B74</f>
        <v>123</v>
      </c>
      <c r="C74" s="237">
        <f>'Cases by ZCTA'!C74</f>
        <v>1355</v>
      </c>
    </row>
    <row r="75" ht="14.25" customHeight="1">
      <c r="A75" s="236" t="str">
        <f>'Cases by ZCTA'!A75</f>
        <v>02917</v>
      </c>
      <c r="B75" s="237">
        <f>'Cases by ZCTA'!B75</f>
        <v>178</v>
      </c>
      <c r="C75" s="237">
        <f>'Cases by ZCTA'!C75</f>
        <v>1290</v>
      </c>
    </row>
    <row r="76" ht="14.25" customHeight="1">
      <c r="A76" s="236" t="str">
        <f>'Cases by ZCTA'!A76</f>
        <v>02919</v>
      </c>
      <c r="B76" s="237">
        <f>'Cases by ZCTA'!B76</f>
        <v>815</v>
      </c>
      <c r="C76" s="237">
        <f>'Cases by ZCTA'!C76</f>
        <v>2786</v>
      </c>
    </row>
    <row r="77" ht="14.25" customHeight="1">
      <c r="A77" s="236" t="str">
        <f>'Cases by ZCTA'!A77</f>
        <v>02920</v>
      </c>
      <c r="B77" s="237">
        <f>'Cases by ZCTA'!B77</f>
        <v>975</v>
      </c>
      <c r="C77" s="237">
        <f>'Cases by ZCTA'!C77</f>
        <v>2621</v>
      </c>
    </row>
    <row r="78" ht="14.25" customHeight="1">
      <c r="A78" s="236" t="str">
        <f>'Cases by ZCTA'!A78</f>
        <v>02921</v>
      </c>
      <c r="B78" s="237">
        <f>'Cases by ZCTA'!B78</f>
        <v>190</v>
      </c>
      <c r="C78" s="237">
        <f>'Cases by ZCTA'!C78</f>
        <v>1530</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38" t="s">
        <v>1</v>
      </c>
      <c r="C1" s="238" t="s">
        <v>2</v>
      </c>
      <c r="D1" s="238" t="s">
        <v>3</v>
      </c>
      <c r="E1" s="238" t="s">
        <v>4</v>
      </c>
      <c r="F1" s="239" t="s">
        <v>5</v>
      </c>
      <c r="G1" s="239" t="s">
        <v>6</v>
      </c>
      <c r="H1" s="239" t="s">
        <v>7</v>
      </c>
      <c r="I1" s="240" t="s">
        <v>8</v>
      </c>
      <c r="J1" s="241" t="s">
        <v>9</v>
      </c>
      <c r="K1" s="240" t="s">
        <v>10</v>
      </c>
      <c r="L1" s="240" t="s">
        <v>11</v>
      </c>
      <c r="M1" s="240" t="s">
        <v>12</v>
      </c>
      <c r="N1" s="240" t="s">
        <v>13</v>
      </c>
      <c r="O1" s="242" t="s">
        <v>14</v>
      </c>
      <c r="P1" s="242" t="s">
        <v>15</v>
      </c>
      <c r="Q1" s="242" t="s">
        <v>16</v>
      </c>
      <c r="R1" s="242" t="s">
        <v>17</v>
      </c>
      <c r="S1" s="242" t="s">
        <v>18</v>
      </c>
      <c r="T1" s="242" t="s">
        <v>19</v>
      </c>
      <c r="U1" s="242" t="s">
        <v>20</v>
      </c>
      <c r="V1" s="242" t="s">
        <v>21</v>
      </c>
      <c r="W1" s="242" t="s">
        <v>22</v>
      </c>
      <c r="X1" s="242" t="s">
        <v>23</v>
      </c>
      <c r="Y1" s="243" t="s">
        <v>24</v>
      </c>
      <c r="Z1" s="243" t="s">
        <v>25</v>
      </c>
      <c r="AA1" s="244" t="s">
        <v>692</v>
      </c>
      <c r="AB1" s="244" t="s">
        <v>693</v>
      </c>
      <c r="AC1" s="244" t="s">
        <v>694</v>
      </c>
      <c r="AD1" s="244" t="s">
        <v>695</v>
      </c>
    </row>
    <row r="2">
      <c r="A2" s="245">
        <f>Summary!B1</f>
        <v>44125</v>
      </c>
      <c r="B2" s="246">
        <f>Summary!B2</f>
        <v>312</v>
      </c>
      <c r="C2" s="247">
        <f>Summary!B3</f>
        <v>261</v>
      </c>
      <c r="D2" s="247">
        <f>Summary!B4</f>
        <v>39324</v>
      </c>
      <c r="E2" s="247">
        <f>Summary!B5</f>
        <v>10568</v>
      </c>
      <c r="F2" s="247">
        <f>Summary!B6</f>
        <v>959236</v>
      </c>
      <c r="G2" s="247">
        <f>Summary!B7</f>
        <v>10880</v>
      </c>
      <c r="H2" s="247">
        <f>Summary!B8</f>
        <v>998560</v>
      </c>
      <c r="I2" s="247">
        <f>Summary!B9</f>
        <v>284</v>
      </c>
      <c r="J2" s="247">
        <f>Summary!B10</f>
        <v>242</v>
      </c>
      <c r="K2" s="247">
        <f>Summary!B11</f>
        <v>29123</v>
      </c>
      <c r="L2" s="247">
        <f>Summary!B12</f>
        <v>2230</v>
      </c>
      <c r="M2" s="247">
        <f>Summary!B13</f>
        <v>375557</v>
      </c>
      <c r="N2" s="247">
        <f>Summary!B14</f>
        <v>404680</v>
      </c>
      <c r="O2" s="247">
        <f>Summary!B15</f>
        <v>13</v>
      </c>
      <c r="P2" s="247">
        <f>Summary!B16</f>
        <v>3091</v>
      </c>
      <c r="Q2" s="247">
        <f>Summary!B17</f>
        <v>22</v>
      </c>
      <c r="R2" s="247">
        <f>Summary!B18</f>
        <v>2580</v>
      </c>
      <c r="S2" s="247">
        <f>Summary!B19</f>
        <v>2</v>
      </c>
      <c r="T2" s="247">
        <f>Summary!B20</f>
        <v>381</v>
      </c>
      <c r="U2" s="247">
        <f>Summary!B21</f>
        <v>130</v>
      </c>
      <c r="V2" s="247">
        <f>Summary!B22</f>
        <v>136</v>
      </c>
      <c r="W2" s="247">
        <f>Summary!B23</f>
        <v>14</v>
      </c>
      <c r="X2" s="247">
        <f>Summary!B24</f>
        <v>6</v>
      </c>
      <c r="Y2" s="247">
        <f>Summary!B25</f>
        <v>5</v>
      </c>
      <c r="Z2" s="247">
        <f>Summary!B26</f>
        <v>1169</v>
      </c>
      <c r="AA2" s="248">
        <f>I2+E2</f>
        <v>10852</v>
      </c>
      <c r="AB2" s="248">
        <f>K2+F2</f>
        <v>988359</v>
      </c>
      <c r="AC2" s="249">
        <f>K2/H2</f>
        <v>0.0291649976</v>
      </c>
      <c r="AD2" s="249">
        <f>I2/G2</f>
        <v>0.02610294118</v>
      </c>
    </row>
    <row r="3">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row>
    <row r="4">
      <c r="A4" s="250"/>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row>
    <row r="5">
      <c r="A5" s="250"/>
      <c r="B5" s="250"/>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row>
    <row r="6">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row>
    <row r="7">
      <c r="A7" s="250"/>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250"/>
      <c r="B9" s="250"/>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D9" s="250"/>
    </row>
    <row r="10">
      <c r="A10" s="250"/>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c r="AA10" s="250"/>
      <c r="AB10" s="250"/>
      <c r="AC10" s="250"/>
      <c r="AD10" s="250"/>
    </row>
    <row r="11">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row>
    <row r="12">
      <c r="A12" s="250"/>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row>
    <row r="13">
      <c r="A13" s="250"/>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c r="AA13" s="250"/>
      <c r="AB13" s="250"/>
      <c r="AC13" s="250"/>
      <c r="AD13" s="250"/>
    </row>
    <row r="14">
      <c r="A14" s="250"/>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row>
    <row r="15">
      <c r="A15" s="250"/>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c r="AA15" s="250"/>
      <c r="AB15" s="250"/>
      <c r="AC15" s="250"/>
      <c r="AD15" s="250"/>
    </row>
    <row r="16">
      <c r="A16" s="250"/>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row>
    <row r="17">
      <c r="A17" s="250"/>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c r="AA17" s="250"/>
      <c r="AB17" s="250"/>
      <c r="AC17" s="250"/>
      <c r="AD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row>
    <row r="20">
      <c r="A20" s="250"/>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row>
    <row r="21">
      <c r="A21" s="250"/>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row>
    <row r="22">
      <c r="A22" s="250"/>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row>
    <row r="23">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50"/>
      <c r="AD23" s="250"/>
    </row>
    <row r="24">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row>
    <row r="25">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row>
    <row r="26">
      <c r="A26" s="250"/>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row>
    <row r="27">
      <c r="A27" s="250"/>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row>
    <row r="28">
      <c r="A28" s="250"/>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row>
    <row r="29">
      <c r="A29" s="250"/>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row>
    <row r="30">
      <c r="A30" s="250"/>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row>
    <row r="3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row>
    <row r="32">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row>
    <row r="33">
      <c r="A33" s="250"/>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row>
    <row r="34">
      <c r="A34" s="250"/>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row>
    <row r="35">
      <c r="A35" s="250"/>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row>
    <row r="36">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row>
    <row r="37">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row>
    <row r="38">
      <c r="A38" s="250"/>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row>
    <row r="39">
      <c r="A39" s="250"/>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row>
    <row r="40">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c r="AA40" s="250"/>
      <c r="AB40" s="250"/>
      <c r="AC40" s="250"/>
      <c r="AD40" s="250"/>
    </row>
    <row r="4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row>
    <row r="42">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row>
    <row r="43">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row>
    <row r="44">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row>
    <row r="45">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row>
    <row r="46">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row>
    <row r="47">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row>
    <row r="48">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row>
    <row r="49">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row>
    <row r="50">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row>
    <row r="5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row>
    <row r="52">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c r="AA52" s="250"/>
      <c r="AB52" s="250"/>
      <c r="AC52" s="250"/>
      <c r="AD52" s="250"/>
    </row>
    <row r="53">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c r="AA56" s="250"/>
      <c r="AB56" s="250"/>
      <c r="AC56" s="250"/>
      <c r="AD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c r="AA58" s="250"/>
      <c r="AB58" s="250"/>
      <c r="AC58" s="250"/>
      <c r="AD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c r="AA59" s="250"/>
      <c r="AB59" s="250"/>
      <c r="AC59" s="250"/>
      <c r="AD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c r="AA60" s="250"/>
      <c r="AB60" s="250"/>
      <c r="AC60" s="250"/>
      <c r="AD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c r="AA61" s="250"/>
      <c r="AB61" s="250"/>
      <c r="AC61" s="250"/>
      <c r="AD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0"/>
      <c r="AC62" s="250"/>
      <c r="AD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c r="AA63" s="250"/>
      <c r="AB63" s="250"/>
      <c r="AC63" s="250"/>
      <c r="AD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c r="AA66" s="250"/>
      <c r="AB66" s="250"/>
      <c r="AC66" s="250"/>
      <c r="AD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c r="AC68" s="250"/>
      <c r="AD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c r="AA69" s="250"/>
      <c r="AB69" s="250"/>
      <c r="AC69" s="250"/>
      <c r="AD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c r="AA70" s="250"/>
      <c r="AB70" s="250"/>
      <c r="AC70" s="250"/>
      <c r="AD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c r="AA71" s="250"/>
      <c r="AB71" s="250"/>
      <c r="AC71" s="250"/>
      <c r="AD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c r="AA74" s="250"/>
      <c r="AB74" s="250"/>
      <c r="AC74" s="250"/>
      <c r="AD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c r="AA75" s="250"/>
      <c r="AB75" s="250"/>
      <c r="AC75" s="250"/>
      <c r="AD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c r="AA76" s="250"/>
      <c r="AB76" s="250"/>
      <c r="AC76" s="250"/>
      <c r="AD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c r="AA77" s="250"/>
      <c r="AB77" s="250"/>
      <c r="AC77" s="250"/>
      <c r="AD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0"/>
      <c r="AD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0"/>
      <c r="AD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0"/>
      <c r="AD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0"/>
      <c r="AD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c r="AA99" s="250"/>
      <c r="AB99" s="250"/>
      <c r="AC99" s="250"/>
      <c r="AD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c r="AA102" s="250"/>
      <c r="AB102" s="250"/>
      <c r="AC102" s="250"/>
      <c r="AD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c r="AA103" s="250"/>
      <c r="AB103" s="250"/>
      <c r="AC103" s="250"/>
      <c r="AD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c r="AA104" s="250"/>
      <c r="AB104" s="250"/>
      <c r="AC104" s="250"/>
      <c r="AD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c r="AA105" s="250"/>
      <c r="AB105" s="250"/>
      <c r="AC105" s="250"/>
      <c r="AD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c r="AA106" s="250"/>
      <c r="AB106" s="250"/>
      <c r="AC106" s="250"/>
      <c r="AD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0"/>
      <c r="AD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0"/>
      <c r="AD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0"/>
      <c r="AD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0"/>
      <c r="AD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0"/>
      <c r="AD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0"/>
      <c r="AD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0"/>
      <c r="AD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0"/>
      <c r="AD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0"/>
      <c r="AD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0"/>
      <c r="AD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0"/>
      <c r="AD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0"/>
      <c r="AD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0"/>
      <c r="AD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0"/>
      <c r="AD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0"/>
      <c r="AD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0"/>
      <c r="AD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0"/>
      <c r="AD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0"/>
      <c r="AD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0"/>
      <c r="AD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0"/>
      <c r="AD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0"/>
      <c r="AD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c r="AA173" s="250"/>
      <c r="AB173" s="250"/>
      <c r="AC173" s="250"/>
      <c r="AD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c r="AA174" s="250"/>
      <c r="AB174" s="250"/>
      <c r="AC174" s="250"/>
      <c r="AD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c r="AA175" s="250"/>
      <c r="AB175" s="250"/>
      <c r="AC175" s="250"/>
      <c r="AD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c r="AA176" s="250"/>
      <c r="AB176" s="250"/>
      <c r="AC176" s="250"/>
      <c r="AD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c r="AA177" s="250"/>
      <c r="AB177" s="250"/>
      <c r="AC177" s="250"/>
      <c r="AD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c r="AA178" s="250"/>
      <c r="AB178" s="250"/>
      <c r="AC178" s="250"/>
      <c r="AD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c r="AA179" s="250"/>
      <c r="AB179" s="250"/>
      <c r="AC179" s="250"/>
      <c r="AD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c r="AA180" s="250"/>
      <c r="AB180" s="250"/>
      <c r="AC180" s="250"/>
      <c r="AD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c r="AA181" s="250"/>
      <c r="AB181" s="250"/>
      <c r="AC181" s="250"/>
      <c r="AD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c r="AA182" s="250"/>
      <c r="AB182" s="250"/>
      <c r="AC182" s="250"/>
      <c r="AD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c r="AA183" s="250"/>
      <c r="AB183" s="250"/>
      <c r="AC183" s="250"/>
      <c r="AD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c r="AA184" s="250"/>
      <c r="AB184" s="250"/>
      <c r="AC184" s="250"/>
      <c r="AD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c r="AA185" s="250"/>
      <c r="AB185" s="250"/>
      <c r="AC185" s="250"/>
      <c r="AD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c r="AA186" s="250"/>
      <c r="AB186" s="250"/>
      <c r="AC186" s="250"/>
      <c r="AD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c r="AA187" s="250"/>
      <c r="AB187" s="250"/>
      <c r="AC187" s="250"/>
      <c r="AD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c r="AA188" s="250"/>
      <c r="AB188" s="250"/>
      <c r="AC188" s="250"/>
      <c r="AD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c r="AA189" s="250"/>
      <c r="AB189" s="250"/>
      <c r="AC189" s="250"/>
      <c r="AD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c r="AA190" s="250"/>
      <c r="AB190" s="250"/>
      <c r="AC190" s="250"/>
      <c r="AD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c r="AA191" s="250"/>
      <c r="AB191" s="250"/>
      <c r="AC191" s="250"/>
      <c r="AD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c r="AA192" s="250"/>
      <c r="AB192" s="250"/>
      <c r="AC192" s="250"/>
      <c r="AD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c r="AA193" s="250"/>
      <c r="AB193" s="250"/>
      <c r="AC193" s="250"/>
      <c r="AD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c r="AA194" s="250"/>
      <c r="AB194" s="250"/>
      <c r="AC194" s="250"/>
      <c r="AD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c r="AA195" s="250"/>
      <c r="AB195" s="250"/>
      <c r="AC195" s="250"/>
      <c r="AD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c r="AA196" s="250"/>
      <c r="AB196" s="250"/>
      <c r="AC196" s="250"/>
      <c r="AD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c r="AA197" s="250"/>
      <c r="AB197" s="250"/>
      <c r="AC197" s="250"/>
      <c r="AD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c r="AA198" s="250"/>
      <c r="AB198" s="250"/>
      <c r="AC198" s="250"/>
      <c r="AD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c r="AA199" s="250"/>
      <c r="AB199" s="250"/>
      <c r="AC199" s="250"/>
      <c r="AD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c r="AA200" s="250"/>
      <c r="AB200" s="250"/>
      <c r="AC200" s="250"/>
      <c r="AD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c r="AA201" s="250"/>
      <c r="AB201" s="250"/>
      <c r="AC201" s="250"/>
      <c r="AD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c r="AA202" s="250"/>
      <c r="AB202" s="250"/>
      <c r="AC202" s="250"/>
      <c r="AD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c r="AA203" s="250"/>
      <c r="AB203" s="250"/>
      <c r="AC203" s="250"/>
      <c r="AD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c r="AA204" s="250"/>
      <c r="AB204" s="250"/>
      <c r="AC204" s="250"/>
      <c r="AD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c r="AA205" s="250"/>
      <c r="AB205" s="250"/>
      <c r="AC205" s="250"/>
      <c r="AD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c r="AA206" s="250"/>
      <c r="AB206" s="250"/>
      <c r="AC206" s="250"/>
      <c r="AD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c r="AA207" s="250"/>
      <c r="AB207" s="250"/>
      <c r="AC207" s="250"/>
      <c r="AD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c r="AA208" s="250"/>
      <c r="AB208" s="250"/>
      <c r="AC208" s="250"/>
      <c r="AD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c r="AA209" s="250"/>
      <c r="AB209" s="250"/>
      <c r="AC209" s="250"/>
      <c r="AD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c r="AA210" s="250"/>
      <c r="AB210" s="250"/>
      <c r="AC210" s="250"/>
      <c r="AD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c r="AA211" s="250"/>
      <c r="AB211" s="250"/>
      <c r="AC211" s="250"/>
      <c r="AD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c r="AA212" s="250"/>
      <c r="AB212" s="250"/>
      <c r="AC212" s="250"/>
      <c r="AD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c r="AA213" s="250"/>
      <c r="AB213" s="250"/>
      <c r="AC213" s="250"/>
      <c r="AD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c r="AA214" s="250"/>
      <c r="AB214" s="250"/>
      <c r="AC214" s="250"/>
      <c r="AD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c r="AA215" s="250"/>
      <c r="AB215" s="250"/>
      <c r="AC215" s="250"/>
      <c r="AD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c r="AA216" s="250"/>
      <c r="AB216" s="250"/>
      <c r="AC216" s="250"/>
      <c r="AD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c r="AA217" s="250"/>
      <c r="AB217" s="250"/>
      <c r="AC217" s="250"/>
      <c r="AD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c r="AA218" s="250"/>
      <c r="AB218" s="250"/>
      <c r="AC218" s="250"/>
      <c r="AD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c r="AA219" s="250"/>
      <c r="AB219" s="250"/>
      <c r="AC219" s="250"/>
      <c r="AD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c r="AA220" s="250"/>
      <c r="AB220" s="250"/>
      <c r="AC220" s="250"/>
      <c r="AD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c r="AA221" s="250"/>
      <c r="AB221" s="250"/>
      <c r="AC221" s="250"/>
      <c r="AD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c r="AA222" s="250"/>
      <c r="AB222" s="250"/>
      <c r="AC222" s="250"/>
      <c r="AD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c r="AA223" s="250"/>
      <c r="AB223" s="250"/>
      <c r="AC223" s="250"/>
      <c r="AD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c r="AA224" s="250"/>
      <c r="AB224" s="250"/>
      <c r="AC224" s="250"/>
      <c r="AD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c r="AA225" s="250"/>
      <c r="AB225" s="250"/>
      <c r="AC225" s="250"/>
      <c r="AD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c r="AA226" s="250"/>
      <c r="AB226" s="250"/>
      <c r="AC226" s="250"/>
      <c r="AD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c r="AA227" s="250"/>
      <c r="AB227" s="250"/>
      <c r="AC227" s="250"/>
      <c r="AD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c r="AA228" s="250"/>
      <c r="AB228" s="250"/>
      <c r="AC228" s="250"/>
      <c r="AD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c r="AA229" s="250"/>
      <c r="AB229" s="250"/>
      <c r="AC229" s="250"/>
      <c r="AD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c r="AA230" s="250"/>
      <c r="AB230" s="250"/>
      <c r="AC230" s="250"/>
      <c r="AD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c r="AA231" s="250"/>
      <c r="AB231" s="250"/>
      <c r="AC231" s="250"/>
      <c r="AD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c r="AA232" s="250"/>
      <c r="AB232" s="250"/>
      <c r="AC232" s="250"/>
      <c r="AD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c r="AA233" s="250"/>
      <c r="AB233" s="250"/>
      <c r="AC233" s="250"/>
      <c r="AD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c r="AA234" s="250"/>
      <c r="AB234" s="250"/>
      <c r="AC234" s="250"/>
      <c r="AD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c r="AA235" s="250"/>
      <c r="AB235" s="250"/>
      <c r="AC235" s="250"/>
      <c r="AD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c r="AA236" s="250"/>
      <c r="AB236" s="250"/>
      <c r="AC236" s="250"/>
      <c r="AD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c r="AA237" s="250"/>
      <c r="AB237" s="250"/>
      <c r="AC237" s="250"/>
      <c r="AD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c r="AA238" s="250"/>
      <c r="AB238" s="250"/>
      <c r="AC238" s="250"/>
      <c r="AD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c r="AA239" s="250"/>
      <c r="AB239" s="250"/>
      <c r="AC239" s="250"/>
      <c r="AD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c r="AA240" s="250"/>
      <c r="AB240" s="250"/>
      <c r="AC240" s="250"/>
      <c r="AD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c r="AA241" s="250"/>
      <c r="AB241" s="250"/>
      <c r="AC241" s="250"/>
      <c r="AD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c r="AA242" s="250"/>
      <c r="AB242" s="250"/>
      <c r="AC242" s="250"/>
      <c r="AD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c r="AA243" s="250"/>
      <c r="AB243" s="250"/>
      <c r="AC243" s="250"/>
      <c r="AD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c r="AA244" s="250"/>
      <c r="AB244" s="250"/>
      <c r="AC244" s="250"/>
      <c r="AD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c r="AA245" s="250"/>
      <c r="AB245" s="250"/>
      <c r="AC245" s="250"/>
      <c r="AD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c r="AA246" s="250"/>
      <c r="AB246" s="250"/>
      <c r="AC246" s="250"/>
      <c r="AD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c r="AA247" s="250"/>
      <c r="AB247" s="250"/>
      <c r="AC247" s="250"/>
      <c r="AD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c r="AA248" s="250"/>
      <c r="AB248" s="250"/>
      <c r="AC248" s="250"/>
      <c r="AD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c r="AA249" s="250"/>
      <c r="AB249" s="250"/>
      <c r="AC249" s="250"/>
      <c r="AD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c r="AA250" s="250"/>
      <c r="AB250" s="250"/>
      <c r="AC250" s="250"/>
      <c r="AD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c r="AA251" s="250"/>
      <c r="AB251" s="250"/>
      <c r="AC251" s="250"/>
      <c r="AD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c r="AA252" s="250"/>
      <c r="AB252" s="250"/>
      <c r="AC252" s="250"/>
      <c r="AD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c r="AA253" s="250"/>
      <c r="AB253" s="250"/>
      <c r="AC253" s="250"/>
      <c r="AD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c r="AA254" s="250"/>
      <c r="AB254" s="250"/>
      <c r="AC254" s="250"/>
      <c r="AD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c r="AA255" s="250"/>
      <c r="AB255" s="250"/>
      <c r="AC255" s="250"/>
      <c r="AD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c r="AA256" s="250"/>
      <c r="AB256" s="250"/>
      <c r="AC256" s="250"/>
      <c r="AD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c r="AA257" s="250"/>
      <c r="AB257" s="250"/>
      <c r="AC257" s="250"/>
      <c r="AD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c r="AA258" s="250"/>
      <c r="AB258" s="250"/>
      <c r="AC258" s="250"/>
      <c r="AD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c r="AA259" s="250"/>
      <c r="AB259" s="250"/>
      <c r="AC259" s="250"/>
      <c r="AD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c r="AA260" s="250"/>
      <c r="AB260" s="250"/>
      <c r="AC260" s="250"/>
      <c r="AD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c r="AA261" s="250"/>
      <c r="AB261" s="250"/>
      <c r="AC261" s="250"/>
      <c r="AD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c r="AA262" s="250"/>
      <c r="AB262" s="250"/>
      <c r="AC262" s="250"/>
      <c r="AD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c r="AA263" s="250"/>
      <c r="AB263" s="250"/>
      <c r="AC263" s="250"/>
      <c r="AD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c r="AA264" s="250"/>
      <c r="AB264" s="250"/>
      <c r="AC264" s="250"/>
      <c r="AD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c r="AD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c r="AD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c r="AD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c r="AD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c r="AD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c r="AD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c r="AD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c r="AD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c r="AD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c r="AD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c r="AD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c r="AD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c r="AD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c r="AD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c r="AD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c r="AD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c r="AD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c r="AD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c r="AD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c r="AD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c r="AD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c r="AD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c r="AD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c r="AD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c r="AD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c r="AD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c r="AD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c r="AD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c r="AD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c r="AD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c r="AD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c r="AD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c r="AD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c r="AD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c r="AD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c r="AD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c r="AD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c r="AD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c r="AD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c r="AD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c r="AD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c r="AD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c r="AD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c r="AD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c r="AD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c r="AD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c r="AD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c r="AD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c r="AD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c r="AD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c r="AD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c r="AD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c r="AD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c r="AD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c r="AD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c r="AD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c r="AD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c r="AD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c r="AD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c r="AD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c r="AD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c r="AD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c r="AD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c r="AD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c r="AD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c r="AD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c r="AD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c r="AD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c r="AD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c r="AD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c r="AD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c r="AD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c r="AD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c r="AD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c r="AD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c r="AD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c r="AD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c r="AD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c r="AD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c r="AD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c r="AD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c r="AD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c r="AD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c r="AD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c r="AD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c r="AD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c r="AD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c r="AD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c r="AD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c r="AD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c r="AD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c r="AD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c r="AD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c r="AD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c r="AD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c r="AD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c r="AD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c r="AD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c r="AD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c r="AD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c r="AD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c r="AD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c r="AD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c r="AD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c r="AD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c r="AD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c r="AD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c r="AD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c r="AD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c r="AD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c r="AD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c r="AD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c r="AD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c r="AD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c r="AD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c r="AD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c r="AD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c r="AD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c r="AD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c r="AD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c r="AD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c r="AD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c r="AD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c r="AD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c r="AD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c r="AD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c r="AD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c r="AD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c r="AD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c r="AD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c r="AD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c r="AD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c r="AD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c r="AD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c r="AD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c r="AD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c r="AD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c r="AD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c r="AD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c r="AD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c r="AD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c r="AD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c r="AD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c r="AD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c r="AD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c r="AD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c r="AD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c r="AD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c r="AD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c r="AD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c r="AD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c r="AD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c r="AD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c r="AD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c r="AD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c r="AD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c r="AD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c r="AD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c r="AD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c r="AD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c r="AD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c r="AD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c r="AD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c r="AD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c r="AD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c r="AD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c r="AD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c r="AD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c r="AD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c r="AD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c r="AD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c r="AD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c r="AD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c r="AD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c r="AD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c r="AD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c r="AD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c r="AD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c r="AD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c r="AD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c r="AD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c r="AD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c r="AD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c r="AD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c r="AD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c r="AD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c r="AD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c r="AD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c r="AD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c r="AD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c r="AD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c r="AD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c r="AD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c r="AD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c r="AD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c r="AD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c r="AD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c r="AD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c r="AD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c r="AD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c r="AD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c r="AD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c r="AD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c r="AD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c r="AD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c r="AD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c r="AD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c r="AD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c r="AD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c r="AD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c r="AD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c r="AD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c r="AD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c r="AD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c r="AD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c r="AD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c r="AD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c r="AD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c r="AD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c r="AD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c r="AD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c r="AD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c r="AD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c r="AD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c r="AD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c r="AD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c r="AD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c r="AD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c r="AD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c r="AD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c r="AD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c r="AD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c r="AD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c r="AD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c r="AD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c r="AD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c r="AD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c r="AD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c r="AD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c r="AD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c r="AD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c r="AD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c r="AD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c r="AD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c r="AD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c r="AD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c r="AD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c r="AD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c r="AD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c r="AD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c r="AD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c r="AD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c r="AD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c r="AD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c r="AD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c r="AD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c r="AD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c r="AD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c r="AD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c r="AD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c r="AD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c r="AD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c r="AD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c r="AD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c r="AD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c r="AD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c r="AD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c r="AD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c r="AD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c r="AD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c r="AD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c r="AD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c r="AD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c r="AD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c r="AD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c r="AD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c r="AD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c r="AD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c r="AD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c r="AD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c r="AD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c r="AD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c r="AD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c r="AD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c r="AD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c r="AD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c r="AD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c r="AD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c r="AD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c r="AD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c r="AD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c r="AD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c r="AD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c r="AD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c r="AD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c r="AD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c r="AD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c r="AD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c r="AD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c r="AD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c r="AD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c r="AD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c r="AD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c r="AD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c r="AD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c r="AD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c r="AD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c r="AD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c r="AD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c r="AD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c r="AD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c r="AD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c r="AD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c r="AD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c r="AD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c r="AD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c r="AD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c r="AD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c r="AD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c r="AD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c r="AD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c r="AD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c r="AD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c r="AD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c r="AD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c r="AD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c r="AD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c r="AD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c r="AD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c r="AD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c r="AD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c r="AD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c r="AD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c r="AD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c r="AD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c r="AD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c r="AD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c r="AD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c r="AD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c r="AD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c r="AD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c r="AD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c r="AD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c r="AD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c r="AD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c r="AD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c r="AD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c r="AD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c r="AD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c r="AD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c r="AD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c r="AD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c r="AD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c r="AD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c r="AD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c r="AD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c r="AD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c r="AD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c r="AD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c r="AD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c r="AD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c r="AD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c r="AD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c r="AD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c r="AD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c r="AD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c r="AD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c r="AD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c r="AD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c r="AD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c r="AD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c r="AD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c r="AD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c r="AD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c r="AD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c r="AD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c r="AD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c r="AD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c r="AD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c r="AD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c r="AD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c r="AD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c r="AD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c r="AD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c r="AD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c r="AD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c r="AD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c r="AD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c r="AD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c r="AD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c r="AD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c r="AD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c r="AD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c r="AD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c r="AD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c r="AD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c r="AD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c r="AD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c r="AD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c r="AD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c r="AD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c r="AD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c r="AD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c r="AD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c r="AD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c r="AD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c r="AD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c r="AD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c r="AD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c r="AD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c r="AD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c r="AD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c r="AD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c r="AD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c r="AD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c r="AD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c r="AD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c r="AD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c r="AD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c r="AD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c r="AD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c r="AD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c r="AD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c r="AD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c r="AD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c r="AD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c r="AD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c r="AD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c r="AD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c r="AD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c r="AD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c r="AD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c r="AD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c r="AD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c r="AD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c r="AD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c r="AD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c r="AD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c r="AD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c r="AD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c r="AD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c r="AD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c r="AD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c r="AD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c r="AD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c r="AD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c r="AD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c r="AD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c r="AD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c r="AD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c r="AD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c r="AD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c r="AD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c r="AD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c r="AD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c r="AD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c r="AD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c r="AD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c r="AD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c r="AD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c r="AD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c r="AD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c r="AD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c r="AD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c r="AD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c r="AD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c r="AD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c r="AD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c r="AD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c r="AD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c r="AD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c r="AD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c r="AD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c r="AD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c r="AD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c r="AD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c r="AD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c r="AD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c r="AD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c r="AD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c r="AD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c r="AD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c r="AD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c r="AD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c r="AD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c r="AD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c r="AD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c r="AD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c r="AD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c r="AD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c r="AD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c r="AD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c r="AD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c r="AD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c r="AD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c r="AD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c r="AD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c r="AD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c r="AD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c r="AD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c r="AD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c r="AD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c r="AD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c r="AD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c r="AD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c r="AD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c r="AD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c r="AD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c r="AD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c r="AD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c r="AD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c r="AD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c r="AD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c r="AD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c r="AD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c r="AD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c r="AD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c r="AD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c r="AD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c r="AD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c r="AD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c r="AD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c r="AD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c r="AD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c r="AD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c r="AD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c r="AD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c r="AD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c r="AD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c r="AD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c r="AD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c r="AD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c r="AD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c r="AD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c r="AD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c r="AD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c r="AD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c r="AD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c r="AD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c r="AD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c r="AD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c r="AD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c r="AD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c r="AD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c r="AD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c r="AD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c r="AD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c r="AD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c r="AD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c r="AD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c r="AD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c r="AD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c r="AD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c r="AD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c r="AD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c r="AD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c r="AD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c r="AD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c r="AD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c r="AD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c r="AD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c r="AD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c r="AD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c r="AD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c r="AD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c r="AD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c r="AD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c r="AD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c r="AD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c r="AD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c r="AD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c r="AD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c r="AD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c r="AD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c r="AD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c r="AD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c r="AD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c r="AD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c r="AD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c r="AD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c r="AD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c r="AD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c r="AD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c r="AD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c r="AD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c r="AD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c r="AD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c r="AD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c r="AD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c r="AD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c r="AD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c r="AD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c r="AD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c r="AD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c r="AD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c r="AD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c r="AD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c r="AD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c r="AD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c r="AD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c r="AD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c r="AD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c r="AD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c r="AD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c r="AD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c r="AD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c r="AD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c r="AD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c r="AD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c r="AD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c r="AD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c r="AD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c r="AD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c r="AD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c r="AD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c r="AD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c r="AD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c r="AD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c r="AD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c r="AD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c r="AD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c r="AD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c r="AD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c r="AD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c r="AD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c r="AD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c r="AD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c r="AD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c r="AD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c r="AD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c r="AD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c r="AD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c r="AD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c r="AD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c r="AD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c r="AD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c r="AD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c r="AD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c r="AD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c r="AD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c r="AD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c r="AD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c r="AD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c r="AD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c r="AD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c r="AD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c r="AD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c r="AD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c r="AD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c r="AD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c r="AD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c r="AD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c r="AD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c r="AD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c r="AD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c r="AD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c r="AD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c r="AD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c r="AD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c r="AD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c r="AD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c r="AD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c r="AD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c r="AD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c r="AD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c r="AD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c r="AD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c r="AD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c r="AD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c r="AD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c r="AD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c r="AD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c r="AD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c r="AD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c r="AD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c r="AD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c r="AD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c r="AD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c r="AD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c r="AD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c r="AD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c r="AD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c r="AD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c r="AD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c r="AD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c r="AD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c r="AD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c r="AD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c r="AD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c r="AD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c r="AD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c r="AD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c r="AD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c r="AD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c r="AD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c r="AD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c r="AD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c r="AD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c r="AD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c r="AD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c r="AD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c r="AD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c r="AD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c r="AD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c r="AD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c r="AD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c r="AD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c r="AD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c r="AD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c r="AD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c r="AD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c r="AD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c r="AD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c r="AD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c r="AD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c r="AD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c r="AD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c r="AD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c r="AD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c r="AD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c r="AD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c r="AD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c r="AD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c r="AD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c r="AD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c r="AD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c r="AD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c r="AD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c r="AD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c r="AD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c r="AD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c r="AD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c r="AD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c r="AD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c r="AD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c r="AD1000" s="2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250.0</v>
      </c>
      <c r="M23" s="22">
        <v>968.0</v>
      </c>
      <c r="N23" s="22">
        <v>1029.0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1158.0</v>
      </c>
      <c r="N24" s="22">
        <v>1232.0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1280.0</v>
      </c>
      <c r="N25" s="22">
        <v>1368.0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260.0</v>
      </c>
      <c r="M26" s="22">
        <v>1540.0</v>
      </c>
      <c r="N26" s="22">
        <v>1653.0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1705.0</v>
      </c>
      <c r="N27" s="22">
        <v>1834.0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234.0</v>
      </c>
      <c r="M28" s="22">
        <v>1939.0</v>
      </c>
      <c r="N28" s="22">
        <v>2087.0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2110.0</v>
      </c>
      <c r="N29" s="22">
        <v>2286.0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173.0</v>
      </c>
      <c r="M30" s="22">
        <v>2283.0</v>
      </c>
      <c r="N30" s="22">
        <v>2500.0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2483.0</v>
      </c>
      <c r="N31" s="22">
        <v>2731.0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2723.0</v>
      </c>
      <c r="N32" s="22">
        <v>3035.0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3036.0</v>
      </c>
      <c r="N33" s="22">
        <v>3453.0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3220.0</v>
      </c>
      <c r="N34" s="22">
        <v>3715.0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3514.0</v>
      </c>
      <c r="N35" s="22">
        <v>4082.0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639.0</v>
      </c>
      <c r="M36" s="22">
        <v>4153.0</v>
      </c>
      <c r="N36" s="22">
        <v>4821.0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433.0</v>
      </c>
      <c r="M37" s="22">
        <v>4586.0</v>
      </c>
      <c r="N37" s="22">
        <v>5316.0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706.0</v>
      </c>
      <c r="M38" s="22">
        <v>5292.0</v>
      </c>
      <c r="N38" s="22">
        <v>6122.0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615.0</v>
      </c>
      <c r="M39" s="22">
        <v>5907.0</v>
      </c>
      <c r="N39" s="22">
        <v>6875.0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1057.0</v>
      </c>
      <c r="M40" s="22">
        <v>6964.0</v>
      </c>
      <c r="N40" s="22">
        <v>8113.0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1544.0</v>
      </c>
      <c r="M41" s="22">
        <v>8508.0</v>
      </c>
      <c r="N41" s="22">
        <v>9864.0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1471.0</v>
      </c>
      <c r="M42" s="22">
        <v>9979.0</v>
      </c>
      <c r="N42" s="22">
        <v>11596.0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1547.0</v>
      </c>
      <c r="M43" s="22">
        <v>11526.0</v>
      </c>
      <c r="N43" s="22">
        <v>13414.0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1349.0</v>
      </c>
      <c r="M44" s="22">
        <v>12875.0</v>
      </c>
      <c r="N44" s="22">
        <v>15040.0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2358.0</v>
      </c>
      <c r="M45" s="22">
        <v>15233.0</v>
      </c>
      <c r="N45" s="22">
        <v>17799.0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1712.0</v>
      </c>
      <c r="M46" s="22">
        <v>16945.0</v>
      </c>
      <c r="N46" s="22">
        <v>19792.0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1426.0</v>
      </c>
      <c r="M47" s="22">
        <v>18371.0</v>
      </c>
      <c r="N47" s="22">
        <v>21502.0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835.0</v>
      </c>
      <c r="M48" s="22">
        <v>19206.0</v>
      </c>
      <c r="N48" s="22">
        <v>22524.0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1523.0</v>
      </c>
      <c r="M49" s="22">
        <v>20729.0</v>
      </c>
      <c r="N49" s="22">
        <v>24309.0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1542.0</v>
      </c>
      <c r="M50" s="22">
        <v>22271.0</v>
      </c>
      <c r="N50" s="22">
        <v>26157.0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2066.0</v>
      </c>
      <c r="M51" s="22">
        <v>24337.0</v>
      </c>
      <c r="N51" s="22">
        <v>28610.0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1439.0</v>
      </c>
      <c r="M52" s="22">
        <v>25776.0</v>
      </c>
      <c r="N52" s="22">
        <v>30339.0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1316.0</v>
      </c>
      <c r="M53" s="22">
        <v>27092.0</v>
      </c>
      <c r="N53" s="22">
        <v>31939.0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1730.0</v>
      </c>
      <c r="M54" s="22">
        <v>28822.0</v>
      </c>
      <c r="N54" s="22">
        <v>34005.0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1563.0</v>
      </c>
      <c r="M55" s="22">
        <v>30385.0</v>
      </c>
      <c r="N55" s="22">
        <v>35944.0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1696.0</v>
      </c>
      <c r="M56" s="22">
        <v>32081.0</v>
      </c>
      <c r="N56" s="22">
        <v>38024.0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1904.0</v>
      </c>
      <c r="M57" s="22">
        <v>33985.0</v>
      </c>
      <c r="N57" s="22">
        <v>40307.0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1843.0</v>
      </c>
      <c r="M58" s="22">
        <v>35828.0</v>
      </c>
      <c r="N58" s="22">
        <v>42562.0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2613.0</v>
      </c>
      <c r="M59" s="22">
        <v>38441.0</v>
      </c>
      <c r="N59" s="22">
        <v>45582.0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1755.0</v>
      </c>
      <c r="M60" s="22">
        <v>40196.0</v>
      </c>
      <c r="N60" s="22">
        <v>47637.0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1864.0</v>
      </c>
      <c r="M61" s="22">
        <v>42060.0</v>
      </c>
      <c r="N61" s="22">
        <v>49775.0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1156.0</v>
      </c>
      <c r="M62" s="22">
        <v>43216.0</v>
      </c>
      <c r="N62" s="22">
        <v>51137.0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1750.0</v>
      </c>
      <c r="M63" s="22">
        <v>44966.0</v>
      </c>
      <c r="N63" s="22">
        <v>53218.0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2411.0</v>
      </c>
      <c r="M64" s="22">
        <v>47377.0</v>
      </c>
      <c r="N64" s="22">
        <v>56000.0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1900.0</v>
      </c>
      <c r="M65" s="22">
        <v>49277.0</v>
      </c>
      <c r="N65" s="22">
        <v>58250.0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9297.0</v>
      </c>
      <c r="L66" s="22">
        <v>2152.0</v>
      </c>
      <c r="M66" s="22">
        <v>51429.0</v>
      </c>
      <c r="N66" s="22">
        <v>60726.0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9489.0</v>
      </c>
      <c r="L67" s="22">
        <v>1261.0</v>
      </c>
      <c r="M67" s="22">
        <v>52690.0</v>
      </c>
      <c r="N67" s="22">
        <v>62179.0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1562.0</v>
      </c>
      <c r="M68" s="22">
        <v>54252.0</v>
      </c>
      <c r="N68" s="22">
        <v>63924.0</v>
      </c>
      <c r="O68" s="23">
        <v>31.0</v>
      </c>
      <c r="P68" s="23">
        <v>1162.0</v>
      </c>
      <c r="Q68" s="23">
        <v>27.0</v>
      </c>
      <c r="R68" s="23">
        <v>676.0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1555.0</v>
      </c>
      <c r="M69" s="22">
        <v>55807.0</v>
      </c>
      <c r="N69" s="22">
        <v>65769.0</v>
      </c>
      <c r="O69" s="23">
        <v>30.0</v>
      </c>
      <c r="P69" s="23">
        <v>1192.0</v>
      </c>
      <c r="Q69" s="23">
        <v>31.0</v>
      </c>
      <c r="R69" s="23">
        <v>707.0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10263.0</v>
      </c>
      <c r="L70" s="22">
        <v>1951.0</v>
      </c>
      <c r="M70" s="22">
        <v>57758.0</v>
      </c>
      <c r="N70" s="22">
        <v>68021.0</v>
      </c>
      <c r="O70" s="23">
        <v>29.0</v>
      </c>
      <c r="P70" s="23">
        <v>1221.0</v>
      </c>
      <c r="Q70" s="23">
        <v>32.0</v>
      </c>
      <c r="R70" s="23">
        <v>739.0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10603.0</v>
      </c>
      <c r="L71" s="22">
        <v>1911.0</v>
      </c>
      <c r="M71" s="22">
        <v>59669.0</v>
      </c>
      <c r="N71" s="22">
        <v>70272.0</v>
      </c>
      <c r="O71" s="23">
        <v>28.0</v>
      </c>
      <c r="P71" s="23">
        <v>1249.0</v>
      </c>
      <c r="Q71" s="23">
        <v>44.0</v>
      </c>
      <c r="R71" s="23">
        <v>783.0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10873.0</v>
      </c>
      <c r="L72" s="22">
        <v>1954.0</v>
      </c>
      <c r="M72" s="22">
        <v>61623.0</v>
      </c>
      <c r="N72" s="22">
        <v>72496.0</v>
      </c>
      <c r="O72" s="23">
        <v>36.0</v>
      </c>
      <c r="P72" s="23">
        <v>1285.0</v>
      </c>
      <c r="Q72" s="23">
        <v>41.0</v>
      </c>
      <c r="R72" s="23">
        <v>824.0</v>
      </c>
      <c r="S72" s="23">
        <v>5.0</v>
      </c>
      <c r="T72" s="22">
        <v>160.0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11102.0</v>
      </c>
      <c r="L73" s="22">
        <v>1733.0</v>
      </c>
      <c r="M73" s="22">
        <v>63356.0</v>
      </c>
      <c r="N73" s="22">
        <v>74458.0</v>
      </c>
      <c r="O73" s="23">
        <v>30.0</v>
      </c>
      <c r="P73" s="23">
        <v>1315.0</v>
      </c>
      <c r="Q73" s="23">
        <v>29.0</v>
      </c>
      <c r="R73" s="23">
        <v>853.0</v>
      </c>
      <c r="S73" s="23">
        <v>5.0</v>
      </c>
      <c r="T73" s="22">
        <v>165.0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11392.0</v>
      </c>
      <c r="L74" s="22">
        <v>2248.0</v>
      </c>
      <c r="M74" s="22">
        <v>65604.0</v>
      </c>
      <c r="N74" s="22">
        <v>76996.0</v>
      </c>
      <c r="O74" s="23">
        <v>22.0</v>
      </c>
      <c r="P74" s="23">
        <v>1337.0</v>
      </c>
      <c r="Q74" s="23">
        <v>21.0</v>
      </c>
      <c r="R74" s="23">
        <v>874.0</v>
      </c>
      <c r="S74" s="23">
        <v>4.0</v>
      </c>
      <c r="T74" s="22">
        <v>169.0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11581.0</v>
      </c>
      <c r="L75" s="22">
        <v>1515.0</v>
      </c>
      <c r="M75" s="22">
        <v>67119.0</v>
      </c>
      <c r="N75" s="22">
        <v>78700.0</v>
      </c>
      <c r="O75" s="23">
        <v>20.0</v>
      </c>
      <c r="P75" s="23">
        <v>1357.0</v>
      </c>
      <c r="Q75" s="23">
        <v>23.0</v>
      </c>
      <c r="R75" s="23">
        <v>897.0</v>
      </c>
      <c r="S75" s="23">
        <v>6.0</v>
      </c>
      <c r="T75" s="22">
        <v>175.0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11755.0</v>
      </c>
      <c r="L76" s="22">
        <v>1298.0</v>
      </c>
      <c r="M76" s="22">
        <v>68417.0</v>
      </c>
      <c r="N76" s="22">
        <v>80172.0</v>
      </c>
      <c r="O76" s="23">
        <v>31.0</v>
      </c>
      <c r="P76" s="23">
        <v>1388.0</v>
      </c>
      <c r="Q76" s="23">
        <v>16.0</v>
      </c>
      <c r="R76" s="23">
        <v>913.0</v>
      </c>
      <c r="S76" s="23">
        <v>6.0</v>
      </c>
      <c r="T76" s="22">
        <v>181.0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11979.0</v>
      </c>
      <c r="L77" s="22">
        <v>1695.0</v>
      </c>
      <c r="M77" s="22">
        <v>70112.0</v>
      </c>
      <c r="N77" s="22">
        <v>82091.0</v>
      </c>
      <c r="O77" s="23">
        <v>23.0</v>
      </c>
      <c r="P77" s="23">
        <v>1411.0</v>
      </c>
      <c r="Q77" s="23">
        <v>18.0</v>
      </c>
      <c r="R77" s="23">
        <v>931.0</v>
      </c>
      <c r="S77" s="23">
        <v>4.0</v>
      </c>
      <c r="T77" s="22">
        <v>185.0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12178.0</v>
      </c>
      <c r="L78" s="22">
        <v>1983.0</v>
      </c>
      <c r="M78" s="22">
        <v>72095.0</v>
      </c>
      <c r="N78" s="22">
        <v>84273.0</v>
      </c>
      <c r="O78" s="23">
        <v>23.0</v>
      </c>
      <c r="P78" s="23">
        <v>1434.0</v>
      </c>
      <c r="Q78" s="23">
        <v>25.0</v>
      </c>
      <c r="R78" s="23">
        <v>956.0</v>
      </c>
      <c r="S78" s="23">
        <v>1.0</v>
      </c>
      <c r="T78" s="22">
        <v>186.0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231.0</v>
      </c>
      <c r="J79" s="22">
        <v>218.0</v>
      </c>
      <c r="K79" s="22">
        <v>12409.0</v>
      </c>
      <c r="L79" s="22">
        <v>2010.0</v>
      </c>
      <c r="M79" s="22">
        <v>74105.0</v>
      </c>
      <c r="N79" s="22">
        <v>86514.0</v>
      </c>
      <c r="O79" s="23">
        <v>19.0</v>
      </c>
      <c r="P79" s="23">
        <v>1453.0</v>
      </c>
      <c r="Q79" s="23">
        <v>27.0</v>
      </c>
      <c r="R79" s="23">
        <v>983.0</v>
      </c>
      <c r="S79" s="23">
        <v>3.0</v>
      </c>
      <c r="T79" s="22">
        <v>189.0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221.0</v>
      </c>
      <c r="K80" s="22">
        <v>12641.0</v>
      </c>
      <c r="L80" s="22">
        <v>1800.0</v>
      </c>
      <c r="M80" s="22">
        <v>75905.0</v>
      </c>
      <c r="N80" s="22">
        <v>88546.0</v>
      </c>
      <c r="O80" s="23">
        <v>24.0</v>
      </c>
      <c r="P80" s="23">
        <v>1477.0</v>
      </c>
      <c r="Q80" s="23">
        <v>41.0</v>
      </c>
      <c r="R80" s="23">
        <v>1024.0</v>
      </c>
      <c r="S80" s="23">
        <v>5.0</v>
      </c>
      <c r="T80" s="22">
        <v>194.0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237.0</v>
      </c>
      <c r="K81" s="22">
        <v>12888.0</v>
      </c>
      <c r="L81" s="22">
        <v>1949.0</v>
      </c>
      <c r="M81" s="22">
        <v>77854.0</v>
      </c>
      <c r="N81" s="22">
        <v>90742.0</v>
      </c>
      <c r="O81" s="23">
        <v>25.0</v>
      </c>
      <c r="P81" s="23">
        <v>1502.0</v>
      </c>
      <c r="Q81" s="23">
        <v>13.0</v>
      </c>
      <c r="R81" s="23">
        <v>1037.0</v>
      </c>
      <c r="S81" s="23">
        <v>5.0</v>
      </c>
      <c r="T81" s="22">
        <v>199.0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13014.0</v>
      </c>
      <c r="L82" s="22">
        <v>1537.0</v>
      </c>
      <c r="M82" s="22">
        <v>79391.0</v>
      </c>
      <c r="N82" s="22">
        <v>92405.0</v>
      </c>
      <c r="O82" s="23">
        <v>17.0</v>
      </c>
      <c r="P82" s="23">
        <v>1519.0</v>
      </c>
      <c r="Q82" s="23">
        <v>8.0</v>
      </c>
      <c r="R82" s="23">
        <v>1045.0</v>
      </c>
      <c r="S82" s="23">
        <v>5.0</v>
      </c>
      <c r="T82" s="22">
        <v>204.0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13149.0</v>
      </c>
      <c r="L83" s="22">
        <v>1365.0</v>
      </c>
      <c r="M83" s="22">
        <v>80756.0</v>
      </c>
      <c r="N83" s="22">
        <v>93905.0</v>
      </c>
      <c r="O83" s="23">
        <v>19.0</v>
      </c>
      <c r="P83" s="23">
        <v>1538.0</v>
      </c>
      <c r="Q83" s="23">
        <v>15.0</v>
      </c>
      <c r="R83" s="23">
        <v>1060.0</v>
      </c>
      <c r="S83" s="23">
        <v>5.0</v>
      </c>
      <c r="T83" s="22">
        <v>209.0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13364.0</v>
      </c>
      <c r="L84" s="22">
        <v>1917.0</v>
      </c>
      <c r="M84" s="22">
        <v>82673.0</v>
      </c>
      <c r="N84" s="22">
        <v>96037.0</v>
      </c>
      <c r="O84" s="23">
        <v>23.0</v>
      </c>
      <c r="P84" s="23">
        <v>1561.0</v>
      </c>
      <c r="Q84" s="23">
        <v>32.0</v>
      </c>
      <c r="R84" s="23">
        <v>1092.0</v>
      </c>
      <c r="S84" s="23">
        <v>5.0</v>
      </c>
      <c r="T84" s="22">
        <v>214.0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13547.0</v>
      </c>
      <c r="L85" s="22">
        <v>1509.0</v>
      </c>
      <c r="M85" s="22">
        <v>84182.0</v>
      </c>
      <c r="N85" s="22">
        <v>97729.0</v>
      </c>
      <c r="O85" s="23">
        <v>19.0</v>
      </c>
      <c r="P85" s="23">
        <v>1580.0</v>
      </c>
      <c r="Q85" s="23">
        <v>23.0</v>
      </c>
      <c r="R85" s="23">
        <v>1115.0</v>
      </c>
      <c r="S85" s="23">
        <v>7.0</v>
      </c>
      <c r="T85" s="22">
        <v>221.0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13715.0</v>
      </c>
      <c r="L86" s="22">
        <v>1932.0</v>
      </c>
      <c r="M86" s="22">
        <v>86114.0</v>
      </c>
      <c r="N86" s="22">
        <v>99829.0</v>
      </c>
      <c r="O86" s="23">
        <v>26.0</v>
      </c>
      <c r="P86" s="23">
        <v>1606.0</v>
      </c>
      <c r="Q86" s="23">
        <v>15.0</v>
      </c>
      <c r="R86" s="23">
        <v>1130.0</v>
      </c>
      <c r="S86" s="23">
        <v>3.0</v>
      </c>
      <c r="T86" s="22">
        <v>224.0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13921.0</v>
      </c>
      <c r="L87" s="22">
        <v>1604.0</v>
      </c>
      <c r="M87" s="22">
        <v>87718.0</v>
      </c>
      <c r="N87" s="22">
        <v>101639.0</v>
      </c>
      <c r="O87" s="23">
        <v>20.0</v>
      </c>
      <c r="P87" s="23">
        <v>1626.0</v>
      </c>
      <c r="Q87" s="23">
        <v>29.0</v>
      </c>
      <c r="R87" s="23">
        <v>1159.0</v>
      </c>
      <c r="S87" s="23">
        <v>5.0</v>
      </c>
      <c r="T87" s="22">
        <v>229.0</v>
      </c>
      <c r="U87" s="22">
        <v>238.0</v>
      </c>
      <c r="V87" s="22">
        <v>245.0</v>
      </c>
      <c r="W87" s="24">
        <v>52.0</v>
      </c>
      <c r="X87" s="24">
        <v>29.0</v>
      </c>
      <c r="Y87" s="22">
        <v>11.0</v>
      </c>
      <c r="Z87" s="22">
        <v>735.0</v>
      </c>
    </row>
    <row r="88" ht="14.25" customHeight="1">
      <c r="A88" s="25">
        <v>43974.0</v>
      </c>
      <c r="B88" s="21">
        <v>253.0</v>
      </c>
      <c r="C88" s="22">
        <v>326.0</v>
      </c>
      <c r="D88" s="22">
        <v>18177.0</v>
      </c>
      <c r="E88" s="21">
        <v>2742.0</v>
      </c>
      <c r="F88" s="22">
        <v>125062.0</v>
      </c>
      <c r="G88" s="22">
        <v>2995.0</v>
      </c>
      <c r="H88" s="22">
        <v>143239.0</v>
      </c>
      <c r="I88" s="22">
        <v>109.0</v>
      </c>
      <c r="J88" s="22">
        <v>161.0</v>
      </c>
      <c r="K88" s="22">
        <v>14030.0</v>
      </c>
      <c r="L88" s="22">
        <v>1267.0</v>
      </c>
      <c r="M88" s="22">
        <v>88985.0</v>
      </c>
      <c r="N88" s="22">
        <v>103015.0</v>
      </c>
      <c r="O88" s="23">
        <v>19.0</v>
      </c>
      <c r="P88" s="23">
        <v>1645.0</v>
      </c>
      <c r="Q88" s="23">
        <v>11.0</v>
      </c>
      <c r="R88" s="23">
        <v>1170.0</v>
      </c>
      <c r="S88" s="23">
        <v>3.0</v>
      </c>
      <c r="T88" s="22">
        <v>232.0</v>
      </c>
      <c r="U88" s="22">
        <v>243.0</v>
      </c>
      <c r="V88" s="22">
        <v>244.0</v>
      </c>
      <c r="W88" s="24">
        <v>52.0</v>
      </c>
      <c r="X88" s="24">
        <v>32.0</v>
      </c>
      <c r="Y88" s="22">
        <v>13.0</v>
      </c>
      <c r="Z88" s="22">
        <v>748.0</v>
      </c>
    </row>
    <row r="89" ht="14.25" customHeight="1">
      <c r="A89" s="25">
        <v>43975.0</v>
      </c>
      <c r="B89" s="21">
        <v>163.0</v>
      </c>
      <c r="C89" s="22">
        <v>256.0</v>
      </c>
      <c r="D89" s="22">
        <v>18340.0</v>
      </c>
      <c r="E89" s="21">
        <v>1370.0</v>
      </c>
      <c r="F89" s="22">
        <v>126432.0</v>
      </c>
      <c r="G89" s="22">
        <v>1533.0</v>
      </c>
      <c r="H89" s="22">
        <v>144772.0</v>
      </c>
      <c r="I89" s="22">
        <v>83.0</v>
      </c>
      <c r="J89" s="22">
        <v>133.0</v>
      </c>
      <c r="K89" s="22">
        <v>14113.0</v>
      </c>
      <c r="L89" s="22">
        <v>772.0</v>
      </c>
      <c r="M89" s="22">
        <v>89757.0</v>
      </c>
      <c r="N89" s="22">
        <v>103870.0</v>
      </c>
      <c r="O89" s="23">
        <v>13.0</v>
      </c>
      <c r="P89" s="23">
        <v>1658.0</v>
      </c>
      <c r="Q89" s="23">
        <v>14.0</v>
      </c>
      <c r="R89" s="23">
        <v>1184.0</v>
      </c>
      <c r="S89" s="23">
        <v>2.0</v>
      </c>
      <c r="T89" s="22">
        <v>234.0</v>
      </c>
      <c r="U89" s="22">
        <v>240.0</v>
      </c>
      <c r="V89" s="22">
        <v>240.0</v>
      </c>
      <c r="W89" s="24">
        <v>53.0</v>
      </c>
      <c r="X89" s="24">
        <v>36.0</v>
      </c>
      <c r="Y89" s="22">
        <v>8.0</v>
      </c>
      <c r="Z89" s="22">
        <v>756.0</v>
      </c>
    </row>
    <row r="90" ht="14.25" customHeight="1">
      <c r="A90" s="25">
        <v>43976.0</v>
      </c>
      <c r="B90" s="21">
        <v>147.0</v>
      </c>
      <c r="C90" s="22">
        <v>188.0</v>
      </c>
      <c r="D90" s="22">
        <v>18487.0</v>
      </c>
      <c r="E90" s="21">
        <v>1385.0</v>
      </c>
      <c r="F90" s="22">
        <v>127817.0</v>
      </c>
      <c r="G90" s="22">
        <v>1532.0</v>
      </c>
      <c r="H90" s="22">
        <v>146304.0</v>
      </c>
      <c r="I90" s="22">
        <v>76.0</v>
      </c>
      <c r="J90" s="22">
        <v>89.0</v>
      </c>
      <c r="K90" s="22">
        <v>14189.0</v>
      </c>
      <c r="L90" s="22">
        <v>761.0</v>
      </c>
      <c r="M90" s="22">
        <v>90518.0</v>
      </c>
      <c r="N90" s="22">
        <v>104707.0</v>
      </c>
      <c r="O90" s="23">
        <v>14.0</v>
      </c>
      <c r="P90" s="23">
        <v>1672.0</v>
      </c>
      <c r="Q90" s="23">
        <v>14.0</v>
      </c>
      <c r="R90" s="23">
        <v>1198.0</v>
      </c>
      <c r="S90" s="23">
        <v>0.0</v>
      </c>
      <c r="T90" s="22">
        <v>234.0</v>
      </c>
      <c r="U90" s="22">
        <v>240.0</v>
      </c>
      <c r="V90" s="22">
        <v>241.0</v>
      </c>
      <c r="W90" s="24">
        <v>53.0</v>
      </c>
      <c r="X90" s="24">
        <v>34.0</v>
      </c>
      <c r="Y90" s="22">
        <v>10.0</v>
      </c>
      <c r="Z90" s="22">
        <v>766.0</v>
      </c>
    </row>
    <row r="91" ht="14.25" customHeight="1">
      <c r="A91" s="25">
        <v>43977.0</v>
      </c>
      <c r="B91" s="21">
        <v>285.0</v>
      </c>
      <c r="C91" s="22">
        <v>198.0</v>
      </c>
      <c r="D91" s="22">
        <v>18772.0</v>
      </c>
      <c r="E91" s="21">
        <v>2620.0</v>
      </c>
      <c r="F91" s="22">
        <v>130437.0</v>
      </c>
      <c r="G91" s="22">
        <v>2905.0</v>
      </c>
      <c r="H91" s="22">
        <v>149209.0</v>
      </c>
      <c r="I91" s="22">
        <v>158.0</v>
      </c>
      <c r="J91" s="22">
        <v>106.0</v>
      </c>
      <c r="K91" s="22">
        <v>14347.0</v>
      </c>
      <c r="L91" s="22">
        <v>1777.0</v>
      </c>
      <c r="M91" s="22">
        <v>92295.0</v>
      </c>
      <c r="N91" s="22">
        <v>106642.0</v>
      </c>
      <c r="O91" s="23">
        <v>24.0</v>
      </c>
      <c r="P91" s="23">
        <v>1696.0</v>
      </c>
      <c r="Q91" s="23">
        <v>22.0</v>
      </c>
      <c r="R91" s="23">
        <v>1220.0</v>
      </c>
      <c r="S91" s="23">
        <v>5.0</v>
      </c>
      <c r="T91" s="22">
        <v>239.0</v>
      </c>
      <c r="U91" s="22">
        <v>237.0</v>
      </c>
      <c r="V91" s="22">
        <v>239.0</v>
      </c>
      <c r="W91" s="24">
        <v>48.0</v>
      </c>
      <c r="X91" s="24">
        <v>33.0</v>
      </c>
      <c r="Y91" s="22">
        <v>15.0</v>
      </c>
      <c r="Z91" s="22">
        <v>781.0</v>
      </c>
    </row>
    <row r="92" ht="14.25" customHeight="1">
      <c r="A92" s="25">
        <v>43978.0</v>
      </c>
      <c r="B92" s="21">
        <v>276.0</v>
      </c>
      <c r="C92" s="22">
        <v>236.0</v>
      </c>
      <c r="D92" s="22">
        <v>19048.0</v>
      </c>
      <c r="E92" s="21">
        <v>2057.0</v>
      </c>
      <c r="F92" s="22">
        <v>132494.0</v>
      </c>
      <c r="G92" s="22">
        <v>2333.0</v>
      </c>
      <c r="H92" s="22">
        <v>151542.0</v>
      </c>
      <c r="I92" s="22">
        <v>132.0</v>
      </c>
      <c r="J92" s="22">
        <v>122.0</v>
      </c>
      <c r="K92" s="22">
        <v>14479.0</v>
      </c>
      <c r="L92" s="22">
        <v>1130.0</v>
      </c>
      <c r="M92" s="22">
        <v>93425.0</v>
      </c>
      <c r="N92" s="22">
        <v>107904.0</v>
      </c>
      <c r="O92" s="23">
        <v>20.0</v>
      </c>
      <c r="P92" s="23">
        <v>1716.0</v>
      </c>
      <c r="Q92" s="23">
        <v>18.0</v>
      </c>
      <c r="R92" s="23">
        <v>1238.0</v>
      </c>
      <c r="S92" s="23">
        <v>3.0</v>
      </c>
      <c r="T92" s="22">
        <v>242.0</v>
      </c>
      <c r="U92" s="22">
        <v>236.0</v>
      </c>
      <c r="V92" s="22">
        <v>238.0</v>
      </c>
      <c r="W92" s="24">
        <v>50.0</v>
      </c>
      <c r="X92" s="24">
        <v>33.0</v>
      </c>
      <c r="Y92" s="22">
        <v>10.0</v>
      </c>
      <c r="Z92" s="22">
        <v>791.0</v>
      </c>
    </row>
    <row r="93" ht="14.25" customHeight="1">
      <c r="A93" s="25">
        <v>43979.0</v>
      </c>
      <c r="B93" s="21">
        <v>348.0</v>
      </c>
      <c r="C93" s="22">
        <v>303.0</v>
      </c>
      <c r="D93" s="22">
        <v>19396.0</v>
      </c>
      <c r="E93" s="22">
        <v>3359.0</v>
      </c>
      <c r="F93" s="22">
        <v>135853.0</v>
      </c>
      <c r="G93" s="22">
        <v>3707.0</v>
      </c>
      <c r="H93" s="22">
        <v>155249.0</v>
      </c>
      <c r="I93" s="22">
        <v>130.0</v>
      </c>
      <c r="J93" s="22">
        <v>140.0</v>
      </c>
      <c r="K93" s="22">
        <v>14609.0</v>
      </c>
      <c r="L93" s="22">
        <v>1114.0</v>
      </c>
      <c r="M93" s="22">
        <v>94539.0</v>
      </c>
      <c r="N93" s="22">
        <v>109148.0</v>
      </c>
      <c r="O93" s="23">
        <v>17.0</v>
      </c>
      <c r="P93" s="23">
        <v>1733.0</v>
      </c>
      <c r="Q93" s="23">
        <v>29.0</v>
      </c>
      <c r="R93" s="23">
        <v>1267.0</v>
      </c>
      <c r="S93" s="23">
        <v>4.0</v>
      </c>
      <c r="T93" s="22">
        <v>246.0</v>
      </c>
      <c r="U93" s="22">
        <v>220.0</v>
      </c>
      <c r="V93" s="22">
        <v>231.0</v>
      </c>
      <c r="W93" s="24">
        <v>47.0</v>
      </c>
      <c r="X93" s="24">
        <v>32.0</v>
      </c>
      <c r="Y93" s="22">
        <v>8.0</v>
      </c>
      <c r="Z93" s="22">
        <v>799.0</v>
      </c>
    </row>
    <row r="94" ht="14.25" customHeight="1">
      <c r="A94" s="25">
        <v>43980.0</v>
      </c>
      <c r="B94" s="22">
        <v>410.0</v>
      </c>
      <c r="C94" s="22">
        <v>345.0</v>
      </c>
      <c r="D94" s="22">
        <v>19806.0</v>
      </c>
      <c r="E94" s="22">
        <v>3915.0</v>
      </c>
      <c r="F94" s="22">
        <v>139768.0</v>
      </c>
      <c r="G94" s="22">
        <v>4325.0</v>
      </c>
      <c r="H94" s="22">
        <v>159574.0</v>
      </c>
      <c r="I94" s="22">
        <v>174.0</v>
      </c>
      <c r="J94" s="22">
        <v>145.0</v>
      </c>
      <c r="K94" s="22">
        <v>14783.0</v>
      </c>
      <c r="L94" s="22">
        <v>1570.0</v>
      </c>
      <c r="M94" s="22">
        <v>96109.0</v>
      </c>
      <c r="N94" s="22">
        <v>110892.0</v>
      </c>
      <c r="O94" s="23">
        <v>19.0</v>
      </c>
      <c r="P94" s="23">
        <v>1752.0</v>
      </c>
      <c r="Q94" s="23">
        <v>27.0</v>
      </c>
      <c r="R94" s="23">
        <v>1294.0</v>
      </c>
      <c r="S94" s="23">
        <v>6.0</v>
      </c>
      <c r="T94" s="22">
        <v>252.0</v>
      </c>
      <c r="U94" s="22">
        <v>206.0</v>
      </c>
      <c r="V94" s="22">
        <v>221.0</v>
      </c>
      <c r="W94" s="24">
        <v>43.0</v>
      </c>
      <c r="X94" s="24">
        <v>31.0</v>
      </c>
      <c r="Y94" s="22">
        <v>12.0</v>
      </c>
      <c r="Z94" s="22">
        <v>811.0</v>
      </c>
    </row>
    <row r="95" ht="14.25" customHeight="1">
      <c r="A95" s="25">
        <v>43981.0</v>
      </c>
      <c r="B95" s="22">
        <v>225.0</v>
      </c>
      <c r="C95" s="22">
        <v>328.0</v>
      </c>
      <c r="D95" s="22">
        <v>20031.0</v>
      </c>
      <c r="E95" s="22">
        <v>3915.0</v>
      </c>
      <c r="F95" s="22">
        <v>143683.0</v>
      </c>
      <c r="G95" s="22">
        <v>4140.0</v>
      </c>
      <c r="H95" s="22">
        <v>163714.0</v>
      </c>
      <c r="I95" s="22">
        <v>109.0</v>
      </c>
      <c r="J95" s="22">
        <v>138.0</v>
      </c>
      <c r="K95" s="22">
        <v>14892.0</v>
      </c>
      <c r="L95" s="22">
        <v>1817.0</v>
      </c>
      <c r="M95" s="22">
        <v>97926.0</v>
      </c>
      <c r="N95" s="22">
        <v>112818.0</v>
      </c>
      <c r="O95" s="23">
        <v>16.0</v>
      </c>
      <c r="P95" s="23">
        <v>1768.0</v>
      </c>
      <c r="Q95" s="23">
        <v>19.0</v>
      </c>
      <c r="R95" s="23">
        <v>1313.0</v>
      </c>
      <c r="S95" s="23">
        <v>4.0</v>
      </c>
      <c r="T95" s="22">
        <v>256.0</v>
      </c>
      <c r="U95" s="22">
        <v>199.0</v>
      </c>
      <c r="V95" s="22">
        <v>208.0</v>
      </c>
      <c r="W95" s="24">
        <v>41.0</v>
      </c>
      <c r="X95" s="24">
        <v>29.0</v>
      </c>
      <c r="Y95" s="22">
        <v>12.0</v>
      </c>
      <c r="Z95" s="22">
        <v>823.0</v>
      </c>
    </row>
    <row r="96" ht="14.25" customHeight="1">
      <c r="A96" s="25">
        <v>43982.0</v>
      </c>
      <c r="B96" s="22">
        <v>155.0</v>
      </c>
      <c r="C96" s="22">
        <v>263.0</v>
      </c>
      <c r="D96" s="22">
        <v>20186.0</v>
      </c>
      <c r="E96" s="22">
        <v>1688.0</v>
      </c>
      <c r="F96" s="22">
        <v>145371.0</v>
      </c>
      <c r="G96" s="22">
        <v>1843.0</v>
      </c>
      <c r="H96" s="22">
        <v>165557.0</v>
      </c>
      <c r="I96" s="22">
        <v>78.0</v>
      </c>
      <c r="J96" s="22">
        <v>120.0</v>
      </c>
      <c r="K96" s="22">
        <v>14970.0</v>
      </c>
      <c r="L96" s="22">
        <v>854.0</v>
      </c>
      <c r="M96" s="22">
        <v>98780.0</v>
      </c>
      <c r="N96" s="22">
        <v>113750.0</v>
      </c>
      <c r="O96" s="23">
        <v>11.0</v>
      </c>
      <c r="P96" s="23">
        <v>1779.0</v>
      </c>
      <c r="Q96" s="23">
        <v>10.0</v>
      </c>
      <c r="R96" s="23">
        <v>1323.0</v>
      </c>
      <c r="S96" s="23">
        <v>1.0</v>
      </c>
      <c r="T96" s="22">
        <v>257.0</v>
      </c>
      <c r="U96" s="22">
        <v>199.0</v>
      </c>
      <c r="V96" s="22">
        <v>201.0</v>
      </c>
      <c r="W96" s="24">
        <v>44.0</v>
      </c>
      <c r="X96" s="24">
        <v>26.0</v>
      </c>
      <c r="Y96" s="22">
        <v>3.0</v>
      </c>
      <c r="Z96" s="22">
        <v>826.0</v>
      </c>
    </row>
    <row r="97" ht="14.25" customHeight="1">
      <c r="A97" s="25">
        <v>43983.0</v>
      </c>
      <c r="B97" s="22">
        <v>212.0</v>
      </c>
      <c r="C97" s="22">
        <v>197.0</v>
      </c>
      <c r="D97" s="22">
        <v>20398.0</v>
      </c>
      <c r="E97" s="22">
        <v>2792.0</v>
      </c>
      <c r="F97" s="22">
        <v>148163.0</v>
      </c>
      <c r="G97" s="22">
        <v>3004.0</v>
      </c>
      <c r="H97" s="22">
        <v>168561.0</v>
      </c>
      <c r="I97" s="22">
        <v>93.0</v>
      </c>
      <c r="J97" s="22">
        <v>93.0</v>
      </c>
      <c r="K97" s="22">
        <v>15063.0</v>
      </c>
      <c r="L97" s="22">
        <v>1380.0</v>
      </c>
      <c r="M97" s="22">
        <v>100160.0</v>
      </c>
      <c r="N97" s="22">
        <v>115223.0</v>
      </c>
      <c r="O97" s="26">
        <v>8.0</v>
      </c>
      <c r="P97" s="26">
        <v>1787.0</v>
      </c>
      <c r="Q97" s="26">
        <v>14.0</v>
      </c>
      <c r="R97" s="26">
        <v>1337.0</v>
      </c>
      <c r="S97" s="26">
        <v>1.0</v>
      </c>
      <c r="T97" s="26">
        <v>258.0</v>
      </c>
      <c r="U97" s="26">
        <v>192.0</v>
      </c>
      <c r="V97" s="22">
        <v>197.0</v>
      </c>
      <c r="W97" s="24">
        <v>45.0</v>
      </c>
      <c r="X97" s="24">
        <v>29.0</v>
      </c>
      <c r="Y97" s="22">
        <v>5.0</v>
      </c>
      <c r="Z97" s="22">
        <v>831.0</v>
      </c>
    </row>
    <row r="98" ht="14.25" customHeight="1">
      <c r="A98" s="25">
        <v>43984.0</v>
      </c>
      <c r="B98" s="22">
        <v>273.0</v>
      </c>
      <c r="C98" s="22">
        <v>213.0</v>
      </c>
      <c r="D98" s="22">
        <v>20671.0</v>
      </c>
      <c r="E98" s="22">
        <v>3022.0</v>
      </c>
      <c r="F98" s="22">
        <v>151185.0</v>
      </c>
      <c r="G98" s="22">
        <v>3295.0</v>
      </c>
      <c r="H98" s="22">
        <v>171856.0</v>
      </c>
      <c r="I98" s="22">
        <v>98.0</v>
      </c>
      <c r="J98" s="22">
        <v>90.0</v>
      </c>
      <c r="K98" s="22">
        <v>15161.0</v>
      </c>
      <c r="L98" s="22">
        <v>1442.0</v>
      </c>
      <c r="M98" s="22">
        <v>101602.0</v>
      </c>
      <c r="N98" s="22">
        <v>116763.0</v>
      </c>
      <c r="O98" s="26">
        <v>8.0</v>
      </c>
      <c r="P98" s="26">
        <v>1795.0</v>
      </c>
      <c r="Q98" s="26">
        <v>9.0</v>
      </c>
      <c r="R98" s="26">
        <v>1346.0</v>
      </c>
      <c r="S98" s="26">
        <v>3.0</v>
      </c>
      <c r="T98" s="26">
        <v>261.0</v>
      </c>
      <c r="U98" s="26">
        <v>188.0</v>
      </c>
      <c r="V98" s="22">
        <v>193.0</v>
      </c>
      <c r="W98" s="24">
        <v>38.0</v>
      </c>
      <c r="X98" s="24">
        <v>25.0</v>
      </c>
      <c r="Y98" s="22">
        <v>10.0</v>
      </c>
      <c r="Z98" s="22">
        <v>841.0</v>
      </c>
    </row>
    <row r="99" ht="14.25" customHeight="1">
      <c r="A99" s="25">
        <v>43985.0</v>
      </c>
      <c r="B99" s="22">
        <v>254.0</v>
      </c>
      <c r="C99" s="22">
        <v>246.0</v>
      </c>
      <c r="D99" s="22">
        <v>20925.0</v>
      </c>
      <c r="E99" s="22">
        <v>3486.0</v>
      </c>
      <c r="F99" s="22">
        <v>154671.0</v>
      </c>
      <c r="G99" s="22">
        <v>3740.0</v>
      </c>
      <c r="H99" s="22">
        <v>175596.0</v>
      </c>
      <c r="I99" s="22">
        <v>99.0</v>
      </c>
      <c r="J99" s="22">
        <v>97.0</v>
      </c>
      <c r="K99" s="22">
        <v>15260.0</v>
      </c>
      <c r="L99" s="22">
        <v>1655.0</v>
      </c>
      <c r="M99" s="22">
        <v>103257.0</v>
      </c>
      <c r="N99" s="22">
        <v>118517.0</v>
      </c>
      <c r="O99" s="26">
        <v>14.0</v>
      </c>
      <c r="P99" s="26">
        <v>1809.0</v>
      </c>
      <c r="Q99" s="26">
        <v>18.0</v>
      </c>
      <c r="R99" s="26">
        <v>1364.0</v>
      </c>
      <c r="S99" s="26">
        <v>6.0</v>
      </c>
      <c r="T99" s="26">
        <v>267.0</v>
      </c>
      <c r="U99" s="26">
        <v>178.0</v>
      </c>
      <c r="V99" s="26">
        <v>186.0</v>
      </c>
      <c r="W99" s="26">
        <v>34.0</v>
      </c>
      <c r="X99" s="26">
        <v>25.0</v>
      </c>
      <c r="Y99" s="22">
        <v>11.0</v>
      </c>
      <c r="Z99" s="22">
        <v>852.0</v>
      </c>
    </row>
    <row r="100" ht="14.25" customHeight="1">
      <c r="A100" s="25">
        <v>43986.0</v>
      </c>
      <c r="B100" s="22">
        <v>276.0</v>
      </c>
      <c r="C100" s="22">
        <v>268.0</v>
      </c>
      <c r="D100" s="22">
        <v>21201.0</v>
      </c>
      <c r="E100" s="22">
        <v>4471.0</v>
      </c>
      <c r="F100" s="22">
        <v>159142.0</v>
      </c>
      <c r="G100" s="22">
        <v>4747.0</v>
      </c>
      <c r="H100" s="22">
        <v>180343.0</v>
      </c>
      <c r="I100" s="22">
        <v>107.0</v>
      </c>
      <c r="J100" s="22">
        <v>101.0</v>
      </c>
      <c r="K100" s="22">
        <v>15367.0</v>
      </c>
      <c r="L100" s="22">
        <v>2032.0</v>
      </c>
      <c r="M100" s="22">
        <v>105289.0</v>
      </c>
      <c r="N100" s="22">
        <v>120656.0</v>
      </c>
      <c r="O100" s="26">
        <v>7.0</v>
      </c>
      <c r="P100" s="26">
        <v>1816.0</v>
      </c>
      <c r="Q100" s="26">
        <v>25.0</v>
      </c>
      <c r="R100" s="26">
        <v>1389.0</v>
      </c>
      <c r="S100" s="26">
        <v>4.0</v>
      </c>
      <c r="T100" s="26">
        <v>271.0</v>
      </c>
      <c r="U100" s="26">
        <v>156.0</v>
      </c>
      <c r="V100" s="26">
        <v>174.0</v>
      </c>
      <c r="W100" s="26">
        <v>31.0</v>
      </c>
      <c r="X100" s="26">
        <v>24.0</v>
      </c>
      <c r="Y100" s="22">
        <v>12.0</v>
      </c>
      <c r="Z100" s="22">
        <v>864.0</v>
      </c>
    </row>
    <row r="101" ht="14.25" customHeight="1">
      <c r="A101" s="25">
        <v>43987.0</v>
      </c>
      <c r="B101" s="22">
        <v>215.0</v>
      </c>
      <c r="C101" s="22">
        <v>248.0</v>
      </c>
      <c r="D101" s="22">
        <v>21416.0</v>
      </c>
      <c r="E101" s="22">
        <v>3513.0</v>
      </c>
      <c r="F101" s="22">
        <v>162655.0</v>
      </c>
      <c r="G101" s="22">
        <v>3728.0</v>
      </c>
      <c r="H101" s="22">
        <v>184071.0</v>
      </c>
      <c r="I101" s="22">
        <v>99.0</v>
      </c>
      <c r="J101" s="22">
        <v>102.0</v>
      </c>
      <c r="K101" s="22">
        <v>15466.0</v>
      </c>
      <c r="L101" s="22">
        <v>1570.0</v>
      </c>
      <c r="M101" s="22">
        <v>106859.0</v>
      </c>
      <c r="N101" s="22">
        <v>122325.0</v>
      </c>
      <c r="O101" s="26">
        <v>15.0</v>
      </c>
      <c r="P101" s="26">
        <v>1831.0</v>
      </c>
      <c r="Q101" s="26">
        <v>13.0</v>
      </c>
      <c r="R101" s="26">
        <v>1402.0</v>
      </c>
      <c r="S101" s="26">
        <v>6.0</v>
      </c>
      <c r="T101" s="26">
        <v>277.0</v>
      </c>
      <c r="U101" s="26">
        <v>152.0</v>
      </c>
      <c r="V101" s="26">
        <v>162.0</v>
      </c>
      <c r="W101" s="26">
        <v>27.0</v>
      </c>
      <c r="X101" s="26">
        <v>21.0</v>
      </c>
      <c r="Y101" s="22">
        <v>11.0</v>
      </c>
      <c r="Z101" s="22">
        <v>875.0</v>
      </c>
    </row>
    <row r="102" ht="14.25" customHeight="1">
      <c r="A102" s="25">
        <v>43988.0</v>
      </c>
      <c r="B102" s="22">
        <v>201.0</v>
      </c>
      <c r="C102" s="22">
        <v>231.0</v>
      </c>
      <c r="D102" s="22">
        <v>21617.0</v>
      </c>
      <c r="E102" s="22">
        <v>2616.0</v>
      </c>
      <c r="F102" s="22">
        <v>165271.0</v>
      </c>
      <c r="G102" s="22">
        <v>2817.0</v>
      </c>
      <c r="H102" s="22">
        <v>186888.0</v>
      </c>
      <c r="I102" s="22">
        <v>67.0</v>
      </c>
      <c r="J102" s="22">
        <v>91.0</v>
      </c>
      <c r="K102" s="22">
        <v>15533.0</v>
      </c>
      <c r="L102" s="22">
        <v>1128.0</v>
      </c>
      <c r="M102" s="22">
        <v>107987.0</v>
      </c>
      <c r="N102" s="22">
        <v>123520.0</v>
      </c>
      <c r="O102" s="26">
        <v>10.0</v>
      </c>
      <c r="P102" s="26">
        <v>1841.0</v>
      </c>
      <c r="Q102" s="26">
        <v>7.0</v>
      </c>
      <c r="R102" s="26">
        <v>1409.0</v>
      </c>
      <c r="S102" s="26">
        <v>2.0</v>
      </c>
      <c r="T102" s="26">
        <v>279.0</v>
      </c>
      <c r="U102" s="26">
        <v>153.0</v>
      </c>
      <c r="V102" s="26">
        <v>154.0</v>
      </c>
      <c r="W102" s="26">
        <v>29.0</v>
      </c>
      <c r="X102" s="26">
        <v>19.0</v>
      </c>
      <c r="Y102" s="22">
        <v>6.0</v>
      </c>
      <c r="Z102" s="22">
        <v>881.0</v>
      </c>
    </row>
    <row r="103" ht="14.25" customHeight="1">
      <c r="A103" s="25">
        <v>43989.0</v>
      </c>
      <c r="B103" s="22">
        <v>83.0</v>
      </c>
      <c r="C103" s="22">
        <v>166.0</v>
      </c>
      <c r="D103" s="22">
        <v>21700.0</v>
      </c>
      <c r="E103" s="22">
        <v>1625.0</v>
      </c>
      <c r="F103" s="22">
        <v>166896.0</v>
      </c>
      <c r="G103" s="22">
        <v>1708.0</v>
      </c>
      <c r="H103" s="22">
        <v>188596.0</v>
      </c>
      <c r="I103" s="22">
        <v>51.0</v>
      </c>
      <c r="J103" s="22">
        <v>72.0</v>
      </c>
      <c r="K103" s="22">
        <v>15584.0</v>
      </c>
      <c r="L103" s="22">
        <v>781.0</v>
      </c>
      <c r="M103" s="22">
        <v>108768.0</v>
      </c>
      <c r="N103" s="22">
        <v>124352.0</v>
      </c>
      <c r="O103" s="26">
        <v>11.0</v>
      </c>
      <c r="P103" s="26">
        <v>1852.0</v>
      </c>
      <c r="Q103" s="26">
        <v>7.0</v>
      </c>
      <c r="R103" s="26">
        <v>1416.0</v>
      </c>
      <c r="S103" s="26">
        <v>1.0</v>
      </c>
      <c r="T103" s="26">
        <v>280.0</v>
      </c>
      <c r="U103" s="26">
        <v>156.0</v>
      </c>
      <c r="V103" s="26">
        <v>154.0</v>
      </c>
      <c r="W103" s="26">
        <v>25.0</v>
      </c>
      <c r="X103" s="26">
        <v>17.0</v>
      </c>
      <c r="Y103" s="22">
        <v>4.0</v>
      </c>
      <c r="Z103" s="22">
        <v>885.0</v>
      </c>
    </row>
    <row r="104" ht="14.25" customHeight="1">
      <c r="A104" s="27">
        <v>43990.0</v>
      </c>
      <c r="B104" s="28">
        <v>119.0</v>
      </c>
      <c r="C104" s="28">
        <v>134.0</v>
      </c>
      <c r="D104" s="28">
        <v>21819.0</v>
      </c>
      <c r="E104" s="28">
        <v>1849.0</v>
      </c>
      <c r="F104" s="29">
        <v>168745.0</v>
      </c>
      <c r="G104" s="29">
        <v>1968.0</v>
      </c>
      <c r="H104" s="29">
        <v>190564.0</v>
      </c>
      <c r="I104" s="28">
        <v>45.0</v>
      </c>
      <c r="J104" s="28">
        <v>54.0</v>
      </c>
      <c r="K104" s="28">
        <v>15629.0</v>
      </c>
      <c r="L104" s="28">
        <v>954.0</v>
      </c>
      <c r="M104" s="28">
        <v>109722.0</v>
      </c>
      <c r="N104" s="28">
        <v>125351.0</v>
      </c>
      <c r="O104" s="28">
        <v>15.0</v>
      </c>
      <c r="P104" s="30">
        <v>1867.0</v>
      </c>
      <c r="Q104" s="30">
        <v>12.0</v>
      </c>
      <c r="R104" s="30">
        <v>1428.0</v>
      </c>
      <c r="S104" s="30">
        <v>2.0</v>
      </c>
      <c r="T104" s="30">
        <v>282.0</v>
      </c>
      <c r="U104" s="30">
        <v>157.0</v>
      </c>
      <c r="V104" s="30">
        <v>155.0</v>
      </c>
      <c r="W104" s="30">
        <v>27.0</v>
      </c>
      <c r="X104" s="30">
        <v>18.0</v>
      </c>
      <c r="Y104" s="30">
        <v>4.0</v>
      </c>
      <c r="Z104" s="28">
        <v>889.0</v>
      </c>
    </row>
    <row r="105" ht="14.25" customHeight="1">
      <c r="A105" s="27">
        <v>43991.0</v>
      </c>
      <c r="B105" s="28">
        <v>223.0</v>
      </c>
      <c r="C105" s="28">
        <v>142.0</v>
      </c>
      <c r="D105" s="28">
        <v>22042.0</v>
      </c>
      <c r="E105" s="28">
        <v>2673.0</v>
      </c>
      <c r="F105" s="29">
        <v>171418.0</v>
      </c>
      <c r="G105" s="29">
        <v>2896.0</v>
      </c>
      <c r="H105" s="29">
        <v>193460.0</v>
      </c>
      <c r="I105" s="28">
        <v>64.0</v>
      </c>
      <c r="J105" s="28">
        <v>53.0</v>
      </c>
      <c r="K105" s="28">
        <v>15693.0</v>
      </c>
      <c r="L105" s="28">
        <v>1252.0</v>
      </c>
      <c r="M105" s="28">
        <v>110974.0</v>
      </c>
      <c r="N105" s="28">
        <v>126667.0</v>
      </c>
      <c r="O105" s="28">
        <v>10.0</v>
      </c>
      <c r="P105" s="30">
        <v>1877.0</v>
      </c>
      <c r="Q105" s="30">
        <v>18.0</v>
      </c>
      <c r="R105" s="30">
        <v>1446.0</v>
      </c>
      <c r="S105" s="30">
        <v>0.0</v>
      </c>
      <c r="T105" s="30">
        <v>282.0</v>
      </c>
      <c r="U105" s="30">
        <v>149.0</v>
      </c>
      <c r="V105" s="30">
        <v>154.0</v>
      </c>
      <c r="W105" s="30">
        <v>28.0</v>
      </c>
      <c r="X105" s="30">
        <v>21.0</v>
      </c>
      <c r="Y105" s="30">
        <v>1.0</v>
      </c>
      <c r="Z105" s="28">
        <v>890.0</v>
      </c>
    </row>
    <row r="106" ht="14.25" customHeight="1">
      <c r="A106" s="27">
        <v>43992.0</v>
      </c>
      <c r="B106" s="28">
        <v>209.0</v>
      </c>
      <c r="C106" s="28">
        <v>184.0</v>
      </c>
      <c r="D106" s="28">
        <v>22251.0</v>
      </c>
      <c r="E106" s="28">
        <v>2987.0</v>
      </c>
      <c r="F106" s="29">
        <v>174405.0</v>
      </c>
      <c r="G106" s="29">
        <v>3196.0</v>
      </c>
      <c r="H106" s="29">
        <v>196656.0</v>
      </c>
      <c r="I106" s="28">
        <v>101.0</v>
      </c>
      <c r="J106" s="28">
        <v>70.0</v>
      </c>
      <c r="K106" s="28">
        <v>15794.0</v>
      </c>
      <c r="L106" s="28">
        <v>1463.0</v>
      </c>
      <c r="M106" s="28">
        <v>112437.0</v>
      </c>
      <c r="N106" s="28">
        <v>128231.0</v>
      </c>
      <c r="O106" s="28">
        <v>13.0</v>
      </c>
      <c r="P106" s="30">
        <v>1890.0</v>
      </c>
      <c r="Q106" s="30">
        <v>12.0</v>
      </c>
      <c r="R106" s="30">
        <v>1458.0</v>
      </c>
      <c r="S106" s="30">
        <v>2.0</v>
      </c>
      <c r="T106" s="30">
        <v>284.0</v>
      </c>
      <c r="U106" s="30">
        <v>148.0</v>
      </c>
      <c r="V106" s="30">
        <v>151.0</v>
      </c>
      <c r="W106" s="30">
        <v>24.0</v>
      </c>
      <c r="X106" s="30">
        <v>17.0</v>
      </c>
      <c r="Y106" s="30">
        <v>4.0</v>
      </c>
      <c r="Z106" s="28">
        <v>894.0</v>
      </c>
    </row>
    <row r="107" ht="14.25" customHeight="1">
      <c r="A107" s="27">
        <v>43993.0</v>
      </c>
      <c r="B107" s="28">
        <v>195.0</v>
      </c>
      <c r="C107" s="28">
        <v>209.0</v>
      </c>
      <c r="D107" s="28">
        <v>22446.0</v>
      </c>
      <c r="E107" s="28">
        <v>3513.0</v>
      </c>
      <c r="F107" s="29">
        <v>177918.0</v>
      </c>
      <c r="G107" s="29">
        <v>3708.0</v>
      </c>
      <c r="H107" s="29">
        <v>200364.0</v>
      </c>
      <c r="I107" s="28">
        <v>88.0</v>
      </c>
      <c r="J107" s="28">
        <v>84.0</v>
      </c>
      <c r="K107" s="28">
        <v>15882.0</v>
      </c>
      <c r="L107" s="28">
        <v>1530.0</v>
      </c>
      <c r="M107" s="28">
        <v>113967.0</v>
      </c>
      <c r="N107" s="28">
        <v>129849.0</v>
      </c>
      <c r="O107" s="28">
        <v>7.0</v>
      </c>
      <c r="P107" s="30">
        <v>1897.0</v>
      </c>
      <c r="Q107" s="30">
        <v>15.0</v>
      </c>
      <c r="R107" s="30">
        <v>1473.0</v>
      </c>
      <c r="S107" s="30">
        <v>1.0</v>
      </c>
      <c r="T107" s="30">
        <v>285.0</v>
      </c>
      <c r="U107" s="30">
        <v>139.0</v>
      </c>
      <c r="V107" s="30">
        <v>145.0</v>
      </c>
      <c r="W107" s="30">
        <v>25.0</v>
      </c>
      <c r="X107" s="30">
        <v>16.0</v>
      </c>
      <c r="Y107" s="30">
        <v>6.0</v>
      </c>
      <c r="Z107" s="28">
        <v>900.0</v>
      </c>
    </row>
    <row r="108" ht="14.25" customHeight="1">
      <c r="A108" s="27">
        <v>43994.0</v>
      </c>
      <c r="B108" s="28">
        <v>209.0</v>
      </c>
      <c r="C108" s="28">
        <v>204.0</v>
      </c>
      <c r="D108" s="28">
        <v>22655.0</v>
      </c>
      <c r="E108" s="28">
        <v>4601.0</v>
      </c>
      <c r="F108" s="29">
        <v>182519.0</v>
      </c>
      <c r="G108" s="29">
        <v>4810.0</v>
      </c>
      <c r="H108" s="29">
        <v>205174.0</v>
      </c>
      <c r="I108" s="28">
        <v>78.0</v>
      </c>
      <c r="J108" s="28">
        <v>89.0</v>
      </c>
      <c r="K108" s="28">
        <v>15960.0</v>
      </c>
      <c r="L108" s="28">
        <v>2170.0</v>
      </c>
      <c r="M108" s="28">
        <v>116137.0</v>
      </c>
      <c r="N108" s="28">
        <v>132097.0</v>
      </c>
      <c r="O108" s="28">
        <v>9.0</v>
      </c>
      <c r="P108" s="30">
        <v>1906.0</v>
      </c>
      <c r="Q108" s="30">
        <v>15.0</v>
      </c>
      <c r="R108" s="30">
        <v>1488.0</v>
      </c>
      <c r="S108" s="30">
        <v>1.0</v>
      </c>
      <c r="T108" s="30">
        <v>286.0</v>
      </c>
      <c r="U108" s="30">
        <v>132.0</v>
      </c>
      <c r="V108" s="30">
        <v>140.0</v>
      </c>
      <c r="W108" s="30">
        <v>24.0</v>
      </c>
      <c r="X108" s="30">
        <v>16.0</v>
      </c>
      <c r="Y108" s="30">
        <v>2.0</v>
      </c>
      <c r="Z108" s="28">
        <v>902.0</v>
      </c>
    </row>
    <row r="109" ht="14.25" customHeight="1">
      <c r="A109" s="27">
        <v>43995.0</v>
      </c>
      <c r="B109" s="28">
        <v>113.0</v>
      </c>
      <c r="C109" s="28">
        <v>172.0</v>
      </c>
      <c r="D109" s="28">
        <v>22768.0</v>
      </c>
      <c r="E109" s="28">
        <v>3036.0</v>
      </c>
      <c r="F109" s="29">
        <v>185555.0</v>
      </c>
      <c r="G109" s="29">
        <v>3149.0</v>
      </c>
      <c r="H109" s="29">
        <v>208323.0</v>
      </c>
      <c r="I109" s="28">
        <v>49.0</v>
      </c>
      <c r="J109" s="28">
        <v>72.0</v>
      </c>
      <c r="K109" s="28">
        <v>16009.0</v>
      </c>
      <c r="L109" s="28">
        <v>1365.0</v>
      </c>
      <c r="M109" s="28">
        <v>117502.0</v>
      </c>
      <c r="N109" s="28">
        <v>133511.0</v>
      </c>
      <c r="O109" s="28">
        <v>6.0</v>
      </c>
      <c r="P109" s="30">
        <v>1912.0</v>
      </c>
      <c r="Q109" s="30">
        <v>5.0</v>
      </c>
      <c r="R109" s="30">
        <v>1493.0</v>
      </c>
      <c r="S109" s="30">
        <v>0.0</v>
      </c>
      <c r="T109" s="30">
        <v>286.0</v>
      </c>
      <c r="U109" s="30">
        <v>133.0</v>
      </c>
      <c r="V109" s="30">
        <v>135.0</v>
      </c>
      <c r="W109" s="30">
        <v>20.0</v>
      </c>
      <c r="X109" s="30">
        <v>15.0</v>
      </c>
      <c r="Y109" s="30">
        <v>3.0</v>
      </c>
      <c r="Z109" s="28">
        <v>905.0</v>
      </c>
    </row>
    <row r="110" ht="14.25" customHeight="1">
      <c r="A110" s="27">
        <v>43996.0</v>
      </c>
      <c r="B110" s="28">
        <v>81.0</v>
      </c>
      <c r="C110" s="28">
        <v>134.0</v>
      </c>
      <c r="D110" s="28">
        <v>22849.0</v>
      </c>
      <c r="E110" s="28">
        <v>2046.0</v>
      </c>
      <c r="F110" s="29">
        <v>187601.0</v>
      </c>
      <c r="G110" s="29">
        <v>2127.0</v>
      </c>
      <c r="H110" s="29">
        <v>210450.0</v>
      </c>
      <c r="I110" s="28">
        <v>33.0</v>
      </c>
      <c r="J110" s="28">
        <v>53.0</v>
      </c>
      <c r="K110" s="28">
        <v>16042.0</v>
      </c>
      <c r="L110" s="28">
        <v>964.0</v>
      </c>
      <c r="M110" s="28">
        <v>118466.0</v>
      </c>
      <c r="N110" s="28">
        <v>134508.0</v>
      </c>
      <c r="O110" s="28">
        <v>7.0</v>
      </c>
      <c r="P110" s="30">
        <v>1919.0</v>
      </c>
      <c r="Q110" s="30">
        <v>8.0</v>
      </c>
      <c r="R110" s="30">
        <v>1501.0</v>
      </c>
      <c r="S110" s="30">
        <v>1.0</v>
      </c>
      <c r="T110" s="30">
        <v>287.0</v>
      </c>
      <c r="U110" s="30">
        <v>131.0</v>
      </c>
      <c r="V110" s="30">
        <v>132.0</v>
      </c>
      <c r="W110" s="30">
        <v>20.0</v>
      </c>
      <c r="X110" s="30">
        <v>14.0</v>
      </c>
      <c r="Y110" s="30">
        <v>3.0</v>
      </c>
      <c r="Z110" s="28">
        <v>908.0</v>
      </c>
    </row>
    <row r="111" ht="14.25" customHeight="1">
      <c r="A111" s="27">
        <v>43997.0</v>
      </c>
      <c r="B111" s="28">
        <v>188.0</v>
      </c>
      <c r="C111" s="28">
        <v>127.0</v>
      </c>
      <c r="D111" s="28">
        <v>23037.0</v>
      </c>
      <c r="E111" s="28">
        <v>3108.0</v>
      </c>
      <c r="F111" s="29">
        <v>190709.0</v>
      </c>
      <c r="G111" s="29">
        <v>3296.0</v>
      </c>
      <c r="H111" s="29">
        <v>213746.0</v>
      </c>
      <c r="I111" s="28">
        <v>75.0</v>
      </c>
      <c r="J111" s="28">
        <v>52.0</v>
      </c>
      <c r="K111" s="28">
        <v>16117.0</v>
      </c>
      <c r="L111" s="28">
        <v>1787.0</v>
      </c>
      <c r="M111" s="28">
        <v>120253.0</v>
      </c>
      <c r="N111" s="28">
        <v>136370.0</v>
      </c>
      <c r="O111" s="28">
        <v>14.0</v>
      </c>
      <c r="P111" s="30">
        <v>1933.0</v>
      </c>
      <c r="Q111" s="30">
        <v>14.0</v>
      </c>
      <c r="R111" s="30">
        <v>1515.0</v>
      </c>
      <c r="S111" s="30">
        <v>0.0</v>
      </c>
      <c r="T111" s="30">
        <v>287.0</v>
      </c>
      <c r="U111" s="30">
        <v>131.0</v>
      </c>
      <c r="V111" s="30">
        <v>132.0</v>
      </c>
      <c r="W111" s="30">
        <v>20.0</v>
      </c>
      <c r="X111" s="30">
        <v>16.0</v>
      </c>
      <c r="Y111" s="30">
        <v>5.0</v>
      </c>
      <c r="Z111" s="28">
        <v>913.0</v>
      </c>
    </row>
    <row r="112" ht="14.25" customHeight="1">
      <c r="A112" s="27">
        <v>43998.0</v>
      </c>
      <c r="B112" s="28">
        <v>110.0</v>
      </c>
      <c r="C112" s="28">
        <v>126.0</v>
      </c>
      <c r="D112" s="28">
        <v>23147.0</v>
      </c>
      <c r="E112" s="28">
        <v>3017.0</v>
      </c>
      <c r="F112" s="29">
        <v>193726.0</v>
      </c>
      <c r="G112" s="29">
        <v>3127.0</v>
      </c>
      <c r="H112" s="29">
        <v>216873.0</v>
      </c>
      <c r="I112" s="28">
        <v>50.0</v>
      </c>
      <c r="J112" s="28">
        <v>53.0</v>
      </c>
      <c r="K112" s="28">
        <v>16167.0</v>
      </c>
      <c r="L112" s="28">
        <v>1558.0</v>
      </c>
      <c r="M112" s="28">
        <v>121811.0</v>
      </c>
      <c r="N112" s="28">
        <v>137978.0</v>
      </c>
      <c r="O112" s="28">
        <v>11.0</v>
      </c>
      <c r="P112" s="30">
        <v>1944.0</v>
      </c>
      <c r="Q112" s="30">
        <v>9.0</v>
      </c>
      <c r="R112" s="30">
        <v>1524.0</v>
      </c>
      <c r="S112" s="30">
        <v>1.0</v>
      </c>
      <c r="T112" s="30">
        <v>288.0</v>
      </c>
      <c r="U112" s="30">
        <v>132.0</v>
      </c>
      <c r="V112" s="30">
        <v>131.0</v>
      </c>
      <c r="W112" s="30">
        <v>22.0</v>
      </c>
      <c r="X112" s="30">
        <v>16.0</v>
      </c>
      <c r="Y112" s="30">
        <v>8.0</v>
      </c>
      <c r="Z112" s="28">
        <v>921.0</v>
      </c>
    </row>
    <row r="113" ht="14.25" customHeight="1">
      <c r="A113" s="27">
        <v>43999.0</v>
      </c>
      <c r="B113" s="28">
        <v>127.0</v>
      </c>
      <c r="C113" s="28">
        <v>142.0</v>
      </c>
      <c r="D113" s="28">
        <v>23274.0</v>
      </c>
      <c r="E113" s="28">
        <v>2835.0</v>
      </c>
      <c r="F113" s="29">
        <v>196561.0</v>
      </c>
      <c r="G113" s="29">
        <v>2962.0</v>
      </c>
      <c r="H113" s="29">
        <v>219835.0</v>
      </c>
      <c r="I113" s="28">
        <v>50.0</v>
      </c>
      <c r="J113" s="28">
        <v>58.0</v>
      </c>
      <c r="K113" s="28">
        <v>16217.0</v>
      </c>
      <c r="L113" s="28">
        <v>1316.0</v>
      </c>
      <c r="M113" s="28">
        <v>123127.0</v>
      </c>
      <c r="N113" s="28">
        <v>139344.0</v>
      </c>
      <c r="O113" s="28">
        <v>15.0</v>
      </c>
      <c r="P113" s="30">
        <v>1959.0</v>
      </c>
      <c r="Q113" s="30">
        <v>20.0</v>
      </c>
      <c r="R113" s="30">
        <v>1544.0</v>
      </c>
      <c r="S113" s="30">
        <v>4.0</v>
      </c>
      <c r="T113" s="30">
        <v>292.0</v>
      </c>
      <c r="U113" s="30">
        <v>123.0</v>
      </c>
      <c r="V113" s="30">
        <v>129.0</v>
      </c>
      <c r="W113" s="30">
        <v>18.0</v>
      </c>
      <c r="X113" s="30">
        <v>14.0</v>
      </c>
      <c r="Y113" s="30">
        <v>6.0</v>
      </c>
      <c r="Z113" s="28">
        <v>927.0</v>
      </c>
    </row>
    <row r="114" ht="14.25" customHeight="1">
      <c r="A114" s="27">
        <v>44000.0</v>
      </c>
      <c r="B114" s="28">
        <v>149.0</v>
      </c>
      <c r="C114" s="28">
        <v>129.0</v>
      </c>
      <c r="D114" s="28">
        <v>23423.0</v>
      </c>
      <c r="E114" s="28">
        <v>3048.0</v>
      </c>
      <c r="F114" s="29">
        <v>199609.0</v>
      </c>
      <c r="G114" s="29">
        <v>3197.0</v>
      </c>
      <c r="H114" s="29">
        <v>223032.0</v>
      </c>
      <c r="I114" s="28">
        <v>70.0</v>
      </c>
      <c r="J114" s="28">
        <v>57.0</v>
      </c>
      <c r="K114" s="28">
        <v>16287.0</v>
      </c>
      <c r="L114" s="28">
        <v>1310.0</v>
      </c>
      <c r="M114" s="28">
        <v>124437.0</v>
      </c>
      <c r="N114" s="28">
        <v>140724.0</v>
      </c>
      <c r="O114" s="28">
        <v>9.0</v>
      </c>
      <c r="P114" s="30">
        <v>1968.0</v>
      </c>
      <c r="Q114" s="30">
        <v>13.0</v>
      </c>
      <c r="R114" s="30">
        <v>1557.0</v>
      </c>
      <c r="S114" s="30">
        <v>1.0</v>
      </c>
      <c r="T114" s="30">
        <v>293.0</v>
      </c>
      <c r="U114" s="30">
        <v>118.0</v>
      </c>
      <c r="V114" s="30">
        <v>124.0</v>
      </c>
      <c r="W114" s="30">
        <v>19.0</v>
      </c>
      <c r="X114" s="30">
        <v>16.0</v>
      </c>
      <c r="Y114" s="30">
        <v>7.0</v>
      </c>
      <c r="Z114" s="28">
        <v>934.0</v>
      </c>
    </row>
    <row r="115" ht="14.25" customHeight="1">
      <c r="A115" s="27">
        <v>44001.0</v>
      </c>
      <c r="B115" s="28">
        <v>141.0</v>
      </c>
      <c r="C115" s="28">
        <v>139.0</v>
      </c>
      <c r="D115" s="28">
        <v>23564.0</v>
      </c>
      <c r="E115" s="28">
        <v>3769.0</v>
      </c>
      <c r="F115" s="29">
        <v>203378.0</v>
      </c>
      <c r="G115" s="29">
        <v>3910.0</v>
      </c>
      <c r="H115" s="29">
        <v>226942.0</v>
      </c>
      <c r="I115" s="28">
        <v>59.0</v>
      </c>
      <c r="J115" s="28">
        <v>60.0</v>
      </c>
      <c r="K115" s="28">
        <v>16346.0</v>
      </c>
      <c r="L115" s="28">
        <v>1363.0</v>
      </c>
      <c r="M115" s="28">
        <v>125800.0</v>
      </c>
      <c r="N115" s="28">
        <v>142146.0</v>
      </c>
      <c r="O115" s="28">
        <v>12.0</v>
      </c>
      <c r="P115" s="30">
        <v>1980.0</v>
      </c>
      <c r="Q115" s="30">
        <v>11.0</v>
      </c>
      <c r="R115" s="30">
        <v>1568.0</v>
      </c>
      <c r="S115" s="30">
        <v>1.0</v>
      </c>
      <c r="T115" s="30">
        <v>294.0</v>
      </c>
      <c r="U115" s="30">
        <v>118.0</v>
      </c>
      <c r="V115" s="30">
        <v>120.0</v>
      </c>
      <c r="W115" s="30">
        <v>20.0</v>
      </c>
      <c r="X115" s="30">
        <v>17.0</v>
      </c>
      <c r="Y115" s="30">
        <v>3.0</v>
      </c>
      <c r="Z115" s="28">
        <v>937.0</v>
      </c>
    </row>
    <row r="116" ht="14.25" customHeight="1">
      <c r="A116" s="27">
        <v>44002.0</v>
      </c>
      <c r="B116" s="28">
        <v>84.0</v>
      </c>
      <c r="C116" s="28">
        <v>125.0</v>
      </c>
      <c r="D116" s="28">
        <v>23648.0</v>
      </c>
      <c r="E116" s="28">
        <v>1891.0</v>
      </c>
      <c r="F116" s="29">
        <v>205269.0</v>
      </c>
      <c r="G116" s="29">
        <v>1975.0</v>
      </c>
      <c r="H116" s="29">
        <v>228917.0</v>
      </c>
      <c r="I116" s="28">
        <v>36.0</v>
      </c>
      <c r="J116" s="28">
        <v>55.0</v>
      </c>
      <c r="K116" s="28">
        <v>16382.0</v>
      </c>
      <c r="L116" s="28">
        <v>812.0</v>
      </c>
      <c r="M116" s="28">
        <v>126612.0</v>
      </c>
      <c r="N116" s="28">
        <v>142994.0</v>
      </c>
      <c r="O116" s="28">
        <v>9.0</v>
      </c>
      <c r="P116" s="30">
        <v>1989.0</v>
      </c>
      <c r="Q116" s="30">
        <v>12.0</v>
      </c>
      <c r="R116" s="30">
        <v>1580.0</v>
      </c>
      <c r="S116" s="30">
        <v>0.0</v>
      </c>
      <c r="T116" s="30">
        <v>294.0</v>
      </c>
      <c r="U116" s="30">
        <v>115.0</v>
      </c>
      <c r="V116" s="30">
        <v>117.0</v>
      </c>
      <c r="W116" s="30">
        <v>20.0</v>
      </c>
      <c r="X116" s="30">
        <v>18.0</v>
      </c>
      <c r="Y116" s="30">
        <v>4.0</v>
      </c>
      <c r="Z116" s="28">
        <v>941.0</v>
      </c>
    </row>
    <row r="117" ht="14.25" customHeight="1">
      <c r="A117" s="27">
        <v>44003.0</v>
      </c>
      <c r="B117" s="28">
        <v>37.0</v>
      </c>
      <c r="C117" s="28">
        <v>87.0</v>
      </c>
      <c r="D117" s="28">
        <v>23685.0</v>
      </c>
      <c r="E117" s="28">
        <v>1064.0</v>
      </c>
      <c r="F117" s="29">
        <v>206333.0</v>
      </c>
      <c r="G117" s="29">
        <v>1101.0</v>
      </c>
      <c r="H117" s="29">
        <v>230018.0</v>
      </c>
      <c r="I117" s="28">
        <v>29.0</v>
      </c>
      <c r="J117" s="28">
        <v>41.0</v>
      </c>
      <c r="K117" s="28">
        <v>16411.0</v>
      </c>
      <c r="L117" s="28">
        <v>690.0</v>
      </c>
      <c r="M117" s="28">
        <v>127302.0</v>
      </c>
      <c r="N117" s="28">
        <v>143713.0</v>
      </c>
      <c r="O117" s="28">
        <v>8.0</v>
      </c>
      <c r="P117" s="30">
        <v>1997.0</v>
      </c>
      <c r="Q117" s="30">
        <v>5.0</v>
      </c>
      <c r="R117" s="30">
        <v>1585.0</v>
      </c>
      <c r="S117" s="30">
        <v>0.0</v>
      </c>
      <c r="T117" s="30">
        <v>294.0</v>
      </c>
      <c r="U117" s="30">
        <v>118.0</v>
      </c>
      <c r="V117" s="30">
        <v>117.0</v>
      </c>
      <c r="W117" s="30">
        <v>20.0</v>
      </c>
      <c r="X117" s="30">
        <v>18.0</v>
      </c>
      <c r="Y117" s="30">
        <v>2.0</v>
      </c>
      <c r="Z117" s="28">
        <v>943.0</v>
      </c>
    </row>
    <row r="118" ht="14.25" customHeight="1">
      <c r="A118" s="27">
        <v>44004.0</v>
      </c>
      <c r="B118" s="28">
        <v>138.0</v>
      </c>
      <c r="C118" s="28">
        <v>86.0</v>
      </c>
      <c r="D118" s="28">
        <v>23823.0</v>
      </c>
      <c r="E118" s="28">
        <v>3730.0</v>
      </c>
      <c r="F118" s="29">
        <v>210063.0</v>
      </c>
      <c r="G118" s="29">
        <v>3868.0</v>
      </c>
      <c r="H118" s="29">
        <v>233886.0</v>
      </c>
      <c r="I118" s="28">
        <v>65.0</v>
      </c>
      <c r="J118" s="28">
        <v>43.0</v>
      </c>
      <c r="K118" s="28">
        <v>16476.0</v>
      </c>
      <c r="L118" s="28">
        <v>1703.0</v>
      </c>
      <c r="M118" s="28">
        <v>129005.0</v>
      </c>
      <c r="N118" s="28">
        <v>145481.0</v>
      </c>
      <c r="O118" s="28">
        <v>12.0</v>
      </c>
      <c r="P118" s="30">
        <v>2009.0</v>
      </c>
      <c r="Q118" s="30">
        <v>16.0</v>
      </c>
      <c r="R118" s="30">
        <v>1601.0</v>
      </c>
      <c r="S118" s="30">
        <v>0.0</v>
      </c>
      <c r="T118" s="30">
        <v>294.0</v>
      </c>
      <c r="U118" s="30">
        <v>114.0</v>
      </c>
      <c r="V118" s="30">
        <v>116.0</v>
      </c>
      <c r="W118" s="30">
        <v>19.0</v>
      </c>
      <c r="X118" s="30">
        <v>18.0</v>
      </c>
      <c r="Y118" s="30">
        <v>2.0</v>
      </c>
      <c r="Z118" s="28">
        <v>945.0</v>
      </c>
    </row>
    <row r="119" ht="14.25" customHeight="1">
      <c r="A119" s="27">
        <v>44005.0</v>
      </c>
      <c r="B119" s="28">
        <v>163.0</v>
      </c>
      <c r="C119" s="28">
        <v>113.0</v>
      </c>
      <c r="D119" s="28">
        <v>23986.0</v>
      </c>
      <c r="E119" s="28">
        <v>3831.0</v>
      </c>
      <c r="F119" s="29">
        <v>213894.0</v>
      </c>
      <c r="G119" s="29">
        <v>3994.0</v>
      </c>
      <c r="H119" s="29">
        <v>237880.0</v>
      </c>
      <c r="I119" s="28">
        <v>81.0</v>
      </c>
      <c r="J119" s="28">
        <v>58.0</v>
      </c>
      <c r="K119" s="28">
        <v>16557.0</v>
      </c>
      <c r="L119" s="28">
        <v>1776.0</v>
      </c>
      <c r="M119" s="28">
        <v>130781.0</v>
      </c>
      <c r="N119" s="28">
        <v>147338.0</v>
      </c>
      <c r="O119" s="28">
        <v>3.0</v>
      </c>
      <c r="P119" s="30">
        <v>2012.0</v>
      </c>
      <c r="Q119" s="30">
        <v>13.0</v>
      </c>
      <c r="R119" s="30">
        <v>1614.0</v>
      </c>
      <c r="S119" s="30">
        <v>3.0</v>
      </c>
      <c r="T119" s="30">
        <v>297.0</v>
      </c>
      <c r="U119" s="30">
        <v>101.0</v>
      </c>
      <c r="V119" s="30">
        <v>111.0</v>
      </c>
      <c r="W119" s="30">
        <v>18.0</v>
      </c>
      <c r="X119" s="30">
        <v>18.0</v>
      </c>
      <c r="Y119" s="30">
        <v>7.0</v>
      </c>
      <c r="Z119" s="28">
        <v>952.0</v>
      </c>
    </row>
    <row r="120" ht="14.25" customHeight="1">
      <c r="A120" s="27">
        <v>44006.0</v>
      </c>
      <c r="B120" s="28">
        <v>120.0</v>
      </c>
      <c r="C120" s="28">
        <v>140.0</v>
      </c>
      <c r="D120" s="28">
        <v>24106.0</v>
      </c>
      <c r="E120" s="28">
        <v>3502.0</v>
      </c>
      <c r="F120" s="29">
        <v>217396.0</v>
      </c>
      <c r="G120" s="29">
        <v>3622.0</v>
      </c>
      <c r="H120" s="29">
        <v>241502.0</v>
      </c>
      <c r="I120" s="28">
        <v>44.0</v>
      </c>
      <c r="J120" s="28">
        <v>63.0</v>
      </c>
      <c r="K120" s="28">
        <v>16601.0</v>
      </c>
      <c r="L120" s="28">
        <v>1678.0</v>
      </c>
      <c r="M120" s="28">
        <v>132459.0</v>
      </c>
      <c r="N120" s="28">
        <v>149060.0</v>
      </c>
      <c r="O120" s="28">
        <v>9.0</v>
      </c>
      <c r="P120" s="30">
        <v>2021.0</v>
      </c>
      <c r="Q120" s="30">
        <v>10.0</v>
      </c>
      <c r="R120" s="30">
        <v>1624.0</v>
      </c>
      <c r="S120" s="30">
        <v>1.0</v>
      </c>
      <c r="T120" s="30">
        <v>298.0</v>
      </c>
      <c r="U120" s="30">
        <v>99.0</v>
      </c>
      <c r="V120" s="30">
        <v>105.0</v>
      </c>
      <c r="W120" s="30">
        <v>18.0</v>
      </c>
      <c r="X120" s="30">
        <v>18.0</v>
      </c>
      <c r="Y120" s="30">
        <v>5.0</v>
      </c>
      <c r="Z120" s="28">
        <v>957.0</v>
      </c>
    </row>
    <row r="121" ht="14.25" customHeight="1">
      <c r="A121" s="27">
        <v>44007.0</v>
      </c>
      <c r="B121" s="28">
        <v>103.0</v>
      </c>
      <c r="C121" s="28">
        <v>129.0</v>
      </c>
      <c r="D121" s="28">
        <v>24209.0</v>
      </c>
      <c r="E121" s="28">
        <v>2883.0</v>
      </c>
      <c r="F121" s="29">
        <v>220279.0</v>
      </c>
      <c r="G121" s="29">
        <v>2986.0</v>
      </c>
      <c r="H121" s="29">
        <v>244488.0</v>
      </c>
      <c r="I121" s="28">
        <v>50.0</v>
      </c>
      <c r="J121" s="28">
        <v>58.0</v>
      </c>
      <c r="K121" s="28">
        <v>16651.0</v>
      </c>
      <c r="L121" s="28">
        <v>1504.0</v>
      </c>
      <c r="M121" s="28">
        <v>133963.0</v>
      </c>
      <c r="N121" s="28">
        <v>150614.0</v>
      </c>
      <c r="O121" s="28">
        <v>6.0</v>
      </c>
      <c r="P121" s="30">
        <v>2027.0</v>
      </c>
      <c r="Q121" s="30">
        <v>14.0</v>
      </c>
      <c r="R121" s="30">
        <v>1638.0</v>
      </c>
      <c r="S121" s="30">
        <v>1.0</v>
      </c>
      <c r="T121" s="30">
        <v>299.0</v>
      </c>
      <c r="U121" s="30">
        <v>90.0</v>
      </c>
      <c r="V121" s="30">
        <v>97.0</v>
      </c>
      <c r="W121" s="30">
        <v>17.0</v>
      </c>
      <c r="X121" s="30">
        <v>17.0</v>
      </c>
      <c r="Y121" s="30">
        <v>1.0</v>
      </c>
      <c r="Z121" s="28">
        <v>958.0</v>
      </c>
    </row>
    <row r="122" ht="14.25" customHeight="1">
      <c r="A122" s="27">
        <v>44008.0</v>
      </c>
      <c r="B122" s="28">
        <v>94.0</v>
      </c>
      <c r="C122" s="28">
        <v>106.0</v>
      </c>
      <c r="D122" s="28">
        <v>24303.0</v>
      </c>
      <c r="E122" s="28">
        <v>2488.0</v>
      </c>
      <c r="F122" s="29">
        <v>222767.0</v>
      </c>
      <c r="G122" s="29">
        <v>2582.0</v>
      </c>
      <c r="H122" s="29">
        <v>247070.0</v>
      </c>
      <c r="I122" s="28">
        <v>60.0</v>
      </c>
      <c r="J122" s="28">
        <v>51.0</v>
      </c>
      <c r="K122" s="28">
        <v>16711.0</v>
      </c>
      <c r="L122" s="28">
        <v>1328.0</v>
      </c>
      <c r="M122" s="28">
        <v>135291.0</v>
      </c>
      <c r="N122" s="28">
        <v>152002.0</v>
      </c>
      <c r="O122" s="28">
        <v>2.0</v>
      </c>
      <c r="P122" s="30">
        <v>2029.0</v>
      </c>
      <c r="Q122" s="30">
        <v>10.0</v>
      </c>
      <c r="R122" s="30">
        <v>1648.0</v>
      </c>
      <c r="S122" s="30">
        <v>0.0</v>
      </c>
      <c r="T122" s="30">
        <v>299.0</v>
      </c>
      <c r="U122" s="30">
        <v>82.0</v>
      </c>
      <c r="V122" s="30">
        <v>90.0</v>
      </c>
      <c r="W122" s="30">
        <v>18.0</v>
      </c>
      <c r="X122" s="30">
        <v>18.0</v>
      </c>
      <c r="Y122" s="30">
        <v>1.0</v>
      </c>
      <c r="Z122" s="28">
        <v>959.0</v>
      </c>
    </row>
    <row r="123" ht="14.25" customHeight="1">
      <c r="A123" s="27">
        <v>44009.0</v>
      </c>
      <c r="B123" s="28">
        <v>84.0</v>
      </c>
      <c r="C123" s="28">
        <v>94.0</v>
      </c>
      <c r="D123" s="28">
        <v>24387.0</v>
      </c>
      <c r="E123" s="28">
        <v>3216.0</v>
      </c>
      <c r="F123" s="29">
        <v>225983.0</v>
      </c>
      <c r="G123" s="29">
        <v>3300.0</v>
      </c>
      <c r="H123" s="29">
        <v>250370.0</v>
      </c>
      <c r="I123" s="28">
        <v>37.0</v>
      </c>
      <c r="J123" s="28">
        <v>49.0</v>
      </c>
      <c r="K123" s="28">
        <v>16748.0</v>
      </c>
      <c r="L123" s="28">
        <v>1217.0</v>
      </c>
      <c r="M123" s="28">
        <v>136508.0</v>
      </c>
      <c r="N123" s="28">
        <v>153256.0</v>
      </c>
      <c r="O123" s="28">
        <v>5.0</v>
      </c>
      <c r="P123" s="30">
        <v>2034.0</v>
      </c>
      <c r="Q123" s="30">
        <v>3.0</v>
      </c>
      <c r="R123" s="30">
        <v>1651.0</v>
      </c>
      <c r="S123" s="30">
        <v>1.0</v>
      </c>
      <c r="T123" s="30">
        <v>300.0</v>
      </c>
      <c r="U123" s="30">
        <v>83.0</v>
      </c>
      <c r="V123" s="30">
        <v>85.0</v>
      </c>
      <c r="W123" s="30">
        <v>17.0</v>
      </c>
      <c r="X123" s="30">
        <v>17.0</v>
      </c>
      <c r="Y123" s="30">
        <v>5.0</v>
      </c>
      <c r="Z123" s="28">
        <v>964.0</v>
      </c>
    </row>
    <row r="124" ht="14.25" customHeight="1">
      <c r="A124" s="27">
        <v>44010.0</v>
      </c>
      <c r="B124" s="28">
        <v>39.0</v>
      </c>
      <c r="C124" s="28">
        <v>72.0</v>
      </c>
      <c r="D124" s="28">
        <v>24426.0</v>
      </c>
      <c r="E124" s="28">
        <v>1469.0</v>
      </c>
      <c r="F124" s="29">
        <v>227452.0</v>
      </c>
      <c r="G124" s="29">
        <v>1508.0</v>
      </c>
      <c r="H124" s="29">
        <v>251878.0</v>
      </c>
      <c r="I124" s="28">
        <v>17.0</v>
      </c>
      <c r="J124" s="28">
        <v>38.0</v>
      </c>
      <c r="K124" s="28">
        <v>16765.0</v>
      </c>
      <c r="L124" s="28">
        <v>593.0</v>
      </c>
      <c r="M124" s="28">
        <v>137101.0</v>
      </c>
      <c r="N124" s="28">
        <v>153866.0</v>
      </c>
      <c r="O124" s="28">
        <v>4.0</v>
      </c>
      <c r="P124" s="30">
        <v>2038.0</v>
      </c>
      <c r="Q124" s="30">
        <v>4.0</v>
      </c>
      <c r="R124" s="30">
        <v>1655.0</v>
      </c>
      <c r="S124" s="30">
        <v>4.0</v>
      </c>
      <c r="T124" s="30">
        <v>304.0</v>
      </c>
      <c r="U124" s="30">
        <v>79.0</v>
      </c>
      <c r="V124" s="30">
        <v>81.0</v>
      </c>
      <c r="W124" s="30">
        <v>15.0</v>
      </c>
      <c r="X124" s="30">
        <v>14.0</v>
      </c>
      <c r="Y124" s="30">
        <v>6.0</v>
      </c>
      <c r="Z124" s="28">
        <v>970.0</v>
      </c>
    </row>
    <row r="125" ht="14.25" customHeight="1">
      <c r="A125" s="27">
        <v>44011.0</v>
      </c>
      <c r="B125" s="28">
        <v>85.0</v>
      </c>
      <c r="C125" s="28">
        <v>69.0</v>
      </c>
      <c r="D125" s="28">
        <v>24511.0</v>
      </c>
      <c r="E125" s="28">
        <v>3697.0</v>
      </c>
      <c r="F125" s="29">
        <v>231149.0</v>
      </c>
      <c r="G125" s="29">
        <v>3782.0</v>
      </c>
      <c r="H125" s="29">
        <v>255660.0</v>
      </c>
      <c r="I125" s="28">
        <v>39.0</v>
      </c>
      <c r="J125" s="28">
        <v>31.0</v>
      </c>
      <c r="K125" s="28">
        <v>16804.0</v>
      </c>
      <c r="L125" s="28">
        <v>1349.0</v>
      </c>
      <c r="M125" s="28">
        <v>138450.0</v>
      </c>
      <c r="N125" s="28">
        <v>155254.0</v>
      </c>
      <c r="O125" s="28">
        <v>4.0</v>
      </c>
      <c r="P125" s="30">
        <v>2042.0</v>
      </c>
      <c r="Q125" s="30">
        <v>5.0</v>
      </c>
      <c r="R125" s="30">
        <v>1660.0</v>
      </c>
      <c r="S125" s="30">
        <v>0.0</v>
      </c>
      <c r="T125" s="30">
        <v>304.0</v>
      </c>
      <c r="U125" s="30">
        <v>78.0</v>
      </c>
      <c r="V125" s="30">
        <v>80.0</v>
      </c>
      <c r="W125" s="30">
        <v>14.0</v>
      </c>
      <c r="X125" s="30">
        <v>14.0</v>
      </c>
      <c r="Y125" s="30">
        <v>1.0</v>
      </c>
      <c r="Z125" s="28">
        <v>971.0</v>
      </c>
    </row>
    <row r="126" ht="14.25" customHeight="1">
      <c r="A126" s="27">
        <v>44012.0</v>
      </c>
      <c r="B126" s="28">
        <v>57.0</v>
      </c>
      <c r="C126" s="28">
        <v>60.0</v>
      </c>
      <c r="D126" s="28">
        <v>24568.0</v>
      </c>
      <c r="E126" s="28">
        <v>1958.0</v>
      </c>
      <c r="F126" s="29">
        <v>233107.0</v>
      </c>
      <c r="G126" s="29">
        <v>2015.0</v>
      </c>
      <c r="H126" s="29">
        <v>257675.0</v>
      </c>
      <c r="I126" s="28">
        <v>33.0</v>
      </c>
      <c r="J126" s="28">
        <v>30.0</v>
      </c>
      <c r="K126" s="28">
        <v>16837.0</v>
      </c>
      <c r="L126" s="28">
        <v>994.0</v>
      </c>
      <c r="M126" s="28">
        <v>139444.0</v>
      </c>
      <c r="N126" s="28">
        <v>156281.0</v>
      </c>
      <c r="O126" s="28">
        <v>1.0</v>
      </c>
      <c r="P126" s="30">
        <v>2043.0</v>
      </c>
      <c r="Q126" s="30">
        <v>5.0</v>
      </c>
      <c r="R126" s="30">
        <v>1665.0</v>
      </c>
      <c r="S126" s="30">
        <v>1.0</v>
      </c>
      <c r="T126" s="30">
        <v>305.0</v>
      </c>
      <c r="U126" s="30">
        <v>73.0</v>
      </c>
      <c r="V126" s="30">
        <v>77.0</v>
      </c>
      <c r="W126" s="30">
        <v>12.0</v>
      </c>
      <c r="X126" s="30">
        <v>11.0</v>
      </c>
      <c r="Y126" s="30">
        <v>4.0</v>
      </c>
      <c r="Z126" s="28">
        <v>975.0</v>
      </c>
    </row>
    <row r="127" ht="14.25" customHeight="1">
      <c r="A127" s="27">
        <v>44013.0</v>
      </c>
      <c r="B127" s="28">
        <v>144.0</v>
      </c>
      <c r="C127" s="28">
        <v>95.0</v>
      </c>
      <c r="D127" s="28">
        <v>24712.0</v>
      </c>
      <c r="E127" s="28">
        <v>4098.0</v>
      </c>
      <c r="F127" s="29">
        <v>237205.0</v>
      </c>
      <c r="G127" s="29">
        <v>4242.0</v>
      </c>
      <c r="H127" s="29">
        <v>261917.0</v>
      </c>
      <c r="I127" s="28">
        <v>79.0</v>
      </c>
      <c r="J127" s="28">
        <v>50.0</v>
      </c>
      <c r="K127" s="28">
        <v>16916.0</v>
      </c>
      <c r="L127" s="28">
        <v>1925.0</v>
      </c>
      <c r="M127" s="28">
        <v>141369.0</v>
      </c>
      <c r="N127" s="28">
        <v>158285.0</v>
      </c>
      <c r="O127" s="28">
        <v>8.0</v>
      </c>
      <c r="P127" s="30">
        <v>2051.0</v>
      </c>
      <c r="Q127" s="30">
        <v>10.0</v>
      </c>
      <c r="R127" s="30">
        <v>1675.0</v>
      </c>
      <c r="S127" s="30">
        <v>0.0</v>
      </c>
      <c r="T127" s="30">
        <v>305.0</v>
      </c>
      <c r="U127" s="30">
        <v>71.0</v>
      </c>
      <c r="V127" s="30">
        <v>74.0</v>
      </c>
      <c r="W127" s="30">
        <v>11.0</v>
      </c>
      <c r="X127" s="30">
        <v>11.0</v>
      </c>
      <c r="Y127" s="30">
        <v>1.0</v>
      </c>
      <c r="Z127" s="28">
        <v>976.0</v>
      </c>
    </row>
    <row r="128" ht="14.25" customHeight="1">
      <c r="A128" s="27">
        <v>44014.0</v>
      </c>
      <c r="B128" s="28">
        <v>103.0</v>
      </c>
      <c r="C128" s="28">
        <v>101.0</v>
      </c>
      <c r="D128" s="28">
        <v>24815.0</v>
      </c>
      <c r="E128" s="28">
        <v>2803.0</v>
      </c>
      <c r="F128" s="29">
        <v>240008.0</v>
      </c>
      <c r="G128" s="29">
        <v>2906.0</v>
      </c>
      <c r="H128" s="29">
        <v>264823.0</v>
      </c>
      <c r="I128" s="28">
        <v>59.0</v>
      </c>
      <c r="J128" s="28">
        <v>57.0</v>
      </c>
      <c r="K128" s="28">
        <v>16975.0</v>
      </c>
      <c r="L128" s="28">
        <v>1084.0</v>
      </c>
      <c r="M128" s="28">
        <v>142453.0</v>
      </c>
      <c r="N128" s="28">
        <v>159428.0</v>
      </c>
      <c r="O128" s="28">
        <v>5.0</v>
      </c>
      <c r="P128" s="30">
        <v>2056.0</v>
      </c>
      <c r="Q128" s="30">
        <v>5.0</v>
      </c>
      <c r="R128" s="30">
        <v>1680.0</v>
      </c>
      <c r="S128" s="30">
        <v>1.0</v>
      </c>
      <c r="T128" s="30">
        <v>306.0</v>
      </c>
      <c r="U128" s="30">
        <v>70.0</v>
      </c>
      <c r="V128" s="30">
        <v>71.0</v>
      </c>
      <c r="W128" s="30">
        <v>10.0</v>
      </c>
      <c r="X128" s="30">
        <v>10.0</v>
      </c>
      <c r="Y128" s="30">
        <v>3.0</v>
      </c>
      <c r="Z128" s="28">
        <v>979.0</v>
      </c>
    </row>
    <row r="129" ht="14.25" customHeight="1">
      <c r="A129" s="27">
        <v>44015.0</v>
      </c>
      <c r="B129" s="28">
        <v>50.0</v>
      </c>
      <c r="C129" s="28">
        <v>99.0</v>
      </c>
      <c r="D129" s="28">
        <v>24865.0</v>
      </c>
      <c r="E129" s="28">
        <v>2078.0</v>
      </c>
      <c r="F129" s="29">
        <v>242086.0</v>
      </c>
      <c r="G129" s="29">
        <v>2128.0</v>
      </c>
      <c r="H129" s="29">
        <v>266951.0</v>
      </c>
      <c r="I129" s="28">
        <v>25.0</v>
      </c>
      <c r="J129" s="28">
        <v>54.0</v>
      </c>
      <c r="K129" s="28">
        <v>17000.0</v>
      </c>
      <c r="L129" s="28">
        <v>779.0</v>
      </c>
      <c r="M129" s="28">
        <v>143232.0</v>
      </c>
      <c r="N129" s="28">
        <v>160232.0</v>
      </c>
      <c r="O129" s="28">
        <v>9.0</v>
      </c>
      <c r="P129" s="30">
        <v>2065.0</v>
      </c>
      <c r="Q129" s="30">
        <v>6.0</v>
      </c>
      <c r="R129" s="30">
        <v>1686.0</v>
      </c>
      <c r="S129" s="30">
        <v>0.0</v>
      </c>
      <c r="T129" s="30">
        <v>306.0</v>
      </c>
      <c r="U129" s="30">
        <v>73.0</v>
      </c>
      <c r="V129" s="30">
        <v>71.0</v>
      </c>
      <c r="W129" s="30">
        <v>9.0</v>
      </c>
      <c r="X129" s="30">
        <v>9.0</v>
      </c>
      <c r="Y129" s="30">
        <v>3.0</v>
      </c>
      <c r="Z129" s="28">
        <v>982.0</v>
      </c>
    </row>
    <row r="130" ht="14.25" customHeight="1">
      <c r="A130" s="27">
        <v>44016.0</v>
      </c>
      <c r="B130" s="28">
        <v>57.0</v>
      </c>
      <c r="C130" s="28">
        <v>70.0</v>
      </c>
      <c r="D130" s="28">
        <v>24922.0</v>
      </c>
      <c r="E130" s="28">
        <v>2345.0</v>
      </c>
      <c r="F130" s="29">
        <v>244431.0</v>
      </c>
      <c r="G130" s="29">
        <v>2402.0</v>
      </c>
      <c r="H130" s="29">
        <v>269353.0</v>
      </c>
      <c r="I130" s="28">
        <v>33.0</v>
      </c>
      <c r="J130" s="28">
        <v>39.0</v>
      </c>
      <c r="K130" s="28">
        <v>17033.0</v>
      </c>
      <c r="L130" s="28">
        <v>1006.0</v>
      </c>
      <c r="M130" s="28">
        <v>144238.0</v>
      </c>
      <c r="N130" s="28">
        <v>161271.0</v>
      </c>
      <c r="O130" s="28">
        <v>2.0</v>
      </c>
      <c r="P130" s="30">
        <v>2067.0</v>
      </c>
      <c r="Q130" s="30">
        <v>4.0</v>
      </c>
      <c r="R130" s="30">
        <v>1690.0</v>
      </c>
      <c r="S130" s="30">
        <v>1.0</v>
      </c>
      <c r="T130" s="30">
        <v>307.0</v>
      </c>
      <c r="U130" s="30">
        <v>70.0</v>
      </c>
      <c r="V130" s="30">
        <v>71.0</v>
      </c>
      <c r="W130" s="30">
        <v>10.0</v>
      </c>
      <c r="X130" s="30">
        <v>9.0</v>
      </c>
      <c r="Y130" s="30">
        <v>2.0</v>
      </c>
      <c r="Z130" s="28">
        <v>984.0</v>
      </c>
    </row>
    <row r="131" ht="14.25" customHeight="1">
      <c r="A131" s="27">
        <v>44017.0</v>
      </c>
      <c r="B131" s="28">
        <v>49.0</v>
      </c>
      <c r="C131" s="28">
        <v>52.0</v>
      </c>
      <c r="D131" s="28">
        <v>24971.0</v>
      </c>
      <c r="E131" s="28">
        <v>2932.0</v>
      </c>
      <c r="F131" s="29">
        <v>247363.0</v>
      </c>
      <c r="G131" s="29">
        <v>2981.0</v>
      </c>
      <c r="H131" s="29">
        <v>272334.0</v>
      </c>
      <c r="I131" s="28">
        <v>26.0</v>
      </c>
      <c r="J131" s="28">
        <v>28.0</v>
      </c>
      <c r="K131" s="28">
        <v>17059.0</v>
      </c>
      <c r="L131" s="28">
        <v>1437.0</v>
      </c>
      <c r="M131" s="28">
        <v>145675.0</v>
      </c>
      <c r="N131" s="28">
        <v>162734.0</v>
      </c>
      <c r="O131" s="28">
        <v>1.0</v>
      </c>
      <c r="P131" s="30">
        <v>2068.0</v>
      </c>
      <c r="Q131" s="30">
        <v>2.0</v>
      </c>
      <c r="R131" s="30">
        <v>1692.0</v>
      </c>
      <c r="S131" s="30">
        <v>1.0</v>
      </c>
      <c r="T131" s="30">
        <v>308.0</v>
      </c>
      <c r="U131" s="30">
        <v>68.0</v>
      </c>
      <c r="V131" s="30">
        <v>70.0</v>
      </c>
      <c r="W131" s="30">
        <v>8.0</v>
      </c>
      <c r="X131" s="30">
        <v>8.0</v>
      </c>
      <c r="Y131" s="30">
        <v>2.0</v>
      </c>
      <c r="Z131" s="28">
        <v>986.0</v>
      </c>
    </row>
    <row r="132" ht="14.25" customHeight="1">
      <c r="A132" s="27">
        <v>44018.0</v>
      </c>
      <c r="B132" s="28">
        <v>101.0</v>
      </c>
      <c r="C132" s="28">
        <v>69.0</v>
      </c>
      <c r="D132" s="28">
        <v>25072.0</v>
      </c>
      <c r="E132" s="28">
        <v>2811.0</v>
      </c>
      <c r="F132" s="29">
        <v>250174.0</v>
      </c>
      <c r="G132" s="29">
        <v>2912.0</v>
      </c>
      <c r="H132" s="29">
        <v>275246.0</v>
      </c>
      <c r="I132" s="28">
        <v>57.0</v>
      </c>
      <c r="J132" s="28">
        <v>39.0</v>
      </c>
      <c r="K132" s="28">
        <v>17116.0</v>
      </c>
      <c r="L132" s="28">
        <v>1547.0</v>
      </c>
      <c r="M132" s="28">
        <v>147222.0</v>
      </c>
      <c r="N132" s="28">
        <v>164338.0</v>
      </c>
      <c r="O132" s="28">
        <v>6.0</v>
      </c>
      <c r="P132" s="30">
        <v>2074.0</v>
      </c>
      <c r="Q132" s="30">
        <v>6.0</v>
      </c>
      <c r="R132" s="30">
        <v>1698.0</v>
      </c>
      <c r="S132" s="30">
        <v>0.0</v>
      </c>
      <c r="T132" s="30">
        <v>308.0</v>
      </c>
      <c r="U132" s="30">
        <v>68.0</v>
      </c>
      <c r="V132" s="30">
        <v>69.0</v>
      </c>
      <c r="W132" s="30">
        <v>9.0</v>
      </c>
      <c r="X132" s="30">
        <v>9.0</v>
      </c>
      <c r="Y132" s="30">
        <v>4.0</v>
      </c>
      <c r="Z132" s="28">
        <v>990.0</v>
      </c>
    </row>
    <row r="133" ht="14.25" customHeight="1">
      <c r="A133" s="27">
        <v>44019.0</v>
      </c>
      <c r="B133" s="28">
        <v>81.0</v>
      </c>
      <c r="C133" s="28">
        <v>77.0</v>
      </c>
      <c r="D133" s="28">
        <v>25153.0</v>
      </c>
      <c r="E133" s="28">
        <v>3457.0</v>
      </c>
      <c r="F133" s="29">
        <v>253631.0</v>
      </c>
      <c r="G133" s="29">
        <v>3538.0</v>
      </c>
      <c r="H133" s="29">
        <v>278784.0</v>
      </c>
      <c r="I133" s="28">
        <v>47.0</v>
      </c>
      <c r="J133" s="28">
        <v>43.0</v>
      </c>
      <c r="K133" s="28">
        <v>17163.0</v>
      </c>
      <c r="L133" s="28">
        <v>1534.0</v>
      </c>
      <c r="M133" s="28">
        <v>148756.0</v>
      </c>
      <c r="N133" s="28">
        <v>165919.0</v>
      </c>
      <c r="O133" s="28">
        <v>5.0</v>
      </c>
      <c r="P133" s="30">
        <v>2079.0</v>
      </c>
      <c r="Q133" s="30">
        <v>7.0</v>
      </c>
      <c r="R133" s="30">
        <v>1705.0</v>
      </c>
      <c r="S133" s="30">
        <v>0.0</v>
      </c>
      <c r="T133" s="30">
        <v>308.0</v>
      </c>
      <c r="U133" s="30">
        <v>66.0</v>
      </c>
      <c r="V133" s="30">
        <v>67.0</v>
      </c>
      <c r="W133" s="30">
        <v>8.0</v>
      </c>
      <c r="X133" s="30">
        <v>8.0</v>
      </c>
      <c r="Y133" s="30">
        <v>2.0</v>
      </c>
      <c r="Z133" s="28">
        <v>992.0</v>
      </c>
    </row>
    <row r="134" ht="14.25" customHeight="1">
      <c r="A134" s="27">
        <v>44020.0</v>
      </c>
      <c r="B134" s="28">
        <v>105.0</v>
      </c>
      <c r="C134" s="28">
        <v>96.0</v>
      </c>
      <c r="D134" s="28">
        <v>25258.0</v>
      </c>
      <c r="E134" s="28">
        <v>3409.0</v>
      </c>
      <c r="F134" s="29">
        <v>257040.0</v>
      </c>
      <c r="G134" s="29">
        <v>3514.0</v>
      </c>
      <c r="H134" s="29">
        <v>282298.0</v>
      </c>
      <c r="I134" s="28">
        <v>64.0</v>
      </c>
      <c r="J134" s="28">
        <v>56.0</v>
      </c>
      <c r="K134" s="28">
        <v>17227.0</v>
      </c>
      <c r="L134" s="28">
        <v>1427.0</v>
      </c>
      <c r="M134" s="28">
        <v>150183.0</v>
      </c>
      <c r="N134" s="28">
        <v>167410.0</v>
      </c>
      <c r="O134" s="28">
        <v>4.0</v>
      </c>
      <c r="P134" s="30">
        <v>2083.0</v>
      </c>
      <c r="Q134" s="30">
        <v>2.0</v>
      </c>
      <c r="R134" s="30">
        <v>1707.0</v>
      </c>
      <c r="S134" s="30">
        <v>0.0</v>
      </c>
      <c r="T134" s="30">
        <v>308.0</v>
      </c>
      <c r="U134" s="30">
        <v>68.0</v>
      </c>
      <c r="V134" s="30">
        <v>67.0</v>
      </c>
      <c r="W134" s="30">
        <v>9.0</v>
      </c>
      <c r="X134" s="30">
        <v>8.0</v>
      </c>
      <c r="Y134" s="30">
        <v>0.0</v>
      </c>
      <c r="Z134" s="28">
        <v>992.0</v>
      </c>
    </row>
    <row r="135" ht="14.25" customHeight="1">
      <c r="A135" s="27">
        <v>44021.0</v>
      </c>
      <c r="B135" s="28">
        <v>94.0</v>
      </c>
      <c r="C135" s="28">
        <v>93.0</v>
      </c>
      <c r="D135" s="28">
        <v>25352.0</v>
      </c>
      <c r="E135" s="28">
        <v>3714.0</v>
      </c>
      <c r="F135" s="29">
        <v>260754.0</v>
      </c>
      <c r="G135" s="29">
        <v>3808.0</v>
      </c>
      <c r="H135" s="29">
        <v>286106.0</v>
      </c>
      <c r="I135" s="28">
        <v>50.0</v>
      </c>
      <c r="J135" s="28">
        <v>54.0</v>
      </c>
      <c r="K135" s="28">
        <v>17277.0</v>
      </c>
      <c r="L135" s="28">
        <v>1620.0</v>
      </c>
      <c r="M135" s="28">
        <v>151803.0</v>
      </c>
      <c r="N135" s="28">
        <v>169080.0</v>
      </c>
      <c r="O135" s="28">
        <v>9.0</v>
      </c>
      <c r="P135" s="30">
        <v>2092.0</v>
      </c>
      <c r="Q135" s="30">
        <v>3.0</v>
      </c>
      <c r="R135" s="30">
        <v>1710.0</v>
      </c>
      <c r="S135" s="30">
        <v>0.0</v>
      </c>
      <c r="T135" s="30">
        <v>308.0</v>
      </c>
      <c r="U135" s="30">
        <v>74.0</v>
      </c>
      <c r="V135" s="30">
        <v>69.0</v>
      </c>
      <c r="W135" s="30">
        <v>9.0</v>
      </c>
      <c r="X135" s="30">
        <v>8.0</v>
      </c>
      <c r="Y135" s="30">
        <v>0.0</v>
      </c>
      <c r="Z135" s="28">
        <v>992.0</v>
      </c>
    </row>
    <row r="136" ht="14.25" customHeight="1">
      <c r="A136" s="27">
        <v>44022.0</v>
      </c>
      <c r="B136" s="28">
        <v>132.0</v>
      </c>
      <c r="C136" s="28">
        <v>110.0</v>
      </c>
      <c r="D136" s="28">
        <v>25484.0</v>
      </c>
      <c r="E136" s="28">
        <v>4432.0</v>
      </c>
      <c r="F136" s="29">
        <v>265186.0</v>
      </c>
      <c r="G136" s="29">
        <v>4564.0</v>
      </c>
      <c r="H136" s="29">
        <v>290670.0</v>
      </c>
      <c r="I136" s="28">
        <v>81.0</v>
      </c>
      <c r="J136" s="28">
        <v>65.0</v>
      </c>
      <c r="K136" s="28">
        <v>17358.0</v>
      </c>
      <c r="L136" s="28">
        <v>2068.0</v>
      </c>
      <c r="M136" s="28">
        <v>153871.0</v>
      </c>
      <c r="N136" s="28">
        <v>171229.0</v>
      </c>
      <c r="O136" s="28">
        <v>6.0</v>
      </c>
      <c r="P136" s="30">
        <v>2098.0</v>
      </c>
      <c r="Q136" s="30">
        <v>3.0</v>
      </c>
      <c r="R136" s="30">
        <v>1713.0</v>
      </c>
      <c r="S136" s="30">
        <v>2.0</v>
      </c>
      <c r="T136" s="30">
        <v>310.0</v>
      </c>
      <c r="U136" s="30">
        <v>75.0</v>
      </c>
      <c r="V136" s="30">
        <v>72.0</v>
      </c>
      <c r="W136" s="30">
        <v>7.0</v>
      </c>
      <c r="X136" s="30">
        <v>7.0</v>
      </c>
      <c r="Y136" s="30">
        <v>3.0</v>
      </c>
      <c r="Z136" s="28">
        <v>995.0</v>
      </c>
    </row>
    <row r="137" ht="14.25" customHeight="1">
      <c r="A137" s="27">
        <v>44023.0</v>
      </c>
      <c r="B137" s="28">
        <v>63.0</v>
      </c>
      <c r="C137" s="28">
        <v>96.0</v>
      </c>
      <c r="D137" s="28">
        <v>25547.0</v>
      </c>
      <c r="E137" s="28">
        <v>2932.0</v>
      </c>
      <c r="F137" s="29">
        <v>268118.0</v>
      </c>
      <c r="G137" s="29">
        <v>2995.0</v>
      </c>
      <c r="H137" s="29">
        <v>293665.0</v>
      </c>
      <c r="I137" s="28">
        <v>36.0</v>
      </c>
      <c r="J137" s="28">
        <v>56.0</v>
      </c>
      <c r="K137" s="28">
        <v>17394.0</v>
      </c>
      <c r="L137" s="28">
        <v>1313.0</v>
      </c>
      <c r="M137" s="28">
        <v>155184.0</v>
      </c>
      <c r="N137" s="28">
        <v>172578.0</v>
      </c>
      <c r="O137" s="28">
        <v>6.0</v>
      </c>
      <c r="P137" s="30">
        <v>2104.0</v>
      </c>
      <c r="Q137" s="30">
        <v>3.0</v>
      </c>
      <c r="R137" s="30">
        <v>1716.0</v>
      </c>
      <c r="S137" s="30">
        <v>1.0</v>
      </c>
      <c r="T137" s="30">
        <v>311.0</v>
      </c>
      <c r="U137" s="30">
        <v>77.0</v>
      </c>
      <c r="V137" s="30">
        <v>75.0</v>
      </c>
      <c r="W137" s="30">
        <v>6.0</v>
      </c>
      <c r="X137" s="30">
        <v>6.0</v>
      </c>
      <c r="Y137" s="30">
        <v>3.0</v>
      </c>
      <c r="Z137" s="28">
        <v>998.0</v>
      </c>
    </row>
    <row r="138" ht="14.25" customHeight="1">
      <c r="A138" s="27">
        <v>44024.0</v>
      </c>
      <c r="B138" s="28">
        <v>47.0</v>
      </c>
      <c r="C138" s="28">
        <v>81.0</v>
      </c>
      <c r="D138" s="28">
        <v>25594.0</v>
      </c>
      <c r="E138" s="28">
        <v>1837.0</v>
      </c>
      <c r="F138" s="29">
        <v>269955.0</v>
      </c>
      <c r="G138" s="29">
        <v>1884.0</v>
      </c>
      <c r="H138" s="29">
        <v>295549.0</v>
      </c>
      <c r="I138" s="28">
        <v>34.0</v>
      </c>
      <c r="J138" s="28">
        <v>50.0</v>
      </c>
      <c r="K138" s="28">
        <v>17428.0</v>
      </c>
      <c r="L138" s="28">
        <v>942.0</v>
      </c>
      <c r="M138" s="28">
        <v>156126.0</v>
      </c>
      <c r="N138" s="28">
        <v>173554.0</v>
      </c>
      <c r="O138" s="28">
        <v>1.0</v>
      </c>
      <c r="P138" s="30">
        <v>2105.0</v>
      </c>
      <c r="Q138" s="30">
        <v>3.0</v>
      </c>
      <c r="R138" s="30">
        <v>1719.0</v>
      </c>
      <c r="S138" s="30">
        <v>1.0</v>
      </c>
      <c r="T138" s="30">
        <v>312.0</v>
      </c>
      <c r="U138" s="30">
        <v>74.0</v>
      </c>
      <c r="V138" s="30">
        <v>75.0</v>
      </c>
      <c r="W138" s="30">
        <v>6.0</v>
      </c>
      <c r="X138" s="30">
        <v>5.0</v>
      </c>
      <c r="Y138" s="30">
        <v>3.0</v>
      </c>
      <c r="Z138" s="28">
        <v>1001.0</v>
      </c>
    </row>
    <row r="139" ht="14.25" customHeight="1">
      <c r="A139" s="27">
        <v>44025.0</v>
      </c>
      <c r="B139" s="28">
        <v>84.0</v>
      </c>
      <c r="C139" s="28">
        <v>65.0</v>
      </c>
      <c r="D139" s="28">
        <v>25678.0</v>
      </c>
      <c r="E139" s="28">
        <v>3201.0</v>
      </c>
      <c r="F139" s="29">
        <v>273156.0</v>
      </c>
      <c r="G139" s="29">
        <v>3285.0</v>
      </c>
      <c r="H139" s="29">
        <v>298834.0</v>
      </c>
      <c r="I139" s="28">
        <v>61.0</v>
      </c>
      <c r="J139" s="28">
        <v>44.0</v>
      </c>
      <c r="K139" s="28">
        <v>17489.0</v>
      </c>
      <c r="L139" s="28">
        <v>1502.0</v>
      </c>
      <c r="M139" s="28">
        <v>157628.0</v>
      </c>
      <c r="N139" s="28">
        <v>175117.0</v>
      </c>
      <c r="O139" s="28">
        <v>8.0</v>
      </c>
      <c r="P139" s="30">
        <v>2113.0</v>
      </c>
      <c r="Q139" s="30">
        <v>10.0</v>
      </c>
      <c r="R139" s="30">
        <v>1729.0</v>
      </c>
      <c r="S139" s="30">
        <v>0.0</v>
      </c>
      <c r="T139" s="30">
        <v>312.0</v>
      </c>
      <c r="U139" s="30">
        <v>72.0</v>
      </c>
      <c r="V139" s="30">
        <v>74.0</v>
      </c>
      <c r="W139" s="30">
        <v>6.0</v>
      </c>
      <c r="X139" s="30">
        <v>5.0</v>
      </c>
      <c r="Y139" s="30">
        <v>1.0</v>
      </c>
      <c r="Z139" s="28">
        <v>1002.0</v>
      </c>
    </row>
    <row r="140" ht="14.25" customHeight="1">
      <c r="A140" s="27">
        <v>44026.0</v>
      </c>
      <c r="B140" s="28">
        <v>73.0</v>
      </c>
      <c r="C140" s="28">
        <v>68.0</v>
      </c>
      <c r="D140" s="28">
        <v>25751.0</v>
      </c>
      <c r="E140" s="28">
        <v>3293.0</v>
      </c>
      <c r="F140" s="29">
        <v>276449.0</v>
      </c>
      <c r="G140" s="29">
        <v>3366.0</v>
      </c>
      <c r="H140" s="29">
        <v>302200.0</v>
      </c>
      <c r="I140" s="28">
        <v>43.0</v>
      </c>
      <c r="J140" s="28">
        <v>46.0</v>
      </c>
      <c r="K140" s="28">
        <v>17532.0</v>
      </c>
      <c r="L140" s="28">
        <v>1372.0</v>
      </c>
      <c r="M140" s="28">
        <v>159000.0</v>
      </c>
      <c r="N140" s="28">
        <v>176532.0</v>
      </c>
      <c r="O140" s="28">
        <v>7.0</v>
      </c>
      <c r="P140" s="30">
        <v>2120.0</v>
      </c>
      <c r="Q140" s="30">
        <v>4.0</v>
      </c>
      <c r="R140" s="30">
        <v>1733.0</v>
      </c>
      <c r="S140" s="30">
        <v>0.0</v>
      </c>
      <c r="T140" s="30">
        <v>312.0</v>
      </c>
      <c r="U140" s="30">
        <v>75.0</v>
      </c>
      <c r="V140" s="30">
        <v>74.0</v>
      </c>
      <c r="W140" s="30">
        <v>5.0</v>
      </c>
      <c r="X140" s="30">
        <v>5.0</v>
      </c>
      <c r="Y140" s="30">
        <v>1.0</v>
      </c>
      <c r="Z140" s="28">
        <v>1003.0</v>
      </c>
    </row>
    <row r="141" ht="14.25" customHeight="1">
      <c r="A141" s="27">
        <v>44027.0</v>
      </c>
      <c r="B141" s="28">
        <v>130.0</v>
      </c>
      <c r="C141" s="28">
        <v>96.0</v>
      </c>
      <c r="D141" s="28">
        <v>25881.0</v>
      </c>
      <c r="E141" s="28">
        <v>4173.0</v>
      </c>
      <c r="F141" s="29">
        <v>280622.0</v>
      </c>
      <c r="G141" s="29">
        <v>4303.0</v>
      </c>
      <c r="H141" s="29">
        <v>306503.0</v>
      </c>
      <c r="I141" s="28">
        <v>99.0</v>
      </c>
      <c r="J141" s="28">
        <v>68.0</v>
      </c>
      <c r="K141" s="28">
        <v>17631.0</v>
      </c>
      <c r="L141" s="28">
        <v>1746.0</v>
      </c>
      <c r="M141" s="28">
        <v>160746.0</v>
      </c>
      <c r="N141" s="28">
        <v>178377.0</v>
      </c>
      <c r="O141" s="28">
        <v>5.0</v>
      </c>
      <c r="P141" s="30">
        <v>2125.0</v>
      </c>
      <c r="Q141" s="30">
        <v>7.0</v>
      </c>
      <c r="R141" s="30">
        <v>1740.0</v>
      </c>
      <c r="S141" s="30">
        <v>0.0</v>
      </c>
      <c r="T141" s="30">
        <v>312.0</v>
      </c>
      <c r="U141" s="30">
        <v>73.0</v>
      </c>
      <c r="V141" s="30">
        <v>73.0</v>
      </c>
      <c r="W141" s="30">
        <v>5.0</v>
      </c>
      <c r="X141" s="30">
        <v>4.0</v>
      </c>
      <c r="Y141" s="30">
        <v>0.0</v>
      </c>
      <c r="Z141" s="28">
        <v>1003.0</v>
      </c>
    </row>
    <row r="142" ht="14.25" customHeight="1">
      <c r="A142" s="27">
        <v>44028.0</v>
      </c>
      <c r="B142" s="28">
        <v>102.0</v>
      </c>
      <c r="C142" s="28">
        <v>102.0</v>
      </c>
      <c r="D142" s="28">
        <v>25983.0</v>
      </c>
      <c r="E142" s="28">
        <v>3734.0</v>
      </c>
      <c r="F142" s="29">
        <v>284356.0</v>
      </c>
      <c r="G142" s="29">
        <v>3836.0</v>
      </c>
      <c r="H142" s="29">
        <v>310339.0</v>
      </c>
      <c r="I142" s="28">
        <v>75.0</v>
      </c>
      <c r="J142" s="28">
        <v>72.0</v>
      </c>
      <c r="K142" s="28">
        <v>17706.0</v>
      </c>
      <c r="L142" s="28">
        <v>1613.0</v>
      </c>
      <c r="M142" s="28">
        <v>162359.0</v>
      </c>
      <c r="N142" s="28">
        <v>180065.0</v>
      </c>
      <c r="O142" s="28">
        <v>6.0</v>
      </c>
      <c r="P142" s="30">
        <v>2131.0</v>
      </c>
      <c r="Q142" s="30">
        <v>9.0</v>
      </c>
      <c r="R142" s="30">
        <v>1749.0</v>
      </c>
      <c r="S142" s="30">
        <v>0.0</v>
      </c>
      <c r="T142" s="30">
        <v>312.0</v>
      </c>
      <c r="U142" s="30">
        <v>70.0</v>
      </c>
      <c r="V142" s="30">
        <v>73.0</v>
      </c>
      <c r="W142" s="30">
        <v>6.0</v>
      </c>
      <c r="X142" s="30">
        <v>5.0</v>
      </c>
      <c r="Y142" s="30">
        <v>1.0</v>
      </c>
      <c r="Z142" s="28">
        <v>1004.0</v>
      </c>
    </row>
    <row r="143" ht="14.25" customHeight="1">
      <c r="A143" s="27">
        <v>44029.0</v>
      </c>
      <c r="B143" s="28">
        <v>156.0</v>
      </c>
      <c r="C143" s="28">
        <v>129.0</v>
      </c>
      <c r="D143" s="28">
        <v>26139.0</v>
      </c>
      <c r="E143" s="28">
        <v>4236.0</v>
      </c>
      <c r="F143" s="29">
        <v>288592.0</v>
      </c>
      <c r="G143" s="29">
        <v>4392.0</v>
      </c>
      <c r="H143" s="29">
        <v>314731.0</v>
      </c>
      <c r="I143" s="28">
        <v>79.0</v>
      </c>
      <c r="J143" s="28">
        <v>84.0</v>
      </c>
      <c r="K143" s="28">
        <v>17785.0</v>
      </c>
      <c r="L143" s="28">
        <v>1842.0</v>
      </c>
      <c r="M143" s="28">
        <v>164201.0</v>
      </c>
      <c r="N143" s="28">
        <v>181986.0</v>
      </c>
      <c r="O143" s="28">
        <v>14.0</v>
      </c>
      <c r="P143" s="30">
        <v>2145.0</v>
      </c>
      <c r="Q143" s="30">
        <v>3.0</v>
      </c>
      <c r="R143" s="30">
        <v>1752.0</v>
      </c>
      <c r="S143" s="30">
        <v>1.0</v>
      </c>
      <c r="T143" s="30">
        <v>313.0</v>
      </c>
      <c r="U143" s="30">
        <v>80.0</v>
      </c>
      <c r="V143" s="30">
        <v>74.0</v>
      </c>
      <c r="W143" s="30">
        <v>5.0</v>
      </c>
      <c r="X143" s="30">
        <v>5.0</v>
      </c>
      <c r="Y143" s="30">
        <v>2.0</v>
      </c>
      <c r="Z143" s="28">
        <v>1006.0</v>
      </c>
    </row>
    <row r="144" ht="14.25" customHeight="1">
      <c r="A144" s="27">
        <v>44030.0</v>
      </c>
      <c r="B144" s="28">
        <v>85.0</v>
      </c>
      <c r="C144" s="28">
        <v>114.0</v>
      </c>
      <c r="D144" s="28">
        <v>26224.0</v>
      </c>
      <c r="E144" s="28">
        <v>3269.0</v>
      </c>
      <c r="F144" s="29">
        <v>291861.0</v>
      </c>
      <c r="G144" s="29">
        <v>3354.0</v>
      </c>
      <c r="H144" s="29">
        <v>318085.0</v>
      </c>
      <c r="I144" s="28">
        <v>70.0</v>
      </c>
      <c r="J144" s="28">
        <v>75.0</v>
      </c>
      <c r="K144" s="28">
        <v>17855.0</v>
      </c>
      <c r="L144" s="28">
        <v>1396.0</v>
      </c>
      <c r="M144" s="28">
        <v>165597.0</v>
      </c>
      <c r="N144" s="28">
        <v>183452.0</v>
      </c>
      <c r="O144" s="28">
        <v>5.0</v>
      </c>
      <c r="P144" s="30">
        <v>2150.0</v>
      </c>
      <c r="Q144" s="30">
        <v>9.0</v>
      </c>
      <c r="R144" s="30">
        <v>1761.0</v>
      </c>
      <c r="S144" s="30">
        <v>1.0</v>
      </c>
      <c r="T144" s="30">
        <v>314.0</v>
      </c>
      <c r="U144" s="30">
        <v>75.0</v>
      </c>
      <c r="V144" s="30">
        <v>75.0</v>
      </c>
      <c r="W144" s="30">
        <v>5.0</v>
      </c>
      <c r="X144" s="30">
        <v>4.0</v>
      </c>
      <c r="Y144" s="30">
        <v>4.0</v>
      </c>
      <c r="Z144" s="28">
        <v>1010.0</v>
      </c>
    </row>
    <row r="145" ht="14.25" customHeight="1">
      <c r="A145" s="27">
        <v>44031.0</v>
      </c>
      <c r="B145" s="28">
        <v>82.0</v>
      </c>
      <c r="C145" s="28">
        <v>108.0</v>
      </c>
      <c r="D145" s="28">
        <v>26306.0</v>
      </c>
      <c r="E145" s="28">
        <v>2694.0</v>
      </c>
      <c r="F145" s="29">
        <v>294555.0</v>
      </c>
      <c r="G145" s="29">
        <v>2776.0</v>
      </c>
      <c r="H145" s="29">
        <v>320861.0</v>
      </c>
      <c r="I145" s="28">
        <v>57.0</v>
      </c>
      <c r="J145" s="28">
        <v>69.0</v>
      </c>
      <c r="K145" s="28">
        <v>17912.0</v>
      </c>
      <c r="L145" s="28">
        <v>1148.0</v>
      </c>
      <c r="M145" s="28">
        <v>166745.0</v>
      </c>
      <c r="N145" s="28">
        <v>184657.0</v>
      </c>
      <c r="O145" s="28">
        <v>7.0</v>
      </c>
      <c r="P145" s="30">
        <v>2157.0</v>
      </c>
      <c r="Q145" s="30">
        <v>3.0</v>
      </c>
      <c r="R145" s="30">
        <v>1764.0</v>
      </c>
      <c r="S145" s="30">
        <v>0.0</v>
      </c>
      <c r="T145" s="30">
        <v>314.0</v>
      </c>
      <c r="U145" s="30">
        <v>79.0</v>
      </c>
      <c r="V145" s="30">
        <v>78.0</v>
      </c>
      <c r="W145" s="30">
        <v>6.0</v>
      </c>
      <c r="X145" s="30">
        <v>4.0</v>
      </c>
      <c r="Y145" s="30">
        <v>2.0</v>
      </c>
      <c r="Z145" s="28">
        <v>1012.0</v>
      </c>
    </row>
    <row r="146" ht="14.25" customHeight="1">
      <c r="A146" s="27">
        <v>44032.0</v>
      </c>
      <c r="B146" s="28">
        <v>71.0</v>
      </c>
      <c r="C146" s="28">
        <v>79.0</v>
      </c>
      <c r="D146" s="28">
        <v>26377.0</v>
      </c>
      <c r="E146" s="28">
        <v>2664.0</v>
      </c>
      <c r="F146" s="29">
        <v>297219.0</v>
      </c>
      <c r="G146" s="29">
        <v>2735.0</v>
      </c>
      <c r="H146" s="29">
        <v>323596.0</v>
      </c>
      <c r="I146" s="28">
        <v>68.0</v>
      </c>
      <c r="J146" s="28">
        <v>65.0</v>
      </c>
      <c r="K146" s="28">
        <v>17980.0</v>
      </c>
      <c r="L146" s="28">
        <v>1457.0</v>
      </c>
      <c r="M146" s="28">
        <v>168202.0</v>
      </c>
      <c r="N146" s="28">
        <v>186182.0</v>
      </c>
      <c r="O146" s="28">
        <v>9.0</v>
      </c>
      <c r="P146" s="30">
        <v>2166.0</v>
      </c>
      <c r="Q146" s="30">
        <v>7.0</v>
      </c>
      <c r="R146" s="30">
        <v>1771.0</v>
      </c>
      <c r="S146" s="30">
        <v>0.0</v>
      </c>
      <c r="T146" s="30">
        <v>314.0</v>
      </c>
      <c r="U146" s="30">
        <v>81.0</v>
      </c>
      <c r="V146" s="30">
        <v>78.0</v>
      </c>
      <c r="W146" s="30">
        <v>7.0</v>
      </c>
      <c r="X146" s="30">
        <v>5.0</v>
      </c>
      <c r="Y146" s="30">
        <v>2.0</v>
      </c>
      <c r="Z146" s="28">
        <v>1014.0</v>
      </c>
    </row>
    <row r="147" ht="14.25" customHeight="1">
      <c r="A147" s="27">
        <v>44033.0</v>
      </c>
      <c r="B147" s="28">
        <v>130.0</v>
      </c>
      <c r="C147" s="28">
        <v>94.0</v>
      </c>
      <c r="D147" s="28">
        <v>26507.0</v>
      </c>
      <c r="E147" s="28">
        <v>4299.0</v>
      </c>
      <c r="F147" s="29">
        <v>301518.0</v>
      </c>
      <c r="G147" s="29">
        <v>4429.0</v>
      </c>
      <c r="H147" s="29">
        <v>328025.0</v>
      </c>
      <c r="I147" s="28">
        <v>109.0</v>
      </c>
      <c r="J147" s="28">
        <v>78.0</v>
      </c>
      <c r="K147" s="28">
        <v>18089.0</v>
      </c>
      <c r="L147" s="28">
        <v>1913.0</v>
      </c>
      <c r="M147" s="28">
        <v>170115.0</v>
      </c>
      <c r="N147" s="28">
        <v>188204.0</v>
      </c>
      <c r="O147" s="28">
        <v>9.0</v>
      </c>
      <c r="P147" s="30">
        <v>2175.0</v>
      </c>
      <c r="Q147" s="30">
        <v>11.0</v>
      </c>
      <c r="R147" s="30">
        <v>1782.0</v>
      </c>
      <c r="S147" s="30">
        <v>0.0</v>
      </c>
      <c r="T147" s="30">
        <v>314.0</v>
      </c>
      <c r="U147" s="30">
        <v>79.0</v>
      </c>
      <c r="V147" s="30">
        <v>80.0</v>
      </c>
      <c r="W147" s="30">
        <v>9.0</v>
      </c>
      <c r="X147" s="30">
        <v>6.0</v>
      </c>
      <c r="Y147" s="30">
        <v>1.0</v>
      </c>
      <c r="Z147" s="28">
        <v>1015.0</v>
      </c>
    </row>
    <row r="148" ht="14.25" customHeight="1">
      <c r="A148" s="27">
        <v>44034.0</v>
      </c>
      <c r="B148" s="28">
        <v>130.0</v>
      </c>
      <c r="C148" s="28">
        <v>110.0</v>
      </c>
      <c r="D148" s="28">
        <v>26637.0</v>
      </c>
      <c r="E148" s="28">
        <v>3927.0</v>
      </c>
      <c r="F148" s="29">
        <v>305445.0</v>
      </c>
      <c r="G148" s="29">
        <v>4057.0</v>
      </c>
      <c r="H148" s="29">
        <v>332082.0</v>
      </c>
      <c r="I148" s="28">
        <v>86.0</v>
      </c>
      <c r="J148" s="28">
        <v>88.0</v>
      </c>
      <c r="K148" s="28">
        <v>18175.0</v>
      </c>
      <c r="L148" s="28">
        <v>1681.0</v>
      </c>
      <c r="M148" s="28">
        <v>171796.0</v>
      </c>
      <c r="N148" s="28">
        <v>189971.0</v>
      </c>
      <c r="O148" s="28">
        <v>11.0</v>
      </c>
      <c r="P148" s="30">
        <v>2186.0</v>
      </c>
      <c r="Q148" s="30">
        <v>11.0</v>
      </c>
      <c r="R148" s="30">
        <v>1793.0</v>
      </c>
      <c r="S148" s="30">
        <v>1.0</v>
      </c>
      <c r="T148" s="30">
        <v>315.0</v>
      </c>
      <c r="U148" s="30">
        <v>78.0</v>
      </c>
      <c r="V148" s="30">
        <v>79.0</v>
      </c>
      <c r="W148" s="30">
        <v>7.0</v>
      </c>
      <c r="X148" s="30">
        <v>6.0</v>
      </c>
      <c r="Y148" s="30">
        <v>1.0</v>
      </c>
      <c r="Z148" s="28">
        <v>1016.0</v>
      </c>
    </row>
    <row r="149" ht="14.25" customHeight="1">
      <c r="A149" s="27">
        <v>44035.0</v>
      </c>
      <c r="B149" s="28">
        <v>141.0</v>
      </c>
      <c r="C149" s="28">
        <v>134.0</v>
      </c>
      <c r="D149" s="28">
        <v>26778.0</v>
      </c>
      <c r="E149" s="28">
        <v>4413.0</v>
      </c>
      <c r="F149" s="29">
        <v>309858.0</v>
      </c>
      <c r="G149" s="29">
        <v>4554.0</v>
      </c>
      <c r="H149" s="29">
        <v>336636.0</v>
      </c>
      <c r="I149" s="28">
        <v>115.0</v>
      </c>
      <c r="J149" s="28">
        <v>103.0</v>
      </c>
      <c r="K149" s="28">
        <v>18290.0</v>
      </c>
      <c r="L149" s="28">
        <v>1979.0</v>
      </c>
      <c r="M149" s="28">
        <v>173775.0</v>
      </c>
      <c r="N149" s="28">
        <v>192065.0</v>
      </c>
      <c r="O149" s="28">
        <v>8.0</v>
      </c>
      <c r="P149" s="30">
        <v>2194.0</v>
      </c>
      <c r="Q149" s="30">
        <v>6.0</v>
      </c>
      <c r="R149" s="30">
        <v>1799.0</v>
      </c>
      <c r="S149" s="30">
        <v>0.0</v>
      </c>
      <c r="T149" s="30">
        <v>315.0</v>
      </c>
      <c r="U149" s="30">
        <v>80.0</v>
      </c>
      <c r="V149" s="30">
        <v>79.0</v>
      </c>
      <c r="W149" s="30">
        <v>8.0</v>
      </c>
      <c r="X149" s="30">
        <v>7.0</v>
      </c>
      <c r="Y149" s="30">
        <v>0.0</v>
      </c>
      <c r="Z149" s="28">
        <v>1016.0</v>
      </c>
    </row>
    <row r="150" ht="14.25" customHeight="1">
      <c r="A150" s="27">
        <v>44036.0</v>
      </c>
      <c r="B150" s="28">
        <v>172.0</v>
      </c>
      <c r="C150" s="28">
        <v>148.0</v>
      </c>
      <c r="D150" s="28">
        <v>26950.0</v>
      </c>
      <c r="E150" s="28">
        <v>5961.0</v>
      </c>
      <c r="F150" s="29">
        <v>315819.0</v>
      </c>
      <c r="G150" s="29">
        <v>6133.0</v>
      </c>
      <c r="H150" s="29">
        <v>342769.0</v>
      </c>
      <c r="I150" s="28">
        <v>119.0</v>
      </c>
      <c r="J150" s="28">
        <v>107.0</v>
      </c>
      <c r="K150" s="28">
        <v>18409.0</v>
      </c>
      <c r="L150" s="28">
        <v>2316.0</v>
      </c>
      <c r="M150" s="28">
        <v>176091.0</v>
      </c>
      <c r="N150" s="28">
        <v>194500.0</v>
      </c>
      <c r="O150" s="28">
        <v>14.0</v>
      </c>
      <c r="P150" s="30">
        <v>2208.0</v>
      </c>
      <c r="Q150" s="30">
        <v>14.0</v>
      </c>
      <c r="R150" s="30">
        <v>1813.0</v>
      </c>
      <c r="S150" s="30">
        <v>0.0</v>
      </c>
      <c r="T150" s="30">
        <v>315.0</v>
      </c>
      <c r="U150" s="30">
        <v>80.0</v>
      </c>
      <c r="V150" s="30">
        <v>79.0</v>
      </c>
      <c r="W150" s="30">
        <v>9.0</v>
      </c>
      <c r="X150" s="30">
        <v>7.0</v>
      </c>
      <c r="Y150" s="30">
        <v>0.0</v>
      </c>
      <c r="Z150" s="28">
        <v>1016.0</v>
      </c>
    </row>
    <row r="151" ht="14.25" customHeight="1">
      <c r="A151" s="27">
        <v>44037.0</v>
      </c>
      <c r="B151" s="28">
        <v>134.0</v>
      </c>
      <c r="C151" s="28">
        <v>149.0</v>
      </c>
      <c r="D151" s="28">
        <v>27084.0</v>
      </c>
      <c r="E151" s="28">
        <v>4399.0</v>
      </c>
      <c r="F151" s="29">
        <v>320218.0</v>
      </c>
      <c r="G151" s="29">
        <v>4533.0</v>
      </c>
      <c r="H151" s="29">
        <v>347302.0</v>
      </c>
      <c r="I151" s="28">
        <v>108.0</v>
      </c>
      <c r="J151" s="28">
        <v>114.0</v>
      </c>
      <c r="K151" s="28">
        <v>18517.0</v>
      </c>
      <c r="L151" s="28">
        <v>2092.0</v>
      </c>
      <c r="M151" s="28">
        <v>178183.0</v>
      </c>
      <c r="N151" s="28">
        <v>196700.0</v>
      </c>
      <c r="O151" s="28">
        <v>7.0</v>
      </c>
      <c r="P151" s="30">
        <v>2215.0</v>
      </c>
      <c r="Q151" s="30">
        <v>7.0</v>
      </c>
      <c r="R151" s="30">
        <v>1820.0</v>
      </c>
      <c r="S151" s="30">
        <v>0.0</v>
      </c>
      <c r="T151" s="30">
        <v>315.0</v>
      </c>
      <c r="U151" s="30">
        <v>80.0</v>
      </c>
      <c r="V151" s="30">
        <v>80.0</v>
      </c>
      <c r="W151" s="30">
        <v>10.0</v>
      </c>
      <c r="X151" s="30">
        <v>8.0</v>
      </c>
      <c r="Y151" s="30">
        <v>2.0</v>
      </c>
      <c r="Z151" s="28">
        <v>1018.0</v>
      </c>
    </row>
    <row r="152" ht="14.25" customHeight="1">
      <c r="A152" s="27">
        <v>44038.0</v>
      </c>
      <c r="B152" s="28">
        <v>62.0</v>
      </c>
      <c r="C152" s="28">
        <v>123.0</v>
      </c>
      <c r="D152" s="28">
        <v>27146.0</v>
      </c>
      <c r="E152" s="28">
        <v>3027.0</v>
      </c>
      <c r="F152" s="29">
        <v>323245.0</v>
      </c>
      <c r="G152" s="29">
        <v>3089.0</v>
      </c>
      <c r="H152" s="29">
        <v>350391.0</v>
      </c>
      <c r="I152" s="28">
        <v>54.0</v>
      </c>
      <c r="J152" s="28">
        <v>94.0</v>
      </c>
      <c r="K152" s="28">
        <v>18571.0</v>
      </c>
      <c r="L152" s="28">
        <v>1333.0</v>
      </c>
      <c r="M152" s="28">
        <v>179516.0</v>
      </c>
      <c r="N152" s="28">
        <v>198087.0</v>
      </c>
      <c r="O152" s="28">
        <v>8.0</v>
      </c>
      <c r="P152" s="30">
        <v>2223.0</v>
      </c>
      <c r="Q152" s="30">
        <v>9.0</v>
      </c>
      <c r="R152" s="30">
        <v>1829.0</v>
      </c>
      <c r="S152" s="30">
        <v>0.0</v>
      </c>
      <c r="T152" s="30">
        <v>315.0</v>
      </c>
      <c r="U152" s="30">
        <v>79.0</v>
      </c>
      <c r="V152" s="30">
        <v>80.0</v>
      </c>
      <c r="W152" s="30">
        <v>11.0</v>
      </c>
      <c r="X152" s="30">
        <v>7.0</v>
      </c>
      <c r="Y152" s="30">
        <v>1.0</v>
      </c>
      <c r="Z152" s="28">
        <v>1019.0</v>
      </c>
    </row>
    <row r="153" ht="14.25" customHeight="1">
      <c r="A153" s="27">
        <v>44039.0</v>
      </c>
      <c r="B153" s="28">
        <v>188.0</v>
      </c>
      <c r="C153" s="28">
        <v>128.0</v>
      </c>
      <c r="D153" s="28">
        <v>27334.0</v>
      </c>
      <c r="E153" s="28">
        <v>4190.0</v>
      </c>
      <c r="F153" s="29">
        <v>327435.0</v>
      </c>
      <c r="G153" s="29">
        <v>4378.0</v>
      </c>
      <c r="H153" s="29">
        <v>354769.0</v>
      </c>
      <c r="I153" s="28">
        <v>138.0</v>
      </c>
      <c r="J153" s="28">
        <v>100.0</v>
      </c>
      <c r="K153" s="28">
        <v>18709.0</v>
      </c>
      <c r="L153" s="28">
        <v>2342.0</v>
      </c>
      <c r="M153" s="28">
        <v>181858.0</v>
      </c>
      <c r="N153" s="28">
        <v>200567.0</v>
      </c>
      <c r="O153" s="28">
        <v>12.0</v>
      </c>
      <c r="P153" s="30">
        <v>2235.0</v>
      </c>
      <c r="Q153" s="30">
        <v>7.0</v>
      </c>
      <c r="R153" s="30">
        <v>1836.0</v>
      </c>
      <c r="S153" s="30">
        <v>0.0</v>
      </c>
      <c r="T153" s="30">
        <v>315.0</v>
      </c>
      <c r="U153" s="30">
        <v>84.0</v>
      </c>
      <c r="V153" s="30">
        <v>81.0</v>
      </c>
      <c r="W153" s="30">
        <v>13.0</v>
      </c>
      <c r="X153" s="30">
        <v>8.0</v>
      </c>
      <c r="Y153" s="30">
        <v>1.0</v>
      </c>
      <c r="Z153" s="28">
        <v>1020.0</v>
      </c>
    </row>
    <row r="154" ht="14.25" customHeight="1">
      <c r="A154" s="27">
        <v>44040.0</v>
      </c>
      <c r="B154" s="28">
        <v>106.0</v>
      </c>
      <c r="C154" s="28">
        <v>119.0</v>
      </c>
      <c r="D154" s="28">
        <v>27440.0</v>
      </c>
      <c r="E154" s="28">
        <v>3834.0</v>
      </c>
      <c r="F154" s="29">
        <v>331269.0</v>
      </c>
      <c r="G154" s="29">
        <v>3940.0</v>
      </c>
      <c r="H154" s="29">
        <v>358709.0</v>
      </c>
      <c r="I154" s="28">
        <v>95.0</v>
      </c>
      <c r="J154" s="28">
        <v>96.0</v>
      </c>
      <c r="K154" s="28">
        <v>18804.0</v>
      </c>
      <c r="L154" s="28">
        <v>1632.0</v>
      </c>
      <c r="M154" s="28">
        <v>183490.0</v>
      </c>
      <c r="N154" s="28">
        <v>202294.0</v>
      </c>
      <c r="O154" s="28">
        <v>5.0</v>
      </c>
      <c r="P154" s="30">
        <v>2240.0</v>
      </c>
      <c r="Q154" s="30">
        <v>5.0</v>
      </c>
      <c r="R154" s="30">
        <v>1841.0</v>
      </c>
      <c r="S154" s="30">
        <v>0.0</v>
      </c>
      <c r="T154" s="30">
        <v>315.0</v>
      </c>
      <c r="U154" s="30">
        <v>84.0</v>
      </c>
      <c r="V154" s="30">
        <v>82.0</v>
      </c>
      <c r="W154" s="30">
        <v>14.0</v>
      </c>
      <c r="X154" s="30">
        <v>7.0</v>
      </c>
      <c r="Y154" s="30">
        <v>1.0</v>
      </c>
      <c r="Z154" s="28">
        <v>1021.0</v>
      </c>
    </row>
    <row r="155" ht="14.25" customHeight="1">
      <c r="A155" s="27">
        <v>44041.0</v>
      </c>
      <c r="B155" s="28">
        <v>191.0</v>
      </c>
      <c r="C155" s="28">
        <v>162.0</v>
      </c>
      <c r="D155" s="28">
        <v>27631.0</v>
      </c>
      <c r="E155" s="28">
        <v>5137.0</v>
      </c>
      <c r="F155" s="29">
        <v>336406.0</v>
      </c>
      <c r="G155" s="29">
        <v>5328.0</v>
      </c>
      <c r="H155" s="29">
        <v>364037.0</v>
      </c>
      <c r="I155" s="28">
        <v>154.0</v>
      </c>
      <c r="J155" s="28">
        <v>129.0</v>
      </c>
      <c r="K155" s="28">
        <v>18958.0</v>
      </c>
      <c r="L155" s="28">
        <v>2314.0</v>
      </c>
      <c r="M155" s="28">
        <v>185804.0</v>
      </c>
      <c r="N155" s="28">
        <v>204762.0</v>
      </c>
      <c r="O155" s="28">
        <v>11.0</v>
      </c>
      <c r="P155" s="30">
        <v>2251.0</v>
      </c>
      <c r="Q155" s="30">
        <v>12.0</v>
      </c>
      <c r="R155" s="30">
        <v>1853.0</v>
      </c>
      <c r="S155" s="30">
        <v>0.0</v>
      </c>
      <c r="T155" s="30">
        <v>315.0</v>
      </c>
      <c r="U155" s="30">
        <v>83.0</v>
      </c>
      <c r="V155" s="30">
        <v>84.0</v>
      </c>
      <c r="W155" s="30">
        <v>15.0</v>
      </c>
      <c r="X155" s="30">
        <v>7.0</v>
      </c>
      <c r="Y155" s="30">
        <v>0.0</v>
      </c>
      <c r="Z155" s="28">
        <v>1021.0</v>
      </c>
    </row>
    <row r="156" ht="14.25" customHeight="1">
      <c r="A156" s="27">
        <v>44042.0</v>
      </c>
      <c r="B156" s="28">
        <v>121.0</v>
      </c>
      <c r="C156" s="28">
        <v>139.0</v>
      </c>
      <c r="D156" s="28">
        <v>27752.0</v>
      </c>
      <c r="E156" s="28">
        <v>4344.0</v>
      </c>
      <c r="F156" s="29">
        <v>340750.0</v>
      </c>
      <c r="G156" s="29">
        <v>4465.0</v>
      </c>
      <c r="H156" s="29">
        <v>368502.0</v>
      </c>
      <c r="I156" s="28">
        <v>97.0</v>
      </c>
      <c r="J156" s="28">
        <v>115.0</v>
      </c>
      <c r="K156" s="28">
        <v>19055.0</v>
      </c>
      <c r="L156" s="28">
        <v>1644.0</v>
      </c>
      <c r="M156" s="28">
        <v>187448.0</v>
      </c>
      <c r="N156" s="28">
        <v>206503.0</v>
      </c>
      <c r="O156" s="28">
        <v>6.0</v>
      </c>
      <c r="P156" s="30">
        <v>2257.0</v>
      </c>
      <c r="Q156" s="30">
        <v>2.0</v>
      </c>
      <c r="R156" s="30">
        <v>1855.0</v>
      </c>
      <c r="S156" s="30">
        <v>1.0</v>
      </c>
      <c r="T156" s="30">
        <v>316.0</v>
      </c>
      <c r="U156" s="30">
        <v>86.0</v>
      </c>
      <c r="V156" s="30">
        <v>84.0</v>
      </c>
      <c r="W156" s="30">
        <v>15.0</v>
      </c>
      <c r="X156" s="30">
        <v>6.0</v>
      </c>
      <c r="Y156" s="30">
        <v>1.0</v>
      </c>
      <c r="Z156" s="28">
        <v>1022.0</v>
      </c>
    </row>
    <row r="157" ht="14.25" customHeight="1">
      <c r="A157" s="27">
        <v>44043.0</v>
      </c>
      <c r="B157" s="28">
        <v>131.0</v>
      </c>
      <c r="C157" s="28">
        <v>148.0</v>
      </c>
      <c r="D157" s="28">
        <v>27883.0</v>
      </c>
      <c r="E157" s="28">
        <v>5509.0</v>
      </c>
      <c r="F157" s="29">
        <v>346259.0</v>
      </c>
      <c r="G157" s="29">
        <v>5640.0</v>
      </c>
      <c r="H157" s="29">
        <v>374142.0</v>
      </c>
      <c r="I157" s="28">
        <v>89.0</v>
      </c>
      <c r="J157" s="28">
        <v>113.0</v>
      </c>
      <c r="K157" s="28">
        <v>19144.0</v>
      </c>
      <c r="L157" s="28">
        <v>1848.0</v>
      </c>
      <c r="M157" s="28">
        <v>189296.0</v>
      </c>
      <c r="N157" s="28">
        <v>208440.0</v>
      </c>
      <c r="O157" s="28">
        <v>8.0</v>
      </c>
      <c r="P157" s="30">
        <v>2265.0</v>
      </c>
      <c r="Q157" s="30">
        <v>10.0</v>
      </c>
      <c r="R157" s="30">
        <v>1865.0</v>
      </c>
      <c r="S157" s="30">
        <v>0.0</v>
      </c>
      <c r="T157" s="30">
        <v>316.0</v>
      </c>
      <c r="U157" s="30">
        <v>84.0</v>
      </c>
      <c r="V157" s="30">
        <v>84.0</v>
      </c>
      <c r="W157" s="30">
        <v>15.0</v>
      </c>
      <c r="X157" s="30">
        <v>7.0</v>
      </c>
      <c r="Y157" s="30">
        <v>1.0</v>
      </c>
      <c r="Z157" s="28">
        <v>1023.0</v>
      </c>
    </row>
    <row r="158" ht="14.25" customHeight="1">
      <c r="A158" s="27">
        <v>44044.0</v>
      </c>
      <c r="B158" s="28">
        <v>108.0</v>
      </c>
      <c r="C158" s="28">
        <v>120.0</v>
      </c>
      <c r="D158" s="28">
        <v>27991.0</v>
      </c>
      <c r="E158" s="28">
        <v>4292.0</v>
      </c>
      <c r="F158" s="29">
        <v>350551.0</v>
      </c>
      <c r="G158" s="29">
        <v>4400.0</v>
      </c>
      <c r="H158" s="29">
        <v>378542.0</v>
      </c>
      <c r="I158" s="28">
        <v>88.0</v>
      </c>
      <c r="J158" s="28">
        <v>91.0</v>
      </c>
      <c r="K158" s="28">
        <v>19232.0</v>
      </c>
      <c r="L158" s="28">
        <v>1559.0</v>
      </c>
      <c r="M158" s="28">
        <v>190855.0</v>
      </c>
      <c r="N158" s="28">
        <v>210087.0</v>
      </c>
      <c r="O158" s="28">
        <v>7.0</v>
      </c>
      <c r="P158" s="30">
        <v>2272.0</v>
      </c>
      <c r="Q158" s="30">
        <v>2.0</v>
      </c>
      <c r="R158" s="30">
        <v>1867.0</v>
      </c>
      <c r="S158" s="30">
        <v>0.0</v>
      </c>
      <c r="T158" s="30">
        <v>316.0</v>
      </c>
      <c r="U158" s="30">
        <v>89.0</v>
      </c>
      <c r="V158" s="30">
        <v>86.0</v>
      </c>
      <c r="W158" s="30">
        <v>14.0</v>
      </c>
      <c r="X158" s="30">
        <v>7.0</v>
      </c>
      <c r="Y158" s="30">
        <v>1.0</v>
      </c>
      <c r="Z158" s="28">
        <v>1024.0</v>
      </c>
    </row>
    <row r="159" ht="14.25" customHeight="1">
      <c r="A159" s="27">
        <v>44045.0</v>
      </c>
      <c r="B159" s="28">
        <v>84.0</v>
      </c>
      <c r="C159" s="28">
        <v>108.0</v>
      </c>
      <c r="D159" s="28">
        <v>28075.0</v>
      </c>
      <c r="E159" s="28">
        <v>2802.0</v>
      </c>
      <c r="F159" s="29">
        <v>353353.0</v>
      </c>
      <c r="G159" s="29">
        <v>2886.0</v>
      </c>
      <c r="H159" s="29">
        <v>381428.0</v>
      </c>
      <c r="I159" s="28">
        <v>62.0</v>
      </c>
      <c r="J159" s="28">
        <v>80.0</v>
      </c>
      <c r="K159" s="28">
        <v>19294.0</v>
      </c>
      <c r="L159" s="28">
        <v>1269.0</v>
      </c>
      <c r="M159" s="28">
        <v>192124.0</v>
      </c>
      <c r="N159" s="28">
        <v>211418.0</v>
      </c>
      <c r="O159" s="28">
        <v>12.0</v>
      </c>
      <c r="P159" s="30">
        <v>2284.0</v>
      </c>
      <c r="Q159" s="30">
        <v>12.0</v>
      </c>
      <c r="R159" s="30">
        <v>1879.0</v>
      </c>
      <c r="S159" s="30">
        <v>2.0</v>
      </c>
      <c r="T159" s="30">
        <v>318.0</v>
      </c>
      <c r="U159" s="30">
        <v>87.0</v>
      </c>
      <c r="V159" s="30">
        <v>87.0</v>
      </c>
      <c r="W159" s="30">
        <v>14.0</v>
      </c>
      <c r="X159" s="30">
        <v>8.0</v>
      </c>
      <c r="Y159" s="30">
        <v>2.0</v>
      </c>
      <c r="Z159" s="28">
        <v>1026.0</v>
      </c>
    </row>
    <row r="160" ht="14.25" customHeight="1">
      <c r="A160" s="27">
        <v>44046.0</v>
      </c>
      <c r="B160" s="28">
        <v>187.0</v>
      </c>
      <c r="C160" s="28">
        <v>126.0</v>
      </c>
      <c r="D160" s="28">
        <v>28262.0</v>
      </c>
      <c r="E160" s="28">
        <v>5238.0</v>
      </c>
      <c r="F160" s="29">
        <v>358591.0</v>
      </c>
      <c r="G160" s="29">
        <v>5425.0</v>
      </c>
      <c r="H160" s="29">
        <v>386853.0</v>
      </c>
      <c r="I160" s="28">
        <v>150.0</v>
      </c>
      <c r="J160" s="28">
        <v>100.0</v>
      </c>
      <c r="K160" s="28">
        <v>19444.0</v>
      </c>
      <c r="L160" s="28">
        <v>2195.0</v>
      </c>
      <c r="M160" s="28">
        <v>194319.0</v>
      </c>
      <c r="N160" s="28">
        <v>213763.0</v>
      </c>
      <c r="O160" s="28">
        <v>13.0</v>
      </c>
      <c r="P160" s="30">
        <v>2297.0</v>
      </c>
      <c r="Q160" s="30">
        <v>12.0</v>
      </c>
      <c r="R160" s="30">
        <v>1891.0</v>
      </c>
      <c r="S160" s="30">
        <v>0.0</v>
      </c>
      <c r="T160" s="30">
        <v>318.0</v>
      </c>
      <c r="U160" s="30">
        <v>88.0</v>
      </c>
      <c r="V160" s="30">
        <v>88.0</v>
      </c>
      <c r="W160" s="30">
        <v>16.0</v>
      </c>
      <c r="X160" s="30">
        <v>7.0</v>
      </c>
      <c r="Y160" s="30">
        <v>1.0</v>
      </c>
      <c r="Z160" s="28">
        <v>1027.0</v>
      </c>
    </row>
    <row r="161" ht="14.25" customHeight="1">
      <c r="A161" s="27">
        <v>44047.0</v>
      </c>
      <c r="B161" s="28">
        <v>126.0</v>
      </c>
      <c r="C161" s="28">
        <v>132.0</v>
      </c>
      <c r="D161" s="28">
        <v>28388.0</v>
      </c>
      <c r="E161" s="28">
        <v>3691.0</v>
      </c>
      <c r="F161" s="29">
        <v>362282.0</v>
      </c>
      <c r="G161" s="29">
        <v>3817.0</v>
      </c>
      <c r="H161" s="29">
        <v>390670.0</v>
      </c>
      <c r="I161" s="28">
        <v>99.0</v>
      </c>
      <c r="J161" s="28">
        <v>104.0</v>
      </c>
      <c r="K161" s="28">
        <v>19543.0</v>
      </c>
      <c r="L161" s="28">
        <v>1769.0</v>
      </c>
      <c r="M161" s="28">
        <v>196088.0</v>
      </c>
      <c r="N161" s="28">
        <v>215631.0</v>
      </c>
      <c r="O161" s="28">
        <v>9.0</v>
      </c>
      <c r="P161" s="30">
        <v>2306.0</v>
      </c>
      <c r="Q161" s="30">
        <v>6.0</v>
      </c>
      <c r="R161" s="30">
        <v>1897.0</v>
      </c>
      <c r="S161" s="30">
        <v>1.0</v>
      </c>
      <c r="T161" s="30">
        <v>319.0</v>
      </c>
      <c r="U161" s="30">
        <v>90.0</v>
      </c>
      <c r="V161" s="30">
        <v>88.0</v>
      </c>
      <c r="W161" s="30">
        <v>12.0</v>
      </c>
      <c r="X161" s="30">
        <v>5.0</v>
      </c>
      <c r="Y161" s="30">
        <v>2.0</v>
      </c>
      <c r="Z161" s="28">
        <v>1029.0</v>
      </c>
    </row>
    <row r="162" ht="14.25" customHeight="1">
      <c r="A162" s="27">
        <v>44048.0</v>
      </c>
      <c r="B162" s="28">
        <v>148.0</v>
      </c>
      <c r="C162" s="28">
        <v>154.0</v>
      </c>
      <c r="D162" s="28">
        <v>28536.0</v>
      </c>
      <c r="E162" s="28">
        <v>5934.0</v>
      </c>
      <c r="F162" s="29">
        <v>368216.0</v>
      </c>
      <c r="G162" s="29">
        <v>6082.0</v>
      </c>
      <c r="H162" s="29">
        <v>396752.0</v>
      </c>
      <c r="I162" s="28">
        <v>118.0</v>
      </c>
      <c r="J162" s="28">
        <v>122.0</v>
      </c>
      <c r="K162" s="28">
        <v>19661.0</v>
      </c>
      <c r="L162" s="28">
        <v>2468.0</v>
      </c>
      <c r="M162" s="28">
        <v>198556.0</v>
      </c>
      <c r="N162" s="28">
        <v>218217.0</v>
      </c>
      <c r="O162" s="28">
        <v>12.0</v>
      </c>
      <c r="P162" s="30">
        <v>2318.0</v>
      </c>
      <c r="Q162" s="30">
        <v>10.0</v>
      </c>
      <c r="R162" s="30">
        <v>1907.0</v>
      </c>
      <c r="S162" s="30">
        <v>1.0</v>
      </c>
      <c r="T162" s="30">
        <v>320.0</v>
      </c>
      <c r="U162" s="30">
        <v>91.0</v>
      </c>
      <c r="V162" s="30">
        <v>90.0</v>
      </c>
      <c r="W162" s="30">
        <v>10.0</v>
      </c>
      <c r="X162" s="30">
        <v>5.0</v>
      </c>
      <c r="Y162" s="30">
        <v>2.0</v>
      </c>
      <c r="Z162" s="28">
        <v>1031.0</v>
      </c>
    </row>
    <row r="163" ht="14.25" customHeight="1">
      <c r="A163" s="27">
        <v>44049.0</v>
      </c>
      <c r="B163" s="28">
        <v>169.0</v>
      </c>
      <c r="C163" s="28">
        <v>148.0</v>
      </c>
      <c r="D163" s="28">
        <v>28705.0</v>
      </c>
      <c r="E163" s="28">
        <v>5533.0</v>
      </c>
      <c r="F163" s="29">
        <v>373749.0</v>
      </c>
      <c r="G163" s="29">
        <v>5702.0</v>
      </c>
      <c r="H163" s="29">
        <v>402454.0</v>
      </c>
      <c r="I163" s="28">
        <v>121.0</v>
      </c>
      <c r="J163" s="28">
        <v>113.0</v>
      </c>
      <c r="K163" s="28">
        <v>19782.0</v>
      </c>
      <c r="L163" s="28">
        <v>2401.0</v>
      </c>
      <c r="M163" s="28">
        <v>200957.0</v>
      </c>
      <c r="N163" s="28">
        <v>220739.0</v>
      </c>
      <c r="O163" s="28">
        <v>7.0</v>
      </c>
      <c r="P163" s="30">
        <v>2325.0</v>
      </c>
      <c r="Q163" s="30">
        <v>9.0</v>
      </c>
      <c r="R163" s="30">
        <v>1916.0</v>
      </c>
      <c r="S163" s="30">
        <v>0.0</v>
      </c>
      <c r="T163" s="30">
        <v>320.0</v>
      </c>
      <c r="U163" s="30">
        <v>89.0</v>
      </c>
      <c r="V163" s="30">
        <v>90.0</v>
      </c>
      <c r="W163" s="30">
        <v>9.0</v>
      </c>
      <c r="X163" s="30">
        <v>4.0</v>
      </c>
      <c r="Y163" s="30">
        <v>0.0</v>
      </c>
      <c r="Z163" s="28">
        <v>1031.0</v>
      </c>
    </row>
    <row r="164" ht="14.25" customHeight="1">
      <c r="A164" s="27">
        <v>44050.0</v>
      </c>
      <c r="B164" s="28">
        <v>122.0</v>
      </c>
      <c r="C164" s="28">
        <v>146.0</v>
      </c>
      <c r="D164" s="28">
        <v>28827.0</v>
      </c>
      <c r="E164" s="28">
        <v>4847.0</v>
      </c>
      <c r="F164" s="29">
        <v>378596.0</v>
      </c>
      <c r="G164" s="29">
        <v>4969.0</v>
      </c>
      <c r="H164" s="29">
        <v>407423.0</v>
      </c>
      <c r="I164" s="28">
        <v>87.0</v>
      </c>
      <c r="J164" s="28">
        <v>109.0</v>
      </c>
      <c r="K164" s="28">
        <v>19869.0</v>
      </c>
      <c r="L164" s="28">
        <v>2141.0</v>
      </c>
      <c r="M164" s="28">
        <v>203098.0</v>
      </c>
      <c r="N164" s="28">
        <v>222967.0</v>
      </c>
      <c r="O164" s="28">
        <v>13.0</v>
      </c>
      <c r="P164" s="30">
        <v>2338.0</v>
      </c>
      <c r="Q164" s="30">
        <v>10.0</v>
      </c>
      <c r="R164" s="30">
        <v>1926.0</v>
      </c>
      <c r="S164" s="30">
        <v>1.0</v>
      </c>
      <c r="T164" s="30">
        <v>321.0</v>
      </c>
      <c r="U164" s="30">
        <v>91.0</v>
      </c>
      <c r="V164" s="30">
        <v>90.0</v>
      </c>
      <c r="W164" s="30">
        <v>9.0</v>
      </c>
      <c r="X164" s="30">
        <v>3.0</v>
      </c>
      <c r="Y164" s="30">
        <v>2.0</v>
      </c>
      <c r="Z164" s="28">
        <v>1033.0</v>
      </c>
    </row>
    <row r="165" ht="14.25" customHeight="1">
      <c r="A165" s="27">
        <v>44051.0</v>
      </c>
      <c r="B165" s="28">
        <v>123.0</v>
      </c>
      <c r="C165" s="28">
        <v>138.0</v>
      </c>
      <c r="D165" s="28">
        <v>28950.0</v>
      </c>
      <c r="E165" s="28">
        <v>4107.0</v>
      </c>
      <c r="F165" s="29">
        <v>382703.0</v>
      </c>
      <c r="G165" s="29">
        <v>4230.0</v>
      </c>
      <c r="H165" s="29">
        <v>411653.0</v>
      </c>
      <c r="I165" s="28">
        <v>92.0</v>
      </c>
      <c r="J165" s="28">
        <v>100.0</v>
      </c>
      <c r="K165" s="28">
        <v>19961.0</v>
      </c>
      <c r="L165" s="28">
        <v>1777.0</v>
      </c>
      <c r="M165" s="28">
        <v>204875.0</v>
      </c>
      <c r="N165" s="28">
        <v>224836.0</v>
      </c>
      <c r="O165" s="28">
        <v>19.0</v>
      </c>
      <c r="P165" s="30">
        <v>2357.0</v>
      </c>
      <c r="Q165" s="30">
        <v>6.0</v>
      </c>
      <c r="R165" s="30">
        <v>1932.0</v>
      </c>
      <c r="S165" s="30">
        <v>1.0</v>
      </c>
      <c r="T165" s="30">
        <v>322.0</v>
      </c>
      <c r="U165" s="30">
        <v>103.0</v>
      </c>
      <c r="V165" s="30">
        <v>94.0</v>
      </c>
      <c r="W165" s="30">
        <v>8.0</v>
      </c>
      <c r="X165" s="30">
        <v>3.0</v>
      </c>
      <c r="Y165" s="30">
        <v>1.0</v>
      </c>
      <c r="Z165" s="28">
        <v>1034.0</v>
      </c>
    </row>
    <row r="166" ht="14.25" customHeight="1">
      <c r="A166" s="27">
        <v>44052.0</v>
      </c>
      <c r="B166" s="28">
        <v>42.0</v>
      </c>
      <c r="C166" s="28">
        <v>96.0</v>
      </c>
      <c r="D166" s="28">
        <v>28992.0</v>
      </c>
      <c r="E166" s="28">
        <v>1722.0</v>
      </c>
      <c r="F166" s="29">
        <v>384425.0</v>
      </c>
      <c r="G166" s="29">
        <v>1764.0</v>
      </c>
      <c r="H166" s="29">
        <v>413417.0</v>
      </c>
      <c r="I166" s="28">
        <v>35.0</v>
      </c>
      <c r="J166" s="28">
        <v>71.0</v>
      </c>
      <c r="K166" s="28">
        <v>19996.0</v>
      </c>
      <c r="L166" s="28">
        <v>1070.0</v>
      </c>
      <c r="M166" s="28">
        <v>205945.0</v>
      </c>
      <c r="N166" s="28">
        <v>225941.0</v>
      </c>
      <c r="O166" s="28">
        <v>8.0</v>
      </c>
      <c r="P166" s="30">
        <v>2365.0</v>
      </c>
      <c r="Q166" s="30">
        <v>10.0</v>
      </c>
      <c r="R166" s="30">
        <v>1942.0</v>
      </c>
      <c r="S166" s="30">
        <v>0.0</v>
      </c>
      <c r="T166" s="30">
        <v>322.0</v>
      </c>
      <c r="U166" s="30">
        <v>101.0</v>
      </c>
      <c r="V166" s="30">
        <v>98.0</v>
      </c>
      <c r="W166" s="30">
        <v>9.0</v>
      </c>
      <c r="X166" s="30">
        <v>4.0</v>
      </c>
      <c r="Y166" s="30">
        <v>0.0</v>
      </c>
      <c r="Z166" s="28">
        <v>1034.0</v>
      </c>
    </row>
    <row r="167" ht="14.25" customHeight="1">
      <c r="A167" s="27">
        <v>44053.0</v>
      </c>
      <c r="B167" s="28">
        <v>149.0</v>
      </c>
      <c r="C167" s="28">
        <v>105.0</v>
      </c>
      <c r="D167" s="28">
        <v>29141.0</v>
      </c>
      <c r="E167" s="28">
        <v>4584.0</v>
      </c>
      <c r="F167" s="29">
        <v>389009.0</v>
      </c>
      <c r="G167" s="29">
        <v>4733.0</v>
      </c>
      <c r="H167" s="29">
        <v>418150.0</v>
      </c>
      <c r="I167" s="28">
        <v>113.0</v>
      </c>
      <c r="J167" s="28">
        <v>80.0</v>
      </c>
      <c r="K167" s="28">
        <v>20109.0</v>
      </c>
      <c r="L167" s="28">
        <v>2020.0</v>
      </c>
      <c r="M167" s="28">
        <v>207965.0</v>
      </c>
      <c r="N167" s="28">
        <v>228074.0</v>
      </c>
      <c r="O167" s="28">
        <v>11.0</v>
      </c>
      <c r="P167" s="30">
        <v>2376.0</v>
      </c>
      <c r="Q167" s="30">
        <v>12.0</v>
      </c>
      <c r="R167" s="30">
        <v>1954.0</v>
      </c>
      <c r="S167" s="30">
        <v>0.0</v>
      </c>
      <c r="T167" s="30">
        <v>322.0</v>
      </c>
      <c r="U167" s="30">
        <v>100.0</v>
      </c>
      <c r="V167" s="30">
        <v>101.0</v>
      </c>
      <c r="W167" s="30">
        <v>9.0</v>
      </c>
      <c r="X167" s="30">
        <v>4.0</v>
      </c>
      <c r="Y167" s="30">
        <v>1.0</v>
      </c>
      <c r="Z167" s="28">
        <v>1035.0</v>
      </c>
    </row>
    <row r="168" ht="14.25" customHeight="1">
      <c r="A168" s="27">
        <v>44054.0</v>
      </c>
      <c r="B168" s="28">
        <v>105.0</v>
      </c>
      <c r="C168" s="28">
        <v>99.0</v>
      </c>
      <c r="D168" s="28">
        <v>29246.0</v>
      </c>
      <c r="E168" s="28">
        <v>4329.0</v>
      </c>
      <c r="F168" s="29">
        <v>393338.0</v>
      </c>
      <c r="G168" s="29">
        <v>4434.0</v>
      </c>
      <c r="H168" s="29">
        <v>422584.0</v>
      </c>
      <c r="I168" s="28">
        <v>92.0</v>
      </c>
      <c r="J168" s="28">
        <v>80.0</v>
      </c>
      <c r="K168" s="28">
        <v>20201.0</v>
      </c>
      <c r="L168" s="28">
        <v>2262.0</v>
      </c>
      <c r="M168" s="28">
        <v>210227.0</v>
      </c>
      <c r="N168" s="28">
        <v>230428.0</v>
      </c>
      <c r="O168" s="28">
        <v>6.0</v>
      </c>
      <c r="P168" s="30">
        <v>2382.0</v>
      </c>
      <c r="Q168" s="30">
        <v>14.0</v>
      </c>
      <c r="R168" s="30">
        <v>1968.0</v>
      </c>
      <c r="S168" s="30">
        <v>0.0</v>
      </c>
      <c r="T168" s="30">
        <v>322.0</v>
      </c>
      <c r="U168" s="30">
        <v>92.0</v>
      </c>
      <c r="V168" s="30">
        <v>98.0</v>
      </c>
      <c r="W168" s="30">
        <v>10.0</v>
      </c>
      <c r="X168" s="30">
        <v>4.0</v>
      </c>
      <c r="Y168" s="30">
        <v>3.0</v>
      </c>
      <c r="Z168" s="28">
        <v>1038.0</v>
      </c>
    </row>
    <row r="169" ht="14.25" customHeight="1">
      <c r="A169" s="27">
        <v>44055.0</v>
      </c>
      <c r="B169" s="28">
        <v>121.0</v>
      </c>
      <c r="C169" s="28">
        <v>125.0</v>
      </c>
      <c r="D169" s="28">
        <v>29367.0</v>
      </c>
      <c r="E169" s="28">
        <v>5184.0</v>
      </c>
      <c r="F169" s="29">
        <v>398522.0</v>
      </c>
      <c r="G169" s="29">
        <v>5305.0</v>
      </c>
      <c r="H169" s="29">
        <v>427889.0</v>
      </c>
      <c r="I169" s="28">
        <v>101.0</v>
      </c>
      <c r="J169" s="28">
        <v>102.0</v>
      </c>
      <c r="K169" s="28">
        <v>20302.0</v>
      </c>
      <c r="L169" s="28">
        <v>2622.0</v>
      </c>
      <c r="M169" s="28">
        <v>212849.0</v>
      </c>
      <c r="N169" s="28">
        <v>233151.0</v>
      </c>
      <c r="O169" s="28">
        <v>8.0</v>
      </c>
      <c r="P169" s="30">
        <v>2390.0</v>
      </c>
      <c r="Q169" s="30">
        <v>11.0</v>
      </c>
      <c r="R169" s="30">
        <v>1979.0</v>
      </c>
      <c r="S169" s="30">
        <v>0.0</v>
      </c>
      <c r="T169" s="30">
        <v>322.0</v>
      </c>
      <c r="U169" s="30">
        <v>89.0</v>
      </c>
      <c r="V169" s="30">
        <v>94.0</v>
      </c>
      <c r="W169" s="30">
        <v>9.0</v>
      </c>
      <c r="X169" s="30">
        <v>3.0</v>
      </c>
      <c r="Y169" s="30">
        <v>1.0</v>
      </c>
      <c r="Z169" s="28">
        <v>1039.0</v>
      </c>
    </row>
    <row r="170" ht="14.25" customHeight="1">
      <c r="A170" s="27">
        <v>44056.0</v>
      </c>
      <c r="B170" s="28">
        <v>135.0</v>
      </c>
      <c r="C170" s="28">
        <v>120.0</v>
      </c>
      <c r="D170" s="28">
        <v>29502.0</v>
      </c>
      <c r="E170" s="28">
        <v>4192.0</v>
      </c>
      <c r="F170" s="29">
        <v>402714.0</v>
      </c>
      <c r="G170" s="29">
        <v>4327.0</v>
      </c>
      <c r="H170" s="29">
        <v>432216.0</v>
      </c>
      <c r="I170" s="28">
        <v>95.0</v>
      </c>
      <c r="J170" s="28">
        <v>96.0</v>
      </c>
      <c r="K170" s="28">
        <v>20397.0</v>
      </c>
      <c r="L170" s="28">
        <v>1900.0</v>
      </c>
      <c r="M170" s="28">
        <v>214749.0</v>
      </c>
      <c r="N170" s="28">
        <v>235146.0</v>
      </c>
      <c r="O170" s="28">
        <v>13.0</v>
      </c>
      <c r="P170" s="30">
        <v>2403.0</v>
      </c>
      <c r="Q170" s="30">
        <v>12.0</v>
      </c>
      <c r="R170" s="30">
        <v>1991.0</v>
      </c>
      <c r="S170" s="30">
        <v>0.0</v>
      </c>
      <c r="T170" s="30">
        <v>322.0</v>
      </c>
      <c r="U170" s="30">
        <v>90.0</v>
      </c>
      <c r="V170" s="30">
        <v>90.0</v>
      </c>
      <c r="W170" s="30">
        <v>11.0</v>
      </c>
      <c r="X170" s="30">
        <v>3.0</v>
      </c>
      <c r="Y170" s="30">
        <v>0.0</v>
      </c>
      <c r="Z170" s="28">
        <v>1039.0</v>
      </c>
    </row>
    <row r="171" ht="14.25" customHeight="1">
      <c r="A171" s="27">
        <v>44057.0</v>
      </c>
      <c r="B171" s="28">
        <v>145.0</v>
      </c>
      <c r="C171" s="28">
        <v>134.0</v>
      </c>
      <c r="D171" s="28">
        <v>29647.0</v>
      </c>
      <c r="E171" s="28">
        <v>5494.0</v>
      </c>
      <c r="F171" s="29">
        <v>408208.0</v>
      </c>
      <c r="G171" s="29">
        <v>5639.0</v>
      </c>
      <c r="H171" s="29">
        <v>437855.0</v>
      </c>
      <c r="I171" s="28">
        <v>99.0</v>
      </c>
      <c r="J171" s="28">
        <v>98.0</v>
      </c>
      <c r="K171" s="28">
        <v>20496.0</v>
      </c>
      <c r="L171" s="28">
        <v>1971.0</v>
      </c>
      <c r="M171" s="28">
        <v>216720.0</v>
      </c>
      <c r="N171" s="28">
        <v>237216.0</v>
      </c>
      <c r="O171" s="28">
        <v>13.0</v>
      </c>
      <c r="P171" s="30">
        <v>2416.0</v>
      </c>
      <c r="Q171" s="30">
        <v>11.0</v>
      </c>
      <c r="R171" s="30">
        <v>2002.0</v>
      </c>
      <c r="S171" s="30">
        <v>0.0</v>
      </c>
      <c r="T171" s="30">
        <v>322.0</v>
      </c>
      <c r="U171" s="30">
        <v>92.0</v>
      </c>
      <c r="V171" s="30">
        <v>90.0</v>
      </c>
      <c r="W171" s="30">
        <v>11.0</v>
      </c>
      <c r="X171" s="30">
        <v>4.0</v>
      </c>
      <c r="Y171" s="30">
        <v>3.0</v>
      </c>
      <c r="Z171" s="28">
        <v>1042.0</v>
      </c>
    </row>
    <row r="172" ht="14.25" customHeight="1">
      <c r="A172" s="27">
        <v>44058.0</v>
      </c>
      <c r="B172" s="28">
        <v>105.0</v>
      </c>
      <c r="C172" s="28">
        <v>128.0</v>
      </c>
      <c r="D172" s="28">
        <v>29752.0</v>
      </c>
      <c r="E172" s="28">
        <v>4533.0</v>
      </c>
      <c r="F172" s="29">
        <v>412741.0</v>
      </c>
      <c r="G172" s="29">
        <v>4638.0</v>
      </c>
      <c r="H172" s="29">
        <v>442493.0</v>
      </c>
      <c r="I172" s="28">
        <v>89.0</v>
      </c>
      <c r="J172" s="28">
        <v>94.0</v>
      </c>
      <c r="K172" s="28">
        <v>20585.0</v>
      </c>
      <c r="L172" s="28">
        <v>1689.0</v>
      </c>
      <c r="M172" s="28">
        <v>218409.0</v>
      </c>
      <c r="N172" s="28">
        <v>238994.0</v>
      </c>
      <c r="O172" s="28">
        <v>9.0</v>
      </c>
      <c r="P172" s="30">
        <v>2425.0</v>
      </c>
      <c r="Q172" s="30">
        <v>11.0</v>
      </c>
      <c r="R172" s="30">
        <v>2013.0</v>
      </c>
      <c r="S172" s="30">
        <v>1.0</v>
      </c>
      <c r="T172" s="30">
        <v>323.0</v>
      </c>
      <c r="U172" s="30">
        <v>89.0</v>
      </c>
      <c r="V172" s="30">
        <v>90.0</v>
      </c>
      <c r="W172" s="30">
        <v>11.0</v>
      </c>
      <c r="X172" s="30">
        <v>5.0</v>
      </c>
      <c r="Y172" s="30">
        <v>0.0</v>
      </c>
      <c r="Z172" s="28">
        <v>1042.0</v>
      </c>
    </row>
    <row r="173" ht="14.25" customHeight="1">
      <c r="A173" s="27">
        <v>44059.0</v>
      </c>
      <c r="B173" s="28">
        <v>83.0</v>
      </c>
      <c r="C173" s="28">
        <v>111.0</v>
      </c>
      <c r="D173" s="28">
        <v>29835.0</v>
      </c>
      <c r="E173" s="28">
        <v>2472.0</v>
      </c>
      <c r="F173" s="29">
        <v>415213.0</v>
      </c>
      <c r="G173" s="29">
        <v>2555.0</v>
      </c>
      <c r="H173" s="29">
        <v>445048.0</v>
      </c>
      <c r="I173" s="28">
        <v>70.0</v>
      </c>
      <c r="J173" s="28">
        <v>86.0</v>
      </c>
      <c r="K173" s="28">
        <v>20655.0</v>
      </c>
      <c r="L173" s="28">
        <v>961.0</v>
      </c>
      <c r="M173" s="28">
        <v>219370.0</v>
      </c>
      <c r="N173" s="28">
        <v>240025.0</v>
      </c>
      <c r="O173" s="28">
        <v>7.0</v>
      </c>
      <c r="P173" s="30">
        <v>2432.0</v>
      </c>
      <c r="Q173" s="30">
        <v>6.0</v>
      </c>
      <c r="R173" s="30">
        <v>2019.0</v>
      </c>
      <c r="S173" s="30">
        <v>4.0</v>
      </c>
      <c r="T173" s="30">
        <v>327.0</v>
      </c>
      <c r="U173" s="30">
        <v>86.0</v>
      </c>
      <c r="V173" s="30">
        <v>89.0</v>
      </c>
      <c r="W173" s="30">
        <v>8.0</v>
      </c>
      <c r="X173" s="30">
        <v>4.0</v>
      </c>
      <c r="Y173" s="30">
        <v>6.0</v>
      </c>
      <c r="Z173" s="28">
        <v>1048.0</v>
      </c>
    </row>
    <row r="174" ht="14.25" customHeight="1">
      <c r="A174" s="27">
        <v>44060.0</v>
      </c>
      <c r="B174" s="28">
        <v>106.0</v>
      </c>
      <c r="C174" s="28">
        <v>98.0</v>
      </c>
      <c r="D174" s="28">
        <v>29941.0</v>
      </c>
      <c r="E174" s="28">
        <v>4570.0</v>
      </c>
      <c r="F174" s="29">
        <v>419783.0</v>
      </c>
      <c r="G174" s="29">
        <v>4676.0</v>
      </c>
      <c r="H174" s="29">
        <v>449724.0</v>
      </c>
      <c r="I174" s="28">
        <v>88.0</v>
      </c>
      <c r="J174" s="28">
        <v>82.0</v>
      </c>
      <c r="K174" s="28">
        <v>20743.0</v>
      </c>
      <c r="L174" s="28">
        <v>2391.0</v>
      </c>
      <c r="M174" s="28">
        <v>221761.0</v>
      </c>
      <c r="N174" s="28">
        <v>242504.0</v>
      </c>
      <c r="O174" s="28">
        <v>10.0</v>
      </c>
      <c r="P174" s="30">
        <v>2442.0</v>
      </c>
      <c r="Q174" s="30">
        <v>7.0</v>
      </c>
      <c r="R174" s="30">
        <v>2026.0</v>
      </c>
      <c r="S174" s="30">
        <v>0.0</v>
      </c>
      <c r="T174" s="30">
        <v>327.0</v>
      </c>
      <c r="U174" s="30">
        <v>89.0</v>
      </c>
      <c r="V174" s="30">
        <v>88.0</v>
      </c>
      <c r="W174" s="30">
        <v>8.0</v>
      </c>
      <c r="X174" s="30">
        <v>5.0</v>
      </c>
      <c r="Y174" s="30">
        <v>2.0</v>
      </c>
      <c r="Z174" s="28">
        <v>1050.0</v>
      </c>
    </row>
    <row r="175" ht="14.25" customHeight="1">
      <c r="A175" s="27">
        <v>44061.0</v>
      </c>
      <c r="B175" s="28">
        <v>128.0</v>
      </c>
      <c r="C175" s="28">
        <v>106.0</v>
      </c>
      <c r="D175" s="28">
        <v>30069.0</v>
      </c>
      <c r="E175" s="28">
        <v>4904.0</v>
      </c>
      <c r="F175" s="29">
        <v>424687.0</v>
      </c>
      <c r="G175" s="29">
        <v>5032.0</v>
      </c>
      <c r="H175" s="29">
        <v>454756.0</v>
      </c>
      <c r="I175" s="28">
        <v>94.0</v>
      </c>
      <c r="J175" s="28">
        <v>84.0</v>
      </c>
      <c r="K175" s="28">
        <v>20837.0</v>
      </c>
      <c r="L175" s="28">
        <v>2748.0</v>
      </c>
      <c r="M175" s="28">
        <v>224509.0</v>
      </c>
      <c r="N175" s="28">
        <v>245346.0</v>
      </c>
      <c r="O175" s="28">
        <v>11.0</v>
      </c>
      <c r="P175" s="30">
        <v>2453.0</v>
      </c>
      <c r="Q175" s="30">
        <v>9.0</v>
      </c>
      <c r="R175" s="30">
        <v>2035.0</v>
      </c>
      <c r="S175" s="30">
        <v>1.0</v>
      </c>
      <c r="T175" s="30">
        <v>328.0</v>
      </c>
      <c r="U175" s="30">
        <v>90.0</v>
      </c>
      <c r="V175" s="30">
        <v>88.0</v>
      </c>
      <c r="W175" s="30">
        <v>8.0</v>
      </c>
      <c r="X175" s="30">
        <v>4.0</v>
      </c>
      <c r="Y175" s="30">
        <v>5.0</v>
      </c>
      <c r="Z175" s="28">
        <v>1055.0</v>
      </c>
    </row>
    <row r="176" ht="14.25" customHeight="1">
      <c r="A176" s="27">
        <v>44062.0</v>
      </c>
      <c r="B176" s="28">
        <v>113.0</v>
      </c>
      <c r="C176" s="28">
        <v>116.0</v>
      </c>
      <c r="D176" s="28">
        <v>30182.0</v>
      </c>
      <c r="E176" s="28">
        <v>5065.0</v>
      </c>
      <c r="F176" s="29">
        <v>429752.0</v>
      </c>
      <c r="G176" s="29">
        <v>5178.0</v>
      </c>
      <c r="H176" s="29">
        <v>459934.0</v>
      </c>
      <c r="I176" s="28">
        <v>90.0</v>
      </c>
      <c r="J176" s="28">
        <v>91.0</v>
      </c>
      <c r="K176" s="28">
        <v>20927.0</v>
      </c>
      <c r="L176" s="28">
        <v>2641.0</v>
      </c>
      <c r="M176" s="28">
        <v>227150.0</v>
      </c>
      <c r="N176" s="28">
        <v>248077.0</v>
      </c>
      <c r="O176" s="28">
        <v>8.0</v>
      </c>
      <c r="P176" s="30">
        <v>2461.0</v>
      </c>
      <c r="Q176" s="30">
        <v>9.0</v>
      </c>
      <c r="R176" s="30">
        <v>2044.0</v>
      </c>
      <c r="S176" s="30">
        <v>1.0</v>
      </c>
      <c r="T176" s="30">
        <v>329.0</v>
      </c>
      <c r="U176" s="30">
        <v>88.0</v>
      </c>
      <c r="V176" s="30">
        <v>89.0</v>
      </c>
      <c r="W176" s="30">
        <v>9.0</v>
      </c>
      <c r="X176" s="30">
        <v>5.0</v>
      </c>
      <c r="Y176" s="30">
        <v>0.0</v>
      </c>
      <c r="Z176" s="28">
        <v>1055.0</v>
      </c>
    </row>
    <row r="177" ht="14.25" customHeight="1">
      <c r="A177" s="27">
        <v>44063.0</v>
      </c>
      <c r="B177" s="28">
        <v>173.0</v>
      </c>
      <c r="C177" s="28">
        <v>138.0</v>
      </c>
      <c r="D177" s="28">
        <v>30355.0</v>
      </c>
      <c r="E177" s="28">
        <v>7405.0</v>
      </c>
      <c r="F177" s="29">
        <v>437157.0</v>
      </c>
      <c r="G177" s="29">
        <v>7578.0</v>
      </c>
      <c r="H177" s="29">
        <v>467512.0</v>
      </c>
      <c r="I177" s="28">
        <v>139.0</v>
      </c>
      <c r="J177" s="28">
        <v>108.0</v>
      </c>
      <c r="K177" s="28">
        <v>21066.0</v>
      </c>
      <c r="L177" s="28">
        <v>3515.0</v>
      </c>
      <c r="M177" s="28">
        <v>230665.0</v>
      </c>
      <c r="N177" s="28">
        <v>251731.0</v>
      </c>
      <c r="O177" s="28">
        <v>12.0</v>
      </c>
      <c r="P177" s="30">
        <v>2473.0</v>
      </c>
      <c r="Q177" s="30">
        <v>6.0</v>
      </c>
      <c r="R177" s="30">
        <v>2050.0</v>
      </c>
      <c r="S177" s="30">
        <v>2.0</v>
      </c>
      <c r="T177" s="30">
        <v>331.0</v>
      </c>
      <c r="U177" s="30">
        <v>92.0</v>
      </c>
      <c r="V177" s="30">
        <v>90.0</v>
      </c>
      <c r="W177" s="30">
        <v>10.0</v>
      </c>
      <c r="X177" s="30">
        <v>5.0</v>
      </c>
      <c r="Y177" s="30">
        <v>3.0</v>
      </c>
      <c r="Z177" s="28">
        <v>1058.0</v>
      </c>
    </row>
    <row r="178" ht="14.25" customHeight="1">
      <c r="A178" s="27">
        <v>44064.0</v>
      </c>
      <c r="B178" s="28">
        <v>151.0</v>
      </c>
      <c r="C178" s="28">
        <v>146.0</v>
      </c>
      <c r="D178" s="28">
        <v>30506.0</v>
      </c>
      <c r="E178" s="28">
        <v>6571.0</v>
      </c>
      <c r="F178" s="29">
        <v>443728.0</v>
      </c>
      <c r="G178" s="29">
        <v>6722.0</v>
      </c>
      <c r="H178" s="29">
        <v>474234.0</v>
      </c>
      <c r="I178" s="28">
        <v>125.0</v>
      </c>
      <c r="J178" s="28">
        <v>118.0</v>
      </c>
      <c r="K178" s="28">
        <v>21191.0</v>
      </c>
      <c r="L178" s="28">
        <v>2945.0</v>
      </c>
      <c r="M178" s="28">
        <v>233610.0</v>
      </c>
      <c r="N178" s="28">
        <v>254801.0</v>
      </c>
      <c r="O178" s="28">
        <v>8.0</v>
      </c>
      <c r="P178" s="30">
        <v>2481.0</v>
      </c>
      <c r="Q178" s="30">
        <v>5.0</v>
      </c>
      <c r="R178" s="30">
        <v>2055.0</v>
      </c>
      <c r="S178" s="30">
        <v>1.0</v>
      </c>
      <c r="T178" s="30">
        <v>332.0</v>
      </c>
      <c r="U178" s="30">
        <v>94.0</v>
      </c>
      <c r="V178" s="30">
        <v>91.0</v>
      </c>
      <c r="W178" s="30">
        <v>9.0</v>
      </c>
      <c r="X178" s="30">
        <v>4.0</v>
      </c>
      <c r="Y178" s="30">
        <v>2.0</v>
      </c>
      <c r="Z178" s="28">
        <v>1060.0</v>
      </c>
    </row>
    <row r="179" ht="14.25" customHeight="1">
      <c r="A179" s="27">
        <v>44065.0</v>
      </c>
      <c r="B179" s="28">
        <v>96.0</v>
      </c>
      <c r="C179" s="28">
        <v>140.0</v>
      </c>
      <c r="D179" s="28">
        <v>30602.0</v>
      </c>
      <c r="E179" s="28">
        <v>5547.0</v>
      </c>
      <c r="F179" s="29">
        <v>449275.0</v>
      </c>
      <c r="G179" s="29">
        <v>5643.0</v>
      </c>
      <c r="H179" s="29">
        <v>479877.0</v>
      </c>
      <c r="I179" s="28">
        <v>84.0</v>
      </c>
      <c r="J179" s="28">
        <v>116.0</v>
      </c>
      <c r="K179" s="28">
        <v>21275.0</v>
      </c>
      <c r="L179" s="28">
        <v>2605.0</v>
      </c>
      <c r="M179" s="28">
        <v>236215.0</v>
      </c>
      <c r="N179" s="28">
        <v>257490.0</v>
      </c>
      <c r="O179" s="28">
        <v>10.0</v>
      </c>
      <c r="P179" s="30">
        <v>2491.0</v>
      </c>
      <c r="Q179" s="30">
        <v>12.0</v>
      </c>
      <c r="R179" s="30">
        <v>2067.0</v>
      </c>
      <c r="S179" s="30">
        <v>0.0</v>
      </c>
      <c r="T179" s="30">
        <v>332.0</v>
      </c>
      <c r="U179" s="30">
        <v>92.0</v>
      </c>
      <c r="V179" s="30">
        <v>93.0</v>
      </c>
      <c r="W179" s="30">
        <v>11.0</v>
      </c>
      <c r="X179" s="30">
        <v>4.0</v>
      </c>
      <c r="Y179" s="30">
        <v>1.0</v>
      </c>
      <c r="Z179" s="28">
        <v>1061.0</v>
      </c>
    </row>
    <row r="180" ht="14.25" customHeight="1">
      <c r="A180" s="27">
        <v>44066.0</v>
      </c>
      <c r="B180" s="28">
        <v>70.0</v>
      </c>
      <c r="C180" s="28">
        <v>106.0</v>
      </c>
      <c r="D180" s="28">
        <v>30672.0</v>
      </c>
      <c r="E180" s="28">
        <v>4370.0</v>
      </c>
      <c r="F180" s="29">
        <v>453645.0</v>
      </c>
      <c r="G180" s="29">
        <v>4440.0</v>
      </c>
      <c r="H180" s="29">
        <v>484317.0</v>
      </c>
      <c r="I180" s="28">
        <v>56.0</v>
      </c>
      <c r="J180" s="28">
        <v>88.0</v>
      </c>
      <c r="K180" s="28">
        <v>21331.0</v>
      </c>
      <c r="L180" s="28">
        <v>2470.0</v>
      </c>
      <c r="M180" s="28">
        <v>238685.0</v>
      </c>
      <c r="N180" s="28">
        <v>260016.0</v>
      </c>
      <c r="O180" s="28">
        <v>11.0</v>
      </c>
      <c r="P180" s="30">
        <v>2502.0</v>
      </c>
      <c r="Q180" s="30">
        <v>6.0</v>
      </c>
      <c r="R180" s="30">
        <v>2073.0</v>
      </c>
      <c r="S180" s="30">
        <v>0.0</v>
      </c>
      <c r="T180" s="30">
        <v>332.0</v>
      </c>
      <c r="U180" s="30">
        <v>97.0</v>
      </c>
      <c r="V180" s="30">
        <v>94.0</v>
      </c>
      <c r="W180" s="30">
        <v>11.0</v>
      </c>
      <c r="X180" s="30">
        <v>2.0</v>
      </c>
      <c r="Y180" s="30">
        <v>1.0</v>
      </c>
      <c r="Z180" s="28">
        <v>1062.0</v>
      </c>
    </row>
    <row r="181" ht="14.25" customHeight="1">
      <c r="A181" s="27">
        <v>44067.0</v>
      </c>
      <c r="B181" s="28">
        <v>105.0</v>
      </c>
      <c r="C181" s="28">
        <v>90.0</v>
      </c>
      <c r="D181" s="28">
        <v>30777.0</v>
      </c>
      <c r="E181" s="28">
        <v>5776.0</v>
      </c>
      <c r="F181" s="29">
        <v>459421.0</v>
      </c>
      <c r="G181" s="29">
        <v>5881.0</v>
      </c>
      <c r="H181" s="29">
        <v>490198.0</v>
      </c>
      <c r="I181" s="28">
        <v>77.0</v>
      </c>
      <c r="J181" s="28">
        <v>72.0</v>
      </c>
      <c r="K181" s="28">
        <v>21408.0</v>
      </c>
      <c r="L181" s="28">
        <v>3152.0</v>
      </c>
      <c r="M181" s="28">
        <v>241837.0</v>
      </c>
      <c r="N181" s="28">
        <v>263245.0</v>
      </c>
      <c r="O181" s="28">
        <v>7.0</v>
      </c>
      <c r="P181" s="30">
        <v>2509.0</v>
      </c>
      <c r="Q181" s="30">
        <v>10.0</v>
      </c>
      <c r="R181" s="30">
        <v>2083.0</v>
      </c>
      <c r="S181" s="30">
        <v>1.0</v>
      </c>
      <c r="T181" s="30">
        <v>333.0</v>
      </c>
      <c r="U181" s="30">
        <v>93.0</v>
      </c>
      <c r="V181" s="30">
        <v>94.0</v>
      </c>
      <c r="W181" s="30">
        <v>13.0</v>
      </c>
      <c r="X181" s="30">
        <v>4.0</v>
      </c>
      <c r="Y181" s="30">
        <v>1.0</v>
      </c>
      <c r="Z181" s="28">
        <v>1063.0</v>
      </c>
    </row>
    <row r="182" ht="14.25" customHeight="1">
      <c r="A182" s="27">
        <v>44068.0</v>
      </c>
      <c r="B182" s="28">
        <v>108.0</v>
      </c>
      <c r="C182" s="28">
        <v>94.0</v>
      </c>
      <c r="D182" s="28">
        <v>30885.0</v>
      </c>
      <c r="E182" s="28">
        <v>4759.0</v>
      </c>
      <c r="F182" s="29">
        <v>464180.0</v>
      </c>
      <c r="G182" s="29">
        <v>4867.0</v>
      </c>
      <c r="H182" s="29">
        <v>495065.0</v>
      </c>
      <c r="I182" s="28">
        <v>92.0</v>
      </c>
      <c r="J182" s="28">
        <v>75.0</v>
      </c>
      <c r="K182" s="28">
        <v>21500.0</v>
      </c>
      <c r="L182" s="28">
        <v>2290.0</v>
      </c>
      <c r="M182" s="28">
        <v>244127.0</v>
      </c>
      <c r="N182" s="28">
        <v>265627.0</v>
      </c>
      <c r="O182" s="28">
        <v>10.0</v>
      </c>
      <c r="P182" s="30">
        <v>2519.0</v>
      </c>
      <c r="Q182" s="30">
        <v>4.0</v>
      </c>
      <c r="R182" s="30">
        <v>2087.0</v>
      </c>
      <c r="S182" s="30">
        <v>1.0</v>
      </c>
      <c r="T182" s="30">
        <v>334.0</v>
      </c>
      <c r="U182" s="30">
        <v>98.0</v>
      </c>
      <c r="V182" s="30">
        <v>96.0</v>
      </c>
      <c r="W182" s="30">
        <v>11.0</v>
      </c>
      <c r="X182" s="30">
        <v>4.0</v>
      </c>
      <c r="Y182" s="30">
        <v>1.0</v>
      </c>
      <c r="Z182" s="28">
        <v>1064.0</v>
      </c>
    </row>
    <row r="183" ht="14.25" customHeight="1">
      <c r="A183" s="27">
        <v>44069.0</v>
      </c>
      <c r="B183" s="28">
        <v>170.0</v>
      </c>
      <c r="C183" s="28">
        <v>128.0</v>
      </c>
      <c r="D183" s="28">
        <v>31055.0</v>
      </c>
      <c r="E183" s="28">
        <v>9477.0</v>
      </c>
      <c r="F183" s="29">
        <v>473657.0</v>
      </c>
      <c r="G183" s="29">
        <v>9647.0</v>
      </c>
      <c r="H183" s="29">
        <v>504712.0</v>
      </c>
      <c r="I183" s="28">
        <v>127.0</v>
      </c>
      <c r="J183" s="28">
        <v>99.0</v>
      </c>
      <c r="K183" s="28">
        <v>21627.0</v>
      </c>
      <c r="L183" s="28">
        <v>3085.0</v>
      </c>
      <c r="M183" s="28">
        <v>247212.0</v>
      </c>
      <c r="N183" s="28">
        <v>268839.0</v>
      </c>
      <c r="O183" s="28">
        <v>4.0</v>
      </c>
      <c r="P183" s="30">
        <v>2523.0</v>
      </c>
      <c r="Q183" s="30">
        <v>8.0</v>
      </c>
      <c r="R183" s="30">
        <v>2095.0</v>
      </c>
      <c r="S183" s="30">
        <v>0.0</v>
      </c>
      <c r="T183" s="30">
        <v>334.0</v>
      </c>
      <c r="U183" s="30">
        <v>94.0</v>
      </c>
      <c r="V183" s="30">
        <v>95.0</v>
      </c>
      <c r="W183" s="30">
        <v>9.0</v>
      </c>
      <c r="X183" s="30">
        <v>5.0</v>
      </c>
      <c r="Y183" s="30">
        <v>1.0</v>
      </c>
      <c r="Z183" s="28">
        <v>1065.0</v>
      </c>
    </row>
    <row r="184" ht="14.25" customHeight="1">
      <c r="A184" s="27">
        <v>44070.0</v>
      </c>
      <c r="B184" s="28">
        <v>92.0</v>
      </c>
      <c r="C184" s="28">
        <v>123.0</v>
      </c>
      <c r="D184" s="28">
        <v>31147.0</v>
      </c>
      <c r="E184" s="28">
        <v>8564.0</v>
      </c>
      <c r="F184" s="29">
        <v>482221.0</v>
      </c>
      <c r="G184" s="29">
        <v>8656.0</v>
      </c>
      <c r="H184" s="29">
        <v>513368.0</v>
      </c>
      <c r="I184" s="28">
        <v>70.0</v>
      </c>
      <c r="J184" s="28">
        <v>96.0</v>
      </c>
      <c r="K184" s="28">
        <v>21697.0</v>
      </c>
      <c r="L184" s="28">
        <v>3165.0</v>
      </c>
      <c r="M184" s="28">
        <v>250377.0</v>
      </c>
      <c r="N184" s="28">
        <v>272074.0</v>
      </c>
      <c r="O184" s="28">
        <v>6.0</v>
      </c>
      <c r="P184" s="30">
        <v>2529.0</v>
      </c>
      <c r="Q184" s="30">
        <v>13.0</v>
      </c>
      <c r="R184" s="30">
        <v>2108.0</v>
      </c>
      <c r="S184" s="30">
        <v>1.0</v>
      </c>
      <c r="T184" s="30">
        <v>335.0</v>
      </c>
      <c r="U184" s="30">
        <v>86.0</v>
      </c>
      <c r="V184" s="30">
        <v>93.0</v>
      </c>
      <c r="W184" s="30">
        <v>6.0</v>
      </c>
      <c r="X184" s="30">
        <v>5.0</v>
      </c>
      <c r="Y184" s="30">
        <v>2.0</v>
      </c>
      <c r="Z184" s="28">
        <v>1067.0</v>
      </c>
    </row>
    <row r="185" ht="14.25" customHeight="1">
      <c r="A185" s="27">
        <v>44071.0</v>
      </c>
      <c r="B185" s="28">
        <v>112.0</v>
      </c>
      <c r="C185" s="28">
        <v>125.0</v>
      </c>
      <c r="D185" s="28">
        <v>31259.0</v>
      </c>
      <c r="E185" s="28">
        <v>7991.0</v>
      </c>
      <c r="F185" s="29">
        <v>490212.0</v>
      </c>
      <c r="G185" s="29">
        <v>8103.0</v>
      </c>
      <c r="H185" s="29">
        <v>521471.0</v>
      </c>
      <c r="I185" s="28">
        <v>87.0</v>
      </c>
      <c r="J185" s="28">
        <v>95.0</v>
      </c>
      <c r="K185" s="28">
        <v>21784.0</v>
      </c>
      <c r="L185" s="28">
        <v>2434.0</v>
      </c>
      <c r="M185" s="28">
        <v>252811.0</v>
      </c>
      <c r="N185" s="28">
        <v>274595.0</v>
      </c>
      <c r="O185" s="28">
        <v>14.0</v>
      </c>
      <c r="P185" s="30">
        <v>2543.0</v>
      </c>
      <c r="Q185" s="30">
        <v>4.0</v>
      </c>
      <c r="R185" s="30">
        <v>2112.0</v>
      </c>
      <c r="S185" s="30">
        <v>0.0</v>
      </c>
      <c r="T185" s="30">
        <v>335.0</v>
      </c>
      <c r="U185" s="30">
        <v>96.0</v>
      </c>
      <c r="V185" s="30">
        <v>92.0</v>
      </c>
      <c r="W185" s="30">
        <v>9.0</v>
      </c>
      <c r="X185" s="30">
        <v>7.0</v>
      </c>
      <c r="Y185" s="30">
        <v>2.0</v>
      </c>
      <c r="Z185" s="28">
        <v>1069.0</v>
      </c>
    </row>
    <row r="186" ht="14.25" customHeight="1">
      <c r="A186" s="27">
        <v>44072.0</v>
      </c>
      <c r="B186" s="28">
        <v>65.0</v>
      </c>
      <c r="C186" s="28">
        <v>90.0</v>
      </c>
      <c r="D186" s="28">
        <v>31324.0</v>
      </c>
      <c r="E186" s="28">
        <v>5368.0</v>
      </c>
      <c r="F186" s="29">
        <v>495580.0</v>
      </c>
      <c r="G186" s="29">
        <v>5433.0</v>
      </c>
      <c r="H186" s="29">
        <v>526904.0</v>
      </c>
      <c r="I186" s="28">
        <v>51.0</v>
      </c>
      <c r="J186" s="28">
        <v>69.0</v>
      </c>
      <c r="K186" s="28">
        <v>21835.0</v>
      </c>
      <c r="L186" s="28">
        <v>1912.0</v>
      </c>
      <c r="M186" s="28">
        <v>254723.0</v>
      </c>
      <c r="N186" s="28">
        <v>276558.0</v>
      </c>
      <c r="O186" s="28">
        <v>6.0</v>
      </c>
      <c r="P186" s="30">
        <v>2549.0</v>
      </c>
      <c r="Q186" s="30">
        <v>8.0</v>
      </c>
      <c r="R186" s="30">
        <v>2120.0</v>
      </c>
      <c r="S186" s="30">
        <v>1.0</v>
      </c>
      <c r="T186" s="30">
        <v>336.0</v>
      </c>
      <c r="U186" s="30">
        <v>93.0</v>
      </c>
      <c r="V186" s="30">
        <v>92.0</v>
      </c>
      <c r="W186" s="30">
        <v>10.0</v>
      </c>
      <c r="X186" s="30">
        <v>6.0</v>
      </c>
      <c r="Y186" s="30">
        <v>2.0</v>
      </c>
      <c r="Z186" s="28">
        <v>1071.0</v>
      </c>
    </row>
    <row r="187" ht="14.25" customHeight="1">
      <c r="A187" s="27">
        <v>44073.0</v>
      </c>
      <c r="B187" s="28">
        <v>66.0</v>
      </c>
      <c r="C187" s="28">
        <v>81.0</v>
      </c>
      <c r="D187" s="28">
        <v>31390.0</v>
      </c>
      <c r="E187" s="28">
        <v>4320.0</v>
      </c>
      <c r="F187" s="29">
        <v>499900.0</v>
      </c>
      <c r="G187" s="29">
        <v>4386.0</v>
      </c>
      <c r="H187" s="29">
        <v>531290.0</v>
      </c>
      <c r="I187" s="28">
        <v>48.0</v>
      </c>
      <c r="J187" s="28">
        <v>62.0</v>
      </c>
      <c r="K187" s="28">
        <v>21883.0</v>
      </c>
      <c r="L187" s="28">
        <v>1994.0</v>
      </c>
      <c r="M187" s="28">
        <v>256717.0</v>
      </c>
      <c r="N187" s="28">
        <v>278600.0</v>
      </c>
      <c r="O187" s="28">
        <v>7.0</v>
      </c>
      <c r="P187" s="30">
        <v>2556.0</v>
      </c>
      <c r="Q187" s="30">
        <v>4.0</v>
      </c>
      <c r="R187" s="30">
        <v>2124.0</v>
      </c>
      <c r="S187" s="30">
        <v>0.0</v>
      </c>
      <c r="T187" s="30">
        <v>336.0</v>
      </c>
      <c r="U187" s="30">
        <v>96.0</v>
      </c>
      <c r="V187" s="30">
        <v>95.0</v>
      </c>
      <c r="W187" s="30">
        <v>8.0</v>
      </c>
      <c r="X187" s="30">
        <v>5.0</v>
      </c>
      <c r="Y187" s="30">
        <v>2.0</v>
      </c>
      <c r="Z187" s="28">
        <v>1073.0</v>
      </c>
    </row>
    <row r="188" ht="14.25" customHeight="1">
      <c r="A188" s="27">
        <v>44074.0</v>
      </c>
      <c r="B188" s="28">
        <v>105.0</v>
      </c>
      <c r="C188" s="28">
        <v>79.0</v>
      </c>
      <c r="D188" s="28">
        <v>31495.0</v>
      </c>
      <c r="E188" s="28">
        <v>4863.0</v>
      </c>
      <c r="F188" s="29">
        <v>504763.0</v>
      </c>
      <c r="G188" s="29">
        <v>4968.0</v>
      </c>
      <c r="H188" s="29">
        <v>536258.0</v>
      </c>
      <c r="I188" s="28">
        <v>81.0</v>
      </c>
      <c r="J188" s="28">
        <v>60.0</v>
      </c>
      <c r="K188" s="28">
        <v>21964.0</v>
      </c>
      <c r="L188" s="28">
        <v>2186.0</v>
      </c>
      <c r="M188" s="28">
        <v>258903.0</v>
      </c>
      <c r="N188" s="28">
        <v>280867.0</v>
      </c>
      <c r="O188" s="28">
        <v>12.0</v>
      </c>
      <c r="P188" s="30">
        <v>2568.0</v>
      </c>
      <c r="Q188" s="30">
        <v>15.0</v>
      </c>
      <c r="R188" s="30">
        <v>2139.0</v>
      </c>
      <c r="S188" s="30">
        <v>0.0</v>
      </c>
      <c r="T188" s="30">
        <v>336.0</v>
      </c>
      <c r="U188" s="30">
        <v>93.0</v>
      </c>
      <c r="V188" s="30">
        <v>94.0</v>
      </c>
      <c r="W188" s="30">
        <v>8.0</v>
      </c>
      <c r="X188" s="30">
        <v>4.0</v>
      </c>
      <c r="Y188" s="30">
        <v>1.0</v>
      </c>
      <c r="Z188" s="28">
        <v>1074.0</v>
      </c>
    </row>
    <row r="189" ht="14.25" customHeight="1">
      <c r="A189" s="27">
        <v>44075.0</v>
      </c>
      <c r="B189" s="28">
        <v>98.0</v>
      </c>
      <c r="C189" s="28">
        <v>90.0</v>
      </c>
      <c r="D189" s="28">
        <v>31593.0</v>
      </c>
      <c r="E189" s="28">
        <v>7109.0</v>
      </c>
      <c r="F189" s="29">
        <v>511872.0</v>
      </c>
      <c r="G189" s="29">
        <v>7207.0</v>
      </c>
      <c r="H189" s="29">
        <v>543465.0</v>
      </c>
      <c r="I189" s="28">
        <v>65.0</v>
      </c>
      <c r="J189" s="28">
        <v>65.0</v>
      </c>
      <c r="K189" s="28">
        <v>22029.0</v>
      </c>
      <c r="L189" s="28">
        <v>2379.0</v>
      </c>
      <c r="M189" s="28">
        <v>261282.0</v>
      </c>
      <c r="N189" s="28">
        <v>283311.0</v>
      </c>
      <c r="O189" s="28">
        <v>6.0</v>
      </c>
      <c r="P189" s="30">
        <v>2574.0</v>
      </c>
      <c r="Q189" s="30">
        <v>9.0</v>
      </c>
      <c r="R189" s="30">
        <v>2148.0</v>
      </c>
      <c r="S189" s="30">
        <v>1.0</v>
      </c>
      <c r="T189" s="30">
        <v>337.0</v>
      </c>
      <c r="U189" s="30">
        <v>89.0</v>
      </c>
      <c r="V189" s="30">
        <v>93.0</v>
      </c>
      <c r="W189" s="30">
        <v>7.0</v>
      </c>
      <c r="X189" s="30">
        <v>4.0</v>
      </c>
      <c r="Y189" s="30">
        <v>2.0</v>
      </c>
      <c r="Z189" s="28">
        <v>1076.0</v>
      </c>
    </row>
    <row r="190" ht="14.25" customHeight="1">
      <c r="A190" s="27">
        <v>44076.0</v>
      </c>
      <c r="B190" s="28">
        <v>125.0</v>
      </c>
      <c r="C190" s="28">
        <v>109.0</v>
      </c>
      <c r="D190" s="28">
        <v>31718.0</v>
      </c>
      <c r="E190" s="28">
        <v>10524.0</v>
      </c>
      <c r="F190" s="29">
        <v>522396.0</v>
      </c>
      <c r="G190" s="29">
        <v>10649.0</v>
      </c>
      <c r="H190" s="29">
        <v>554114.0</v>
      </c>
      <c r="I190" s="28">
        <v>104.0</v>
      </c>
      <c r="J190" s="28">
        <v>83.0</v>
      </c>
      <c r="K190" s="28">
        <v>22133.0</v>
      </c>
      <c r="L190" s="28">
        <v>3056.0</v>
      </c>
      <c r="M190" s="28">
        <v>264338.0</v>
      </c>
      <c r="N190" s="28">
        <v>286471.0</v>
      </c>
      <c r="O190" s="28">
        <v>9.0</v>
      </c>
      <c r="P190" s="30">
        <v>2583.0</v>
      </c>
      <c r="Q190" s="30">
        <v>10.0</v>
      </c>
      <c r="R190" s="30">
        <v>2158.0</v>
      </c>
      <c r="S190" s="30">
        <v>1.0</v>
      </c>
      <c r="T190" s="30">
        <v>338.0</v>
      </c>
      <c r="U190" s="30">
        <v>87.0</v>
      </c>
      <c r="V190" s="30">
        <v>90.0</v>
      </c>
      <c r="W190" s="30">
        <v>8.0</v>
      </c>
      <c r="X190" s="30">
        <v>4.0</v>
      </c>
      <c r="Y190" s="30">
        <v>2.0</v>
      </c>
      <c r="Z190" s="28">
        <v>1078.0</v>
      </c>
    </row>
    <row r="191" ht="14.25" customHeight="1">
      <c r="A191" s="27">
        <v>44077.0</v>
      </c>
      <c r="B191" s="28">
        <v>90.0</v>
      </c>
      <c r="C191" s="28">
        <v>104.0</v>
      </c>
      <c r="D191" s="28">
        <v>31808.0</v>
      </c>
      <c r="E191" s="28">
        <v>11065.0</v>
      </c>
      <c r="F191" s="29">
        <v>533461.0</v>
      </c>
      <c r="G191" s="29">
        <v>11155.0</v>
      </c>
      <c r="H191" s="29">
        <v>565269.0</v>
      </c>
      <c r="I191" s="28">
        <v>73.0</v>
      </c>
      <c r="J191" s="28">
        <v>81.0</v>
      </c>
      <c r="K191" s="28">
        <v>22206.0</v>
      </c>
      <c r="L191" s="28">
        <v>2585.0</v>
      </c>
      <c r="M191" s="28">
        <v>266923.0</v>
      </c>
      <c r="N191" s="28">
        <v>289129.0</v>
      </c>
      <c r="O191" s="28">
        <v>8.0</v>
      </c>
      <c r="P191" s="30">
        <v>2591.0</v>
      </c>
      <c r="Q191" s="30">
        <v>8.0</v>
      </c>
      <c r="R191" s="30">
        <v>2166.0</v>
      </c>
      <c r="S191" s="30">
        <v>0.0</v>
      </c>
      <c r="T191" s="30">
        <v>338.0</v>
      </c>
      <c r="U191" s="30">
        <v>87.0</v>
      </c>
      <c r="V191" s="30">
        <v>88.0</v>
      </c>
      <c r="W191" s="30">
        <v>9.0</v>
      </c>
      <c r="X191" s="30">
        <v>4.0</v>
      </c>
      <c r="Y191" s="30">
        <v>3.0</v>
      </c>
      <c r="Z191" s="28">
        <v>1081.0</v>
      </c>
    </row>
    <row r="192" ht="14.25" customHeight="1">
      <c r="A192" s="27">
        <v>44078.0</v>
      </c>
      <c r="B192" s="28">
        <v>102.0</v>
      </c>
      <c r="C192" s="28">
        <v>106.0</v>
      </c>
      <c r="D192" s="28">
        <v>31910.0</v>
      </c>
      <c r="E192" s="28">
        <v>8953.0</v>
      </c>
      <c r="F192" s="29">
        <v>542414.0</v>
      </c>
      <c r="G192" s="29">
        <v>9055.0</v>
      </c>
      <c r="H192" s="29">
        <v>574324.0</v>
      </c>
      <c r="I192" s="28">
        <v>83.0</v>
      </c>
      <c r="J192" s="28">
        <v>87.0</v>
      </c>
      <c r="K192" s="28">
        <v>22289.0</v>
      </c>
      <c r="L192" s="28">
        <v>2371.0</v>
      </c>
      <c r="M192" s="28">
        <v>269294.0</v>
      </c>
      <c r="N192" s="28">
        <v>291583.0</v>
      </c>
      <c r="O192" s="28">
        <v>11.0</v>
      </c>
      <c r="P192" s="30">
        <v>2602.0</v>
      </c>
      <c r="Q192" s="30">
        <v>4.0</v>
      </c>
      <c r="R192" s="30">
        <v>2170.0</v>
      </c>
      <c r="S192" s="30">
        <v>0.0</v>
      </c>
      <c r="T192" s="30">
        <v>338.0</v>
      </c>
      <c r="U192" s="30">
        <v>94.0</v>
      </c>
      <c r="V192" s="30">
        <v>89.0</v>
      </c>
      <c r="W192" s="30">
        <v>9.0</v>
      </c>
      <c r="X192" s="30">
        <v>4.0</v>
      </c>
      <c r="Y192" s="30">
        <v>1.0</v>
      </c>
      <c r="Z192" s="28">
        <v>1082.0</v>
      </c>
    </row>
    <row r="193" ht="14.25" customHeight="1">
      <c r="A193" s="27">
        <v>44079.0</v>
      </c>
      <c r="B193" s="28">
        <v>52.0</v>
      </c>
      <c r="C193" s="28">
        <v>81.0</v>
      </c>
      <c r="D193" s="28">
        <v>31962.0</v>
      </c>
      <c r="E193" s="28">
        <v>6301.0</v>
      </c>
      <c r="F193" s="29">
        <v>548715.0</v>
      </c>
      <c r="G193" s="29">
        <v>6353.0</v>
      </c>
      <c r="H193" s="29">
        <v>580677.0</v>
      </c>
      <c r="I193" s="28">
        <v>42.0</v>
      </c>
      <c r="J193" s="28">
        <v>66.0</v>
      </c>
      <c r="K193" s="28">
        <v>22331.0</v>
      </c>
      <c r="L193" s="28">
        <v>1602.0</v>
      </c>
      <c r="M193" s="28">
        <v>270896.0</v>
      </c>
      <c r="N193" s="28">
        <v>293227.0</v>
      </c>
      <c r="O193" s="28">
        <v>6.0</v>
      </c>
      <c r="P193" s="30">
        <v>2608.0</v>
      </c>
      <c r="Q193" s="30">
        <v>9.0</v>
      </c>
      <c r="R193" s="30">
        <v>2179.0</v>
      </c>
      <c r="S193" s="30">
        <v>0.0</v>
      </c>
      <c r="T193" s="30">
        <v>338.0</v>
      </c>
      <c r="U193" s="30">
        <v>91.0</v>
      </c>
      <c r="V193" s="30">
        <v>91.0</v>
      </c>
      <c r="W193" s="30">
        <v>8.0</v>
      </c>
      <c r="X193" s="30">
        <v>3.0</v>
      </c>
      <c r="Y193" s="30">
        <v>1.0</v>
      </c>
      <c r="Z193" s="28">
        <v>1083.0</v>
      </c>
    </row>
    <row r="194" ht="14.25" customHeight="1">
      <c r="A194" s="27">
        <v>44080.0</v>
      </c>
      <c r="B194" s="28">
        <v>87.0</v>
      </c>
      <c r="C194" s="28">
        <v>80.0</v>
      </c>
      <c r="D194" s="28">
        <v>32049.0</v>
      </c>
      <c r="E194" s="28">
        <v>4317.0</v>
      </c>
      <c r="F194" s="29">
        <v>553032.0</v>
      </c>
      <c r="G194" s="29">
        <v>4404.0</v>
      </c>
      <c r="H194" s="29">
        <v>585081.0</v>
      </c>
      <c r="I194" s="28">
        <v>64.0</v>
      </c>
      <c r="J194" s="28">
        <v>63.0</v>
      </c>
      <c r="K194" s="28">
        <v>22395.0</v>
      </c>
      <c r="L194" s="28">
        <v>1950.0</v>
      </c>
      <c r="M194" s="28">
        <v>272846.0</v>
      </c>
      <c r="N194" s="28">
        <v>295241.0</v>
      </c>
      <c r="O194" s="28">
        <v>4.0</v>
      </c>
      <c r="P194" s="30">
        <v>2612.0</v>
      </c>
      <c r="Q194" s="30">
        <v>8.0</v>
      </c>
      <c r="R194" s="30">
        <v>2187.0</v>
      </c>
      <c r="S194" s="30">
        <v>1.0</v>
      </c>
      <c r="T194" s="30">
        <v>339.0</v>
      </c>
      <c r="U194" s="30">
        <v>86.0</v>
      </c>
      <c r="V194" s="30">
        <v>90.0</v>
      </c>
      <c r="W194" s="30">
        <v>6.0</v>
      </c>
      <c r="X194" s="30">
        <v>3.0</v>
      </c>
      <c r="Y194" s="30">
        <v>1.0</v>
      </c>
      <c r="Z194" s="28">
        <v>1084.0</v>
      </c>
    </row>
    <row r="195" ht="14.25" customHeight="1">
      <c r="A195" s="27">
        <v>44081.0</v>
      </c>
      <c r="B195" s="28">
        <v>35.0</v>
      </c>
      <c r="C195" s="28">
        <v>58.0</v>
      </c>
      <c r="D195" s="28">
        <v>32084.0</v>
      </c>
      <c r="E195" s="28">
        <v>3001.0</v>
      </c>
      <c r="F195" s="29">
        <v>556033.0</v>
      </c>
      <c r="G195" s="29">
        <v>3036.0</v>
      </c>
      <c r="H195" s="29">
        <v>588117.0</v>
      </c>
      <c r="I195" s="28">
        <v>26.0</v>
      </c>
      <c r="J195" s="28">
        <v>44.0</v>
      </c>
      <c r="K195" s="28">
        <v>22421.0</v>
      </c>
      <c r="L195" s="28">
        <v>646.0</v>
      </c>
      <c r="M195" s="28">
        <v>273492.0</v>
      </c>
      <c r="N195" s="28">
        <v>295913.0</v>
      </c>
      <c r="O195" s="28">
        <v>11.0</v>
      </c>
      <c r="P195" s="30">
        <v>2623.0</v>
      </c>
      <c r="Q195" s="30">
        <v>3.0</v>
      </c>
      <c r="R195" s="30">
        <v>2190.0</v>
      </c>
      <c r="S195" s="30">
        <v>0.0</v>
      </c>
      <c r="T195" s="30">
        <v>339.0</v>
      </c>
      <c r="U195" s="30">
        <v>94.0</v>
      </c>
      <c r="V195" s="30">
        <v>90.0</v>
      </c>
      <c r="W195" s="30">
        <v>5.0</v>
      </c>
      <c r="X195" s="30">
        <v>3.0</v>
      </c>
      <c r="Y195" s="30">
        <v>1.0</v>
      </c>
      <c r="Z195" s="28">
        <v>1085.0</v>
      </c>
    </row>
    <row r="196" ht="14.25" customHeight="1">
      <c r="A196" s="27">
        <v>44082.0</v>
      </c>
      <c r="B196" s="28">
        <v>74.0</v>
      </c>
      <c r="C196" s="28">
        <v>65.0</v>
      </c>
      <c r="D196" s="28">
        <v>32158.0</v>
      </c>
      <c r="E196" s="28">
        <v>6375.0</v>
      </c>
      <c r="F196" s="29">
        <v>562408.0</v>
      </c>
      <c r="G196" s="29">
        <v>6449.0</v>
      </c>
      <c r="H196" s="29">
        <v>594566.0</v>
      </c>
      <c r="I196" s="28">
        <v>66.0</v>
      </c>
      <c r="J196" s="28">
        <v>52.0</v>
      </c>
      <c r="K196" s="28">
        <v>22487.0</v>
      </c>
      <c r="L196" s="28">
        <v>1601.0</v>
      </c>
      <c r="M196" s="28">
        <v>275093.0</v>
      </c>
      <c r="N196" s="28">
        <v>297580.0</v>
      </c>
      <c r="O196" s="28">
        <v>6.0</v>
      </c>
      <c r="P196" s="30">
        <v>2629.0</v>
      </c>
      <c r="Q196" s="30">
        <v>12.0</v>
      </c>
      <c r="R196" s="30">
        <v>2202.0</v>
      </c>
      <c r="S196" s="30">
        <v>1.0</v>
      </c>
      <c r="T196" s="30">
        <v>340.0</v>
      </c>
      <c r="U196" s="30">
        <v>87.0</v>
      </c>
      <c r="V196" s="30">
        <v>89.0</v>
      </c>
      <c r="W196" s="30">
        <v>6.0</v>
      </c>
      <c r="X196" s="30">
        <v>3.0</v>
      </c>
      <c r="Y196" s="30">
        <v>2.0</v>
      </c>
      <c r="Z196" s="28">
        <v>1087.0</v>
      </c>
    </row>
    <row r="197" ht="14.25" customHeight="1">
      <c r="A197" s="27">
        <v>44083.0</v>
      </c>
      <c r="B197" s="28">
        <v>118.0</v>
      </c>
      <c r="C197" s="28">
        <v>76.0</v>
      </c>
      <c r="D197" s="28">
        <v>32276.0</v>
      </c>
      <c r="E197" s="28">
        <v>8641.0</v>
      </c>
      <c r="F197" s="29">
        <v>571049.0</v>
      </c>
      <c r="G197" s="29">
        <v>8759.0</v>
      </c>
      <c r="H197" s="29">
        <v>603325.0</v>
      </c>
      <c r="I197" s="28">
        <v>102.0</v>
      </c>
      <c r="J197" s="28">
        <v>65.0</v>
      </c>
      <c r="K197" s="28">
        <v>22589.0</v>
      </c>
      <c r="L197" s="28">
        <v>2146.0</v>
      </c>
      <c r="M197" s="28">
        <v>277239.0</v>
      </c>
      <c r="N197" s="28">
        <v>299828.0</v>
      </c>
      <c r="O197" s="28">
        <v>9.0</v>
      </c>
      <c r="P197" s="30">
        <v>2638.0</v>
      </c>
      <c r="Q197" s="30">
        <v>5.0</v>
      </c>
      <c r="R197" s="30">
        <v>2207.0</v>
      </c>
      <c r="S197" s="30">
        <v>1.0</v>
      </c>
      <c r="T197" s="30">
        <v>341.0</v>
      </c>
      <c r="U197" s="30">
        <v>90.0</v>
      </c>
      <c r="V197" s="30">
        <v>90.0</v>
      </c>
      <c r="W197" s="30">
        <v>9.0</v>
      </c>
      <c r="X197" s="30">
        <v>3.0</v>
      </c>
      <c r="Y197" s="30">
        <v>1.0</v>
      </c>
      <c r="Z197" s="28">
        <v>1088.0</v>
      </c>
    </row>
    <row r="198" ht="14.25" customHeight="1">
      <c r="A198" s="27">
        <v>44084.0</v>
      </c>
      <c r="B198" s="28">
        <v>164.0</v>
      </c>
      <c r="C198" s="28">
        <v>119.0</v>
      </c>
      <c r="D198" s="28">
        <v>32440.0</v>
      </c>
      <c r="E198" s="28">
        <v>11327.0</v>
      </c>
      <c r="F198" s="29">
        <v>582376.0</v>
      </c>
      <c r="G198" s="29">
        <v>11491.0</v>
      </c>
      <c r="H198" s="29">
        <v>614816.0</v>
      </c>
      <c r="I198" s="28">
        <v>111.0</v>
      </c>
      <c r="J198" s="28">
        <v>93.0</v>
      </c>
      <c r="K198" s="28">
        <v>22700.0</v>
      </c>
      <c r="L198" s="28">
        <v>2275.0</v>
      </c>
      <c r="M198" s="28">
        <v>279514.0</v>
      </c>
      <c r="N198" s="28">
        <v>302214.0</v>
      </c>
      <c r="O198" s="28">
        <v>9.0</v>
      </c>
      <c r="P198" s="30">
        <v>2647.0</v>
      </c>
      <c r="Q198" s="30">
        <v>8.0</v>
      </c>
      <c r="R198" s="30">
        <v>2215.0</v>
      </c>
      <c r="S198" s="30">
        <v>0.0</v>
      </c>
      <c r="T198" s="30">
        <v>341.0</v>
      </c>
      <c r="U198" s="30">
        <v>91.0</v>
      </c>
      <c r="V198" s="30">
        <v>89.0</v>
      </c>
      <c r="W198" s="30">
        <v>10.0</v>
      </c>
      <c r="X198" s="30">
        <v>3.0</v>
      </c>
      <c r="Y198" s="30">
        <v>1.0</v>
      </c>
      <c r="Z198" s="28">
        <v>1089.0</v>
      </c>
    </row>
    <row r="199" ht="14.25" customHeight="1">
      <c r="A199" s="27">
        <v>44085.0</v>
      </c>
      <c r="B199" s="28">
        <v>121.0</v>
      </c>
      <c r="C199" s="28">
        <v>134.0</v>
      </c>
      <c r="D199" s="28">
        <v>32561.0</v>
      </c>
      <c r="E199" s="28">
        <v>9449.0</v>
      </c>
      <c r="F199" s="29">
        <v>591825.0</v>
      </c>
      <c r="G199" s="29">
        <v>9570.0</v>
      </c>
      <c r="H199" s="29">
        <v>624386.0</v>
      </c>
      <c r="I199" s="28">
        <v>98.0</v>
      </c>
      <c r="J199" s="28">
        <v>104.0</v>
      </c>
      <c r="K199" s="28">
        <v>22798.0</v>
      </c>
      <c r="L199" s="28">
        <v>1972.0</v>
      </c>
      <c r="M199" s="28">
        <v>281486.0</v>
      </c>
      <c r="N199" s="28">
        <v>304284.0</v>
      </c>
      <c r="O199" s="28">
        <v>11.0</v>
      </c>
      <c r="P199" s="30">
        <v>2658.0</v>
      </c>
      <c r="Q199" s="30">
        <v>11.0</v>
      </c>
      <c r="R199" s="30">
        <v>2226.0</v>
      </c>
      <c r="S199" s="30">
        <v>0.0</v>
      </c>
      <c r="T199" s="30">
        <v>341.0</v>
      </c>
      <c r="U199" s="30">
        <v>91.0</v>
      </c>
      <c r="V199" s="30">
        <v>91.0</v>
      </c>
      <c r="W199" s="30">
        <v>10.0</v>
      </c>
      <c r="X199" s="30">
        <v>5.0</v>
      </c>
      <c r="Y199" s="30">
        <v>0.0</v>
      </c>
      <c r="Z199" s="28">
        <v>1089.0</v>
      </c>
    </row>
    <row r="200" ht="14.25" customHeight="1">
      <c r="A200" s="27">
        <v>44086.0</v>
      </c>
      <c r="B200" s="28">
        <v>109.0</v>
      </c>
      <c r="C200" s="28">
        <v>131.0</v>
      </c>
      <c r="D200" s="28">
        <v>32670.0</v>
      </c>
      <c r="E200" s="28">
        <v>6144.0</v>
      </c>
      <c r="F200" s="29">
        <v>597969.0</v>
      </c>
      <c r="G200" s="29">
        <v>6253.0</v>
      </c>
      <c r="H200" s="29">
        <v>630639.0</v>
      </c>
      <c r="I200" s="28">
        <v>97.0</v>
      </c>
      <c r="J200" s="28">
        <v>102.0</v>
      </c>
      <c r="K200" s="28">
        <v>22895.0</v>
      </c>
      <c r="L200" s="28">
        <v>1507.0</v>
      </c>
      <c r="M200" s="28">
        <v>282993.0</v>
      </c>
      <c r="N200" s="28">
        <v>305888.0</v>
      </c>
      <c r="O200" s="28">
        <v>8.0</v>
      </c>
      <c r="P200" s="30">
        <v>2666.0</v>
      </c>
      <c r="Q200" s="30">
        <v>5.0</v>
      </c>
      <c r="R200" s="30">
        <v>2231.0</v>
      </c>
      <c r="S200" s="30">
        <v>2.0</v>
      </c>
      <c r="T200" s="30">
        <v>343.0</v>
      </c>
      <c r="U200" s="30">
        <v>92.0</v>
      </c>
      <c r="V200" s="30">
        <v>91.0</v>
      </c>
      <c r="W200" s="30">
        <v>9.0</v>
      </c>
      <c r="X200" s="30">
        <v>5.0</v>
      </c>
      <c r="Y200" s="30">
        <v>3.0</v>
      </c>
      <c r="Z200" s="28">
        <v>1092.0</v>
      </c>
    </row>
    <row r="201" ht="14.25" customHeight="1">
      <c r="A201" s="27">
        <v>44087.0</v>
      </c>
      <c r="B201" s="28">
        <v>58.0</v>
      </c>
      <c r="C201" s="28">
        <v>96.0</v>
      </c>
      <c r="D201" s="28">
        <v>32728.0</v>
      </c>
      <c r="E201" s="28">
        <v>2710.0</v>
      </c>
      <c r="F201" s="29">
        <v>600679.0</v>
      </c>
      <c r="G201" s="29">
        <v>2768.0</v>
      </c>
      <c r="H201" s="29">
        <v>633407.0</v>
      </c>
      <c r="I201" s="28">
        <v>54.0</v>
      </c>
      <c r="J201" s="28">
        <v>83.0</v>
      </c>
      <c r="K201" s="28">
        <v>22949.0</v>
      </c>
      <c r="L201" s="28">
        <v>859.0</v>
      </c>
      <c r="M201" s="28">
        <v>283852.0</v>
      </c>
      <c r="N201" s="28">
        <v>306801.0</v>
      </c>
      <c r="O201" s="28">
        <v>4.0</v>
      </c>
      <c r="P201" s="30">
        <v>2670.0</v>
      </c>
      <c r="Q201" s="30">
        <v>3.0</v>
      </c>
      <c r="R201" s="30">
        <v>2234.0</v>
      </c>
      <c r="S201" s="30">
        <v>0.0</v>
      </c>
      <c r="T201" s="30">
        <v>343.0</v>
      </c>
      <c r="U201" s="30">
        <v>93.0</v>
      </c>
      <c r="V201" s="30">
        <v>92.0</v>
      </c>
      <c r="W201" s="30">
        <v>10.0</v>
      </c>
      <c r="X201" s="30">
        <v>5.0</v>
      </c>
      <c r="Y201" s="30">
        <v>0.0</v>
      </c>
      <c r="Z201" s="28">
        <v>1092.0</v>
      </c>
    </row>
    <row r="202" ht="14.25" customHeight="1">
      <c r="A202" s="27">
        <v>44088.0</v>
      </c>
      <c r="B202" s="28">
        <v>104.0</v>
      </c>
      <c r="C202" s="28">
        <v>90.0</v>
      </c>
      <c r="D202" s="28">
        <v>32832.0</v>
      </c>
      <c r="E202" s="28">
        <v>6421.0</v>
      </c>
      <c r="F202" s="29">
        <v>607100.0</v>
      </c>
      <c r="G202" s="29">
        <v>6525.0</v>
      </c>
      <c r="H202" s="29">
        <v>639932.0</v>
      </c>
      <c r="I202" s="28">
        <v>95.0</v>
      </c>
      <c r="J202" s="28">
        <v>82.0</v>
      </c>
      <c r="K202" s="28">
        <v>23044.0</v>
      </c>
      <c r="L202" s="28">
        <v>1725.0</v>
      </c>
      <c r="M202" s="28">
        <v>285577.0</v>
      </c>
      <c r="N202" s="28">
        <v>308621.0</v>
      </c>
      <c r="O202" s="28">
        <v>5.0</v>
      </c>
      <c r="P202" s="30">
        <v>2675.0</v>
      </c>
      <c r="Q202" s="30">
        <v>3.0</v>
      </c>
      <c r="R202" s="30">
        <v>2237.0</v>
      </c>
      <c r="S202" s="30">
        <v>2.0</v>
      </c>
      <c r="T202" s="30">
        <v>345.0</v>
      </c>
      <c r="U202" s="30">
        <v>93.0</v>
      </c>
      <c r="V202" s="30">
        <v>93.0</v>
      </c>
      <c r="W202" s="30">
        <v>10.0</v>
      </c>
      <c r="X202" s="30">
        <v>5.0</v>
      </c>
      <c r="Y202" s="30">
        <v>1.0</v>
      </c>
      <c r="Z202" s="28">
        <v>1093.0</v>
      </c>
    </row>
    <row r="203" ht="14.25" customHeight="1">
      <c r="A203" s="27">
        <v>44089.0</v>
      </c>
      <c r="B203" s="28">
        <v>122.0</v>
      </c>
      <c r="C203" s="28">
        <v>95.0</v>
      </c>
      <c r="D203" s="28">
        <v>32954.0</v>
      </c>
      <c r="E203" s="28">
        <v>8449.0</v>
      </c>
      <c r="F203" s="29">
        <v>615549.0</v>
      </c>
      <c r="G203" s="29">
        <v>8571.0</v>
      </c>
      <c r="H203" s="29">
        <v>648503.0</v>
      </c>
      <c r="I203" s="28">
        <v>124.0</v>
      </c>
      <c r="J203" s="28">
        <v>91.0</v>
      </c>
      <c r="K203" s="28">
        <v>23168.0</v>
      </c>
      <c r="L203" s="28">
        <v>2191.0</v>
      </c>
      <c r="M203" s="28">
        <v>287768.0</v>
      </c>
      <c r="N203" s="28">
        <v>310936.0</v>
      </c>
      <c r="O203" s="28">
        <v>7.0</v>
      </c>
      <c r="P203" s="30">
        <v>2682.0</v>
      </c>
      <c r="Q203" s="30">
        <v>2.0</v>
      </c>
      <c r="R203" s="30">
        <v>2239.0</v>
      </c>
      <c r="S203" s="30">
        <v>1.0</v>
      </c>
      <c r="T203" s="30">
        <v>346.0</v>
      </c>
      <c r="U203" s="30">
        <v>97.0</v>
      </c>
      <c r="V203" s="30">
        <v>94.0</v>
      </c>
      <c r="W203" s="30">
        <v>10.0</v>
      </c>
      <c r="X203" s="30">
        <v>5.0</v>
      </c>
      <c r="Y203" s="30">
        <v>2.0</v>
      </c>
      <c r="Z203" s="28">
        <v>1095.0</v>
      </c>
    </row>
    <row r="204" ht="14.25" customHeight="1">
      <c r="A204" s="27">
        <v>44090.0</v>
      </c>
      <c r="B204" s="28">
        <v>137.0</v>
      </c>
      <c r="C204" s="28">
        <v>121.0</v>
      </c>
      <c r="D204" s="28">
        <v>33091.0</v>
      </c>
      <c r="E204" s="28">
        <v>9701.0</v>
      </c>
      <c r="F204" s="29">
        <v>625250.0</v>
      </c>
      <c r="G204" s="29">
        <v>9838.0</v>
      </c>
      <c r="H204" s="29">
        <v>658341.0</v>
      </c>
      <c r="I204" s="28">
        <v>118.0</v>
      </c>
      <c r="J204" s="28">
        <v>112.0</v>
      </c>
      <c r="K204" s="28">
        <v>23286.0</v>
      </c>
      <c r="L204" s="28">
        <v>1970.0</v>
      </c>
      <c r="M204" s="28">
        <v>289738.0</v>
      </c>
      <c r="N204" s="28">
        <v>313024.0</v>
      </c>
      <c r="O204" s="28">
        <v>7.0</v>
      </c>
      <c r="P204" s="30">
        <v>2689.0</v>
      </c>
      <c r="Q204" s="30">
        <v>7.0</v>
      </c>
      <c r="R204" s="30">
        <v>2246.0</v>
      </c>
      <c r="S204" s="30">
        <v>2.0</v>
      </c>
      <c r="T204" s="30">
        <v>348.0</v>
      </c>
      <c r="U204" s="30">
        <v>95.0</v>
      </c>
      <c r="V204" s="30">
        <v>95.0</v>
      </c>
      <c r="W204" s="30">
        <v>9.0</v>
      </c>
      <c r="X204" s="30">
        <v>6.0</v>
      </c>
      <c r="Y204" s="30">
        <v>5.0</v>
      </c>
      <c r="Z204" s="28">
        <v>1100.0</v>
      </c>
    </row>
    <row r="205" ht="14.25" customHeight="1">
      <c r="A205" s="27">
        <v>44091.0</v>
      </c>
      <c r="B205" s="28">
        <v>124.0</v>
      </c>
      <c r="C205" s="28">
        <v>128.0</v>
      </c>
      <c r="D205" s="28">
        <v>33215.0</v>
      </c>
      <c r="E205" s="28">
        <v>9222.0</v>
      </c>
      <c r="F205" s="29">
        <v>634472.0</v>
      </c>
      <c r="G205" s="29">
        <v>9346.0</v>
      </c>
      <c r="H205" s="29">
        <v>667687.0</v>
      </c>
      <c r="I205" s="28">
        <v>154.0</v>
      </c>
      <c r="J205" s="28">
        <v>132.0</v>
      </c>
      <c r="K205" s="28">
        <v>23440.0</v>
      </c>
      <c r="L205" s="28">
        <v>1950.0</v>
      </c>
      <c r="M205" s="28">
        <v>291688.0</v>
      </c>
      <c r="N205" s="28">
        <v>315128.0</v>
      </c>
      <c r="O205" s="28">
        <v>7.0</v>
      </c>
      <c r="P205" s="30">
        <v>2696.0</v>
      </c>
      <c r="Q205" s="30">
        <v>14.0</v>
      </c>
      <c r="R205" s="30">
        <v>2260.0</v>
      </c>
      <c r="S205" s="30">
        <v>0.0</v>
      </c>
      <c r="T205" s="30">
        <v>348.0</v>
      </c>
      <c r="U205" s="30">
        <v>88.0</v>
      </c>
      <c r="V205" s="30">
        <v>93.0</v>
      </c>
      <c r="W205" s="30">
        <v>8.0</v>
      </c>
      <c r="X205" s="30">
        <v>4.0</v>
      </c>
      <c r="Y205" s="30">
        <v>0.0</v>
      </c>
      <c r="Z205" s="28">
        <v>1100.0</v>
      </c>
    </row>
    <row r="206" ht="14.25" customHeight="1">
      <c r="A206" s="27">
        <v>44092.0</v>
      </c>
      <c r="B206" s="28">
        <v>132.0</v>
      </c>
      <c r="C206" s="28">
        <v>131.0</v>
      </c>
      <c r="D206" s="28">
        <v>33347.0</v>
      </c>
      <c r="E206" s="28">
        <v>10017.0</v>
      </c>
      <c r="F206" s="29">
        <v>644489.0</v>
      </c>
      <c r="G206" s="29">
        <v>10149.0</v>
      </c>
      <c r="H206" s="29">
        <v>677836.0</v>
      </c>
      <c r="I206" s="28">
        <v>132.0</v>
      </c>
      <c r="J206" s="28">
        <v>135.0</v>
      </c>
      <c r="K206" s="28">
        <v>23572.0</v>
      </c>
      <c r="L206" s="28">
        <v>1936.0</v>
      </c>
      <c r="M206" s="28">
        <v>293624.0</v>
      </c>
      <c r="N206" s="28">
        <v>317196.0</v>
      </c>
      <c r="O206" s="28">
        <v>7.0</v>
      </c>
      <c r="P206" s="30">
        <v>2703.0</v>
      </c>
      <c r="Q206" s="30">
        <v>7.0</v>
      </c>
      <c r="R206" s="30">
        <v>2267.0</v>
      </c>
      <c r="S206" s="30">
        <v>1.0</v>
      </c>
      <c r="T206" s="30">
        <v>349.0</v>
      </c>
      <c r="U206" s="30">
        <v>87.0</v>
      </c>
      <c r="V206" s="30">
        <v>90.0</v>
      </c>
      <c r="W206" s="30">
        <v>11.0</v>
      </c>
      <c r="X206" s="30">
        <v>6.0</v>
      </c>
      <c r="Y206" s="30">
        <v>2.0</v>
      </c>
      <c r="Z206" s="28">
        <v>1102.0</v>
      </c>
    </row>
    <row r="207" ht="14.25" customHeight="1">
      <c r="A207" s="27">
        <v>44093.0</v>
      </c>
      <c r="B207" s="28">
        <v>116.0</v>
      </c>
      <c r="C207" s="28">
        <v>124.0</v>
      </c>
      <c r="D207" s="28">
        <v>33463.0</v>
      </c>
      <c r="E207" s="28">
        <v>8291.0</v>
      </c>
      <c r="F207" s="29">
        <v>652780.0</v>
      </c>
      <c r="G207" s="29">
        <v>8407.0</v>
      </c>
      <c r="H207" s="29">
        <v>686243.0</v>
      </c>
      <c r="I207" s="28">
        <v>112.0</v>
      </c>
      <c r="J207" s="28">
        <v>133.0</v>
      </c>
      <c r="K207" s="28">
        <v>23684.0</v>
      </c>
      <c r="L207" s="28">
        <v>1698.0</v>
      </c>
      <c r="M207" s="28">
        <v>295322.0</v>
      </c>
      <c r="N207" s="28">
        <v>319006.0</v>
      </c>
      <c r="O207" s="28">
        <v>7.0</v>
      </c>
      <c r="P207" s="30">
        <v>2710.0</v>
      </c>
      <c r="Q207" s="30">
        <v>3.0</v>
      </c>
      <c r="R207" s="30">
        <v>2270.0</v>
      </c>
      <c r="S207" s="30">
        <v>0.0</v>
      </c>
      <c r="T207" s="30">
        <v>349.0</v>
      </c>
      <c r="U207" s="30">
        <v>91.0</v>
      </c>
      <c r="V207" s="30">
        <v>89.0</v>
      </c>
      <c r="W207" s="30">
        <v>10.0</v>
      </c>
      <c r="X207" s="30">
        <v>6.0</v>
      </c>
      <c r="Y207" s="30">
        <v>4.0</v>
      </c>
      <c r="Z207" s="28">
        <v>1106.0</v>
      </c>
    </row>
    <row r="208" ht="14.25" customHeight="1">
      <c r="A208" s="27">
        <v>44094.0</v>
      </c>
      <c r="B208" s="28">
        <v>60.0</v>
      </c>
      <c r="C208" s="28">
        <v>103.0</v>
      </c>
      <c r="D208" s="28">
        <v>33523.0</v>
      </c>
      <c r="E208" s="28">
        <v>3668.0</v>
      </c>
      <c r="F208" s="29">
        <v>656448.0</v>
      </c>
      <c r="G208" s="29">
        <v>3728.0</v>
      </c>
      <c r="H208" s="29">
        <v>689971.0</v>
      </c>
      <c r="I208" s="28">
        <v>48.0</v>
      </c>
      <c r="J208" s="28">
        <v>97.0</v>
      </c>
      <c r="K208" s="28">
        <v>23732.0</v>
      </c>
      <c r="L208" s="28">
        <v>1325.0</v>
      </c>
      <c r="M208" s="28">
        <v>296647.0</v>
      </c>
      <c r="N208" s="28">
        <v>320379.0</v>
      </c>
      <c r="O208" s="28">
        <v>7.0</v>
      </c>
      <c r="P208" s="30">
        <v>2717.0</v>
      </c>
      <c r="Q208" s="30">
        <v>6.0</v>
      </c>
      <c r="R208" s="30">
        <v>2276.0</v>
      </c>
      <c r="S208" s="30">
        <v>2.0</v>
      </c>
      <c r="T208" s="30">
        <v>351.0</v>
      </c>
      <c r="U208" s="30">
        <v>90.0</v>
      </c>
      <c r="V208" s="30">
        <v>89.0</v>
      </c>
      <c r="W208" s="30">
        <v>9.0</v>
      </c>
      <c r="X208" s="30">
        <v>8.0</v>
      </c>
      <c r="Y208" s="30">
        <v>4.0</v>
      </c>
      <c r="Z208" s="28">
        <v>1110.0</v>
      </c>
    </row>
    <row r="209" ht="14.25" customHeight="1">
      <c r="A209" s="27">
        <v>44095.0</v>
      </c>
      <c r="B209" s="28">
        <v>103.0</v>
      </c>
      <c r="C209" s="28">
        <v>93.0</v>
      </c>
      <c r="D209" s="28">
        <v>33626.0</v>
      </c>
      <c r="E209" s="28">
        <v>7002.0</v>
      </c>
      <c r="F209" s="29">
        <v>663450.0</v>
      </c>
      <c r="G209" s="29">
        <v>7105.0</v>
      </c>
      <c r="H209" s="29">
        <v>697076.0</v>
      </c>
      <c r="I209" s="28">
        <v>94.0</v>
      </c>
      <c r="J209" s="28">
        <v>85.0</v>
      </c>
      <c r="K209" s="28">
        <v>23826.0</v>
      </c>
      <c r="L209" s="28">
        <v>2414.0</v>
      </c>
      <c r="M209" s="28">
        <v>299061.0</v>
      </c>
      <c r="N209" s="28">
        <v>322887.0</v>
      </c>
      <c r="O209" s="28">
        <v>12.0</v>
      </c>
      <c r="P209" s="30">
        <v>2729.0</v>
      </c>
      <c r="Q209" s="30">
        <v>3.0</v>
      </c>
      <c r="R209" s="30">
        <v>2279.0</v>
      </c>
      <c r="S209" s="30">
        <v>2.0</v>
      </c>
      <c r="T209" s="30">
        <v>353.0</v>
      </c>
      <c r="U209" s="30">
        <v>97.0</v>
      </c>
      <c r="V209" s="30">
        <v>93.0</v>
      </c>
      <c r="W209" s="30">
        <v>8.0</v>
      </c>
      <c r="X209" s="30">
        <v>6.0</v>
      </c>
      <c r="Y209" s="30">
        <v>2.0</v>
      </c>
      <c r="Z209" s="28">
        <v>1112.0</v>
      </c>
    </row>
    <row r="210" ht="14.25" customHeight="1">
      <c r="A210" s="27">
        <v>44096.0</v>
      </c>
      <c r="B210" s="28">
        <v>154.0</v>
      </c>
      <c r="C210" s="28">
        <v>106.0</v>
      </c>
      <c r="D210" s="28">
        <v>33780.0</v>
      </c>
      <c r="E210" s="28">
        <v>9269.0</v>
      </c>
      <c r="F210" s="29">
        <v>672719.0</v>
      </c>
      <c r="G210" s="29">
        <v>9423.0</v>
      </c>
      <c r="H210" s="29">
        <v>706499.0</v>
      </c>
      <c r="I210" s="28">
        <v>125.0</v>
      </c>
      <c r="J210" s="28">
        <v>89.0</v>
      </c>
      <c r="K210" s="28">
        <v>23951.0</v>
      </c>
      <c r="L210" s="28">
        <v>2206.0</v>
      </c>
      <c r="M210" s="28">
        <v>301267.0</v>
      </c>
      <c r="N210" s="28">
        <v>325218.0</v>
      </c>
      <c r="O210" s="28">
        <v>12.0</v>
      </c>
      <c r="P210" s="30">
        <v>2741.0</v>
      </c>
      <c r="Q210" s="30">
        <v>3.0</v>
      </c>
      <c r="R210" s="30">
        <v>2282.0</v>
      </c>
      <c r="S210" s="30">
        <v>1.0</v>
      </c>
      <c r="T210" s="30">
        <v>354.0</v>
      </c>
      <c r="U210" s="30">
        <v>105.0</v>
      </c>
      <c r="V210" s="30">
        <v>97.0</v>
      </c>
      <c r="W210" s="30">
        <v>7.0</v>
      </c>
      <c r="X210" s="30">
        <v>5.0</v>
      </c>
      <c r="Y210" s="30">
        <v>1.0</v>
      </c>
      <c r="Z210" s="28">
        <v>1113.0</v>
      </c>
    </row>
    <row r="211" ht="14.25" customHeight="1">
      <c r="A211" s="27">
        <v>44097.0</v>
      </c>
      <c r="B211" s="28">
        <v>136.0</v>
      </c>
      <c r="C211" s="28">
        <v>131.0</v>
      </c>
      <c r="D211" s="28">
        <v>33916.0</v>
      </c>
      <c r="E211" s="28">
        <v>10626.0</v>
      </c>
      <c r="F211" s="29">
        <v>683345.0</v>
      </c>
      <c r="G211" s="29">
        <v>10762.0</v>
      </c>
      <c r="H211" s="29">
        <v>717261.0</v>
      </c>
      <c r="I211" s="28">
        <v>127.0</v>
      </c>
      <c r="J211" s="28">
        <v>115.0</v>
      </c>
      <c r="K211" s="28">
        <v>24078.0</v>
      </c>
      <c r="L211" s="28">
        <v>2218.0</v>
      </c>
      <c r="M211" s="28">
        <v>303485.0</v>
      </c>
      <c r="N211" s="28">
        <v>327563.0</v>
      </c>
      <c r="O211" s="28">
        <v>12.0</v>
      </c>
      <c r="P211" s="30">
        <v>2753.0</v>
      </c>
      <c r="Q211" s="30">
        <v>7.0</v>
      </c>
      <c r="R211" s="30">
        <v>2289.0</v>
      </c>
      <c r="S211" s="30">
        <v>0.0</v>
      </c>
      <c r="T211" s="30">
        <v>354.0</v>
      </c>
      <c r="U211" s="30">
        <v>110.0</v>
      </c>
      <c r="V211" s="30">
        <v>104.0</v>
      </c>
      <c r="W211" s="30">
        <v>6.0</v>
      </c>
      <c r="X211" s="30">
        <v>5.0</v>
      </c>
      <c r="Y211" s="30">
        <v>0.0</v>
      </c>
      <c r="Z211" s="28">
        <v>1113.0</v>
      </c>
    </row>
    <row r="212" ht="14.25" customHeight="1">
      <c r="A212" s="27">
        <v>44098.0</v>
      </c>
      <c r="B212" s="28">
        <v>119.0</v>
      </c>
      <c r="C212" s="28">
        <v>136.0</v>
      </c>
      <c r="D212" s="28">
        <v>34035.0</v>
      </c>
      <c r="E212" s="28">
        <v>12453.0</v>
      </c>
      <c r="F212" s="29">
        <v>695798.0</v>
      </c>
      <c r="G212" s="29">
        <v>12572.0</v>
      </c>
      <c r="H212" s="29">
        <v>729833.0</v>
      </c>
      <c r="I212" s="28">
        <v>119.0</v>
      </c>
      <c r="J212" s="28">
        <v>124.0</v>
      </c>
      <c r="K212" s="28">
        <v>24197.0</v>
      </c>
      <c r="L212" s="28">
        <v>3169.0</v>
      </c>
      <c r="M212" s="28">
        <v>306654.0</v>
      </c>
      <c r="N212" s="28">
        <v>330851.0</v>
      </c>
      <c r="O212" s="28">
        <v>7.0</v>
      </c>
      <c r="P212" s="30">
        <v>2760.0</v>
      </c>
      <c r="Q212" s="30">
        <v>9.0</v>
      </c>
      <c r="R212" s="30">
        <v>2298.0</v>
      </c>
      <c r="S212" s="30">
        <v>1.0</v>
      </c>
      <c r="T212" s="30">
        <v>355.0</v>
      </c>
      <c r="U212" s="30">
        <v>107.0</v>
      </c>
      <c r="V212" s="30">
        <v>107.0</v>
      </c>
      <c r="W212" s="30">
        <v>7.0</v>
      </c>
      <c r="X212" s="30">
        <v>5.0</v>
      </c>
      <c r="Y212" s="30">
        <v>1.0</v>
      </c>
      <c r="Z212" s="28">
        <v>1114.0</v>
      </c>
    </row>
    <row r="213" ht="14.25" customHeight="1">
      <c r="A213" s="27">
        <v>44099.0</v>
      </c>
      <c r="B213" s="28">
        <v>149.0</v>
      </c>
      <c r="C213" s="28">
        <v>135.0</v>
      </c>
      <c r="D213" s="28">
        <v>34184.0</v>
      </c>
      <c r="E213" s="28">
        <v>10534.0</v>
      </c>
      <c r="F213" s="29">
        <v>706332.0</v>
      </c>
      <c r="G213" s="29">
        <v>10683.0</v>
      </c>
      <c r="H213" s="29">
        <v>740516.0</v>
      </c>
      <c r="I213" s="28">
        <v>142.0</v>
      </c>
      <c r="J213" s="28">
        <v>129.0</v>
      </c>
      <c r="K213" s="28">
        <v>24339.0</v>
      </c>
      <c r="L213" s="28">
        <v>3017.0</v>
      </c>
      <c r="M213" s="28">
        <v>309671.0</v>
      </c>
      <c r="N213" s="28">
        <v>334010.0</v>
      </c>
      <c r="O213" s="28">
        <v>9.0</v>
      </c>
      <c r="P213" s="30">
        <v>2769.0</v>
      </c>
      <c r="Q213" s="30">
        <v>10.0</v>
      </c>
      <c r="R213" s="30">
        <v>2308.0</v>
      </c>
      <c r="S213" s="30">
        <v>0.0</v>
      </c>
      <c r="T213" s="30">
        <v>355.0</v>
      </c>
      <c r="U213" s="30">
        <v>106.0</v>
      </c>
      <c r="V213" s="30">
        <v>108.0</v>
      </c>
      <c r="W213" s="30">
        <v>6.0</v>
      </c>
      <c r="X213" s="30">
        <v>5.0</v>
      </c>
      <c r="Y213" s="30">
        <v>1.0</v>
      </c>
      <c r="Z213" s="28">
        <v>1115.0</v>
      </c>
    </row>
    <row r="214" ht="14.25" customHeight="1">
      <c r="A214" s="27">
        <v>44100.0</v>
      </c>
      <c r="B214" s="28">
        <v>146.0</v>
      </c>
      <c r="C214" s="28">
        <v>138.0</v>
      </c>
      <c r="D214" s="28">
        <v>34330.0</v>
      </c>
      <c r="E214" s="28">
        <v>10545.0</v>
      </c>
      <c r="F214" s="29">
        <v>716877.0</v>
      </c>
      <c r="G214" s="29">
        <v>10691.0</v>
      </c>
      <c r="H214" s="29">
        <v>751207.0</v>
      </c>
      <c r="I214" s="28">
        <v>118.0</v>
      </c>
      <c r="J214" s="28">
        <v>126.0</v>
      </c>
      <c r="K214" s="28">
        <v>24457.0</v>
      </c>
      <c r="L214" s="28">
        <v>2430.0</v>
      </c>
      <c r="M214" s="28">
        <v>312101.0</v>
      </c>
      <c r="N214" s="28">
        <v>336558.0</v>
      </c>
      <c r="O214" s="28">
        <v>12.0</v>
      </c>
      <c r="P214" s="30">
        <v>2781.0</v>
      </c>
      <c r="Q214" s="30">
        <v>9.0</v>
      </c>
      <c r="R214" s="30">
        <v>2317.0</v>
      </c>
      <c r="S214" s="30">
        <v>0.0</v>
      </c>
      <c r="T214" s="30">
        <v>355.0</v>
      </c>
      <c r="U214" s="30">
        <v>109.0</v>
      </c>
      <c r="V214" s="30">
        <v>107.0</v>
      </c>
      <c r="W214" s="30">
        <v>6.0</v>
      </c>
      <c r="X214" s="30">
        <v>5.0</v>
      </c>
      <c r="Y214" s="30">
        <v>1.0</v>
      </c>
      <c r="Z214" s="28">
        <v>1116.0</v>
      </c>
    </row>
    <row r="215" ht="14.25" customHeight="1">
      <c r="A215" s="27">
        <v>44101.0</v>
      </c>
      <c r="B215" s="28">
        <v>43.0</v>
      </c>
      <c r="C215" s="28">
        <v>113.0</v>
      </c>
      <c r="D215" s="28">
        <v>34373.0</v>
      </c>
      <c r="E215" s="28">
        <v>2761.0</v>
      </c>
      <c r="F215" s="29">
        <v>719638.0</v>
      </c>
      <c r="G215" s="29">
        <v>2804.0</v>
      </c>
      <c r="H215" s="29">
        <v>754011.0</v>
      </c>
      <c r="I215" s="28">
        <v>34.0</v>
      </c>
      <c r="J215" s="28">
        <v>98.0</v>
      </c>
      <c r="K215" s="28">
        <v>24491.0</v>
      </c>
      <c r="L215" s="28">
        <v>847.0</v>
      </c>
      <c r="M215" s="28">
        <v>312948.0</v>
      </c>
      <c r="N215" s="28">
        <v>337439.0</v>
      </c>
      <c r="O215" s="28">
        <v>7.0</v>
      </c>
      <c r="P215" s="30">
        <v>2788.0</v>
      </c>
      <c r="Q215" s="30">
        <v>5.0</v>
      </c>
      <c r="R215" s="30">
        <v>2322.0</v>
      </c>
      <c r="S215" s="30">
        <v>0.0</v>
      </c>
      <c r="T215" s="30">
        <v>355.0</v>
      </c>
      <c r="U215" s="30">
        <v>111.0</v>
      </c>
      <c r="V215" s="30">
        <v>109.0</v>
      </c>
      <c r="W215" s="30">
        <v>9.0</v>
      </c>
      <c r="X215" s="30">
        <v>5.0</v>
      </c>
      <c r="Y215" s="30">
        <v>0.0</v>
      </c>
      <c r="Z215" s="28">
        <v>1116.0</v>
      </c>
    </row>
    <row r="216" ht="14.25" customHeight="1">
      <c r="A216" s="27">
        <v>44102.0</v>
      </c>
      <c r="B216" s="28">
        <v>151.0</v>
      </c>
      <c r="C216" s="28">
        <v>113.0</v>
      </c>
      <c r="D216" s="28">
        <v>34524.0</v>
      </c>
      <c r="E216" s="28">
        <v>7286.0</v>
      </c>
      <c r="F216" s="29">
        <v>726924.0</v>
      </c>
      <c r="G216" s="29">
        <v>7437.0</v>
      </c>
      <c r="H216" s="29">
        <v>761448.0</v>
      </c>
      <c r="I216" s="28">
        <v>132.0</v>
      </c>
      <c r="J216" s="28">
        <v>95.0</v>
      </c>
      <c r="K216" s="28">
        <v>24623.0</v>
      </c>
      <c r="L216" s="28">
        <v>2263.0</v>
      </c>
      <c r="M216" s="28">
        <v>315211.0</v>
      </c>
      <c r="N216" s="28">
        <v>339834.0</v>
      </c>
      <c r="O216" s="28">
        <v>6.0</v>
      </c>
      <c r="P216" s="30">
        <v>2794.0</v>
      </c>
      <c r="Q216" s="30">
        <v>6.0</v>
      </c>
      <c r="R216" s="30">
        <v>2328.0</v>
      </c>
      <c r="S216" s="30">
        <v>2.0</v>
      </c>
      <c r="T216" s="30">
        <v>357.0</v>
      </c>
      <c r="U216" s="30">
        <v>109.0</v>
      </c>
      <c r="V216" s="30">
        <v>110.0</v>
      </c>
      <c r="W216" s="30">
        <v>7.0</v>
      </c>
      <c r="X216" s="30">
        <v>5.0</v>
      </c>
      <c r="Y216" s="30">
        <v>2.0</v>
      </c>
      <c r="Z216" s="28">
        <v>1118.0</v>
      </c>
    </row>
    <row r="217" ht="14.25" customHeight="1">
      <c r="A217" s="27">
        <v>44103.0</v>
      </c>
      <c r="B217" s="28">
        <v>208.0</v>
      </c>
      <c r="C217" s="28">
        <v>134.0</v>
      </c>
      <c r="D217" s="28">
        <v>34732.0</v>
      </c>
      <c r="E217" s="28">
        <v>11020.0</v>
      </c>
      <c r="F217" s="29">
        <v>737944.0</v>
      </c>
      <c r="G217" s="29">
        <v>11228.0</v>
      </c>
      <c r="H217" s="29">
        <v>772676.0</v>
      </c>
      <c r="I217" s="28">
        <v>190.0</v>
      </c>
      <c r="J217" s="28">
        <v>119.0</v>
      </c>
      <c r="K217" s="28">
        <v>24813.0</v>
      </c>
      <c r="L217" s="28">
        <v>2828.0</v>
      </c>
      <c r="M217" s="28">
        <v>318039.0</v>
      </c>
      <c r="N217" s="28">
        <v>342852.0</v>
      </c>
      <c r="O217" s="28">
        <v>11.0</v>
      </c>
      <c r="P217" s="30">
        <v>2805.0</v>
      </c>
      <c r="Q217" s="30">
        <v>18.0</v>
      </c>
      <c r="R217" s="30">
        <v>2346.0</v>
      </c>
      <c r="S217" s="30">
        <v>1.0</v>
      </c>
      <c r="T217" s="30">
        <v>358.0</v>
      </c>
      <c r="U217" s="30">
        <v>101.0</v>
      </c>
      <c r="V217" s="30">
        <v>107.0</v>
      </c>
      <c r="W217" s="30">
        <v>6.0</v>
      </c>
      <c r="X217" s="30">
        <v>6.0</v>
      </c>
      <c r="Y217" s="30">
        <v>1.0</v>
      </c>
      <c r="Z217" s="28">
        <v>1119.0</v>
      </c>
    </row>
    <row r="218" ht="14.25" customHeight="1">
      <c r="A218" s="27">
        <v>44104.0</v>
      </c>
      <c r="B218" s="28">
        <v>221.0</v>
      </c>
      <c r="C218" s="28">
        <v>193.0</v>
      </c>
      <c r="D218" s="28">
        <v>34953.0</v>
      </c>
      <c r="E218" s="28">
        <v>12206.0</v>
      </c>
      <c r="F218" s="29">
        <v>750150.0</v>
      </c>
      <c r="G218" s="29">
        <v>12427.0</v>
      </c>
      <c r="H218" s="29">
        <v>785103.0</v>
      </c>
      <c r="I218" s="28">
        <v>186.0</v>
      </c>
      <c r="J218" s="28">
        <v>169.0</v>
      </c>
      <c r="K218" s="28">
        <v>24999.0</v>
      </c>
      <c r="L218" s="28">
        <v>2601.0</v>
      </c>
      <c r="M218" s="28">
        <v>320640.0</v>
      </c>
      <c r="N218" s="28">
        <v>345639.0</v>
      </c>
      <c r="O218" s="28">
        <v>6.0</v>
      </c>
      <c r="P218" s="30">
        <v>2811.0</v>
      </c>
      <c r="Q218" s="30">
        <v>6.0</v>
      </c>
      <c r="R218" s="30">
        <v>2352.0</v>
      </c>
      <c r="S218" s="30">
        <v>0.0</v>
      </c>
      <c r="T218" s="30">
        <v>358.0</v>
      </c>
      <c r="U218" s="30">
        <v>101.0</v>
      </c>
      <c r="V218" s="30">
        <v>104.0</v>
      </c>
      <c r="W218" s="30">
        <v>6.0</v>
      </c>
      <c r="X218" s="30">
        <v>6.0</v>
      </c>
      <c r="Y218" s="30">
        <v>1.0</v>
      </c>
      <c r="Z218" s="28">
        <v>1120.0</v>
      </c>
    </row>
    <row r="219" ht="14.25" customHeight="1">
      <c r="A219" s="27">
        <v>44105.0</v>
      </c>
      <c r="B219" s="28">
        <v>184.0</v>
      </c>
      <c r="C219" s="28">
        <v>204.0</v>
      </c>
      <c r="D219" s="28">
        <v>35137.0</v>
      </c>
      <c r="E219" s="28">
        <v>12483.0</v>
      </c>
      <c r="F219" s="29">
        <v>762633.0</v>
      </c>
      <c r="G219" s="29">
        <v>12667.0</v>
      </c>
      <c r="H219" s="29">
        <v>797770.0</v>
      </c>
      <c r="I219" s="28">
        <v>162.0</v>
      </c>
      <c r="J219" s="28">
        <v>179.0</v>
      </c>
      <c r="K219" s="28">
        <v>25161.0</v>
      </c>
      <c r="L219" s="28">
        <v>2434.0</v>
      </c>
      <c r="M219" s="28">
        <v>323074.0</v>
      </c>
      <c r="N219" s="28">
        <v>348235.0</v>
      </c>
      <c r="O219" s="28">
        <v>16.0</v>
      </c>
      <c r="P219" s="30">
        <v>2827.0</v>
      </c>
      <c r="Q219" s="30">
        <v>13.0</v>
      </c>
      <c r="R219" s="30">
        <v>2365.0</v>
      </c>
      <c r="S219" s="30">
        <v>1.0</v>
      </c>
      <c r="T219" s="30">
        <v>359.0</v>
      </c>
      <c r="U219" s="30">
        <v>103.0</v>
      </c>
      <c r="V219" s="30">
        <v>102.0</v>
      </c>
      <c r="W219" s="30">
        <v>5.0</v>
      </c>
      <c r="X219" s="30">
        <v>4.0</v>
      </c>
      <c r="Y219" s="30">
        <v>2.0</v>
      </c>
      <c r="Z219" s="28">
        <v>1122.0</v>
      </c>
    </row>
    <row r="220" ht="14.25" customHeight="1">
      <c r="A220" s="27">
        <v>44106.0</v>
      </c>
      <c r="B220" s="28">
        <v>209.0</v>
      </c>
      <c r="C220" s="28">
        <v>205.0</v>
      </c>
      <c r="D220" s="28">
        <v>35346.0</v>
      </c>
      <c r="E220" s="28">
        <v>12127.0</v>
      </c>
      <c r="F220" s="29">
        <v>774760.0</v>
      </c>
      <c r="G220" s="29">
        <v>12336.0</v>
      </c>
      <c r="H220" s="29">
        <v>810106.0</v>
      </c>
      <c r="I220" s="28">
        <v>181.0</v>
      </c>
      <c r="J220" s="28">
        <v>176.0</v>
      </c>
      <c r="K220" s="28">
        <v>25342.0</v>
      </c>
      <c r="L220" s="28">
        <v>2504.0</v>
      </c>
      <c r="M220" s="28">
        <v>325578.0</v>
      </c>
      <c r="N220" s="28">
        <v>350920.0</v>
      </c>
      <c r="O220" s="28">
        <v>13.0</v>
      </c>
      <c r="P220" s="30">
        <v>2840.0</v>
      </c>
      <c r="Q220" s="30">
        <v>13.0</v>
      </c>
      <c r="R220" s="30">
        <v>2378.0</v>
      </c>
      <c r="S220" s="30">
        <v>1.0</v>
      </c>
      <c r="T220" s="30">
        <v>360.0</v>
      </c>
      <c r="U220" s="30">
        <v>102.0</v>
      </c>
      <c r="V220" s="30">
        <v>102.0</v>
      </c>
      <c r="W220" s="30">
        <v>6.0</v>
      </c>
      <c r="X220" s="30">
        <v>4.0</v>
      </c>
      <c r="Y220" s="30">
        <v>2.0</v>
      </c>
      <c r="Z220" s="28">
        <v>1124.0</v>
      </c>
    </row>
    <row r="221" ht="14.25" customHeight="1">
      <c r="A221" s="27">
        <v>44107.0</v>
      </c>
      <c r="B221" s="28">
        <v>157.0</v>
      </c>
      <c r="C221" s="28">
        <v>183.0</v>
      </c>
      <c r="D221" s="28">
        <v>35503.0</v>
      </c>
      <c r="E221" s="28">
        <v>9305.0</v>
      </c>
      <c r="F221" s="29">
        <v>784065.0</v>
      </c>
      <c r="G221" s="29">
        <v>9462.0</v>
      </c>
      <c r="H221" s="29">
        <v>819568.0</v>
      </c>
      <c r="I221" s="28">
        <v>133.0</v>
      </c>
      <c r="J221" s="28">
        <v>159.0</v>
      </c>
      <c r="K221" s="28">
        <v>25475.0</v>
      </c>
      <c r="L221" s="28">
        <v>2034.0</v>
      </c>
      <c r="M221" s="28">
        <v>327612.0</v>
      </c>
      <c r="N221" s="28">
        <v>353087.0</v>
      </c>
      <c r="O221" s="28">
        <v>9.0</v>
      </c>
      <c r="P221" s="30">
        <v>2849.0</v>
      </c>
      <c r="Q221" s="30">
        <v>9.0</v>
      </c>
      <c r="R221" s="30">
        <v>2387.0</v>
      </c>
      <c r="S221" s="30">
        <v>2.0</v>
      </c>
      <c r="T221" s="30">
        <v>362.0</v>
      </c>
      <c r="U221" s="30">
        <v>100.0</v>
      </c>
      <c r="V221" s="30">
        <v>102.0</v>
      </c>
      <c r="W221" s="30">
        <v>7.0</v>
      </c>
      <c r="X221" s="30">
        <v>4.0</v>
      </c>
      <c r="Y221" s="30">
        <v>2.0</v>
      </c>
      <c r="Z221" s="28">
        <v>1126.0</v>
      </c>
    </row>
    <row r="222" ht="14.25" customHeight="1">
      <c r="A222" s="27">
        <v>44108.0</v>
      </c>
      <c r="B222" s="28">
        <v>81.0</v>
      </c>
      <c r="C222" s="28">
        <v>149.0</v>
      </c>
      <c r="D222" s="28">
        <v>35584.0</v>
      </c>
      <c r="E222" s="28">
        <v>2365.0</v>
      </c>
      <c r="F222" s="29">
        <v>786430.0</v>
      </c>
      <c r="G222" s="29">
        <v>2446.0</v>
      </c>
      <c r="H222" s="29">
        <v>822014.0</v>
      </c>
      <c r="I222" s="28">
        <v>75.0</v>
      </c>
      <c r="J222" s="28">
        <v>130.0</v>
      </c>
      <c r="K222" s="28">
        <v>25550.0</v>
      </c>
      <c r="L222" s="28">
        <v>962.0</v>
      </c>
      <c r="M222" s="28">
        <v>328574.0</v>
      </c>
      <c r="N222" s="28">
        <v>354124.0</v>
      </c>
      <c r="O222" s="28">
        <v>11.0</v>
      </c>
      <c r="P222" s="30">
        <v>2860.0</v>
      </c>
      <c r="Q222" s="30">
        <v>9.0</v>
      </c>
      <c r="R222" s="30">
        <v>2396.0</v>
      </c>
      <c r="S222" s="30">
        <v>1.0</v>
      </c>
      <c r="T222" s="30">
        <v>363.0</v>
      </c>
      <c r="U222" s="30">
        <v>101.0</v>
      </c>
      <c r="V222" s="30">
        <v>101.0</v>
      </c>
      <c r="W222" s="30">
        <v>6.0</v>
      </c>
      <c r="X222" s="30">
        <v>4.0</v>
      </c>
      <c r="Y222" s="30">
        <v>2.0</v>
      </c>
      <c r="Z222" s="28">
        <v>1128.0</v>
      </c>
    </row>
    <row r="223" ht="14.25" customHeight="1">
      <c r="A223" s="27">
        <v>44109.0</v>
      </c>
      <c r="B223" s="28">
        <v>174.0</v>
      </c>
      <c r="C223" s="28">
        <v>137.0</v>
      </c>
      <c r="D223" s="28">
        <v>35758.0</v>
      </c>
      <c r="E223" s="28">
        <v>8938.0</v>
      </c>
      <c r="F223" s="29">
        <v>795368.0</v>
      </c>
      <c r="G223" s="29">
        <v>9112.0</v>
      </c>
      <c r="H223" s="29">
        <v>831126.0</v>
      </c>
      <c r="I223" s="28">
        <v>161.0</v>
      </c>
      <c r="J223" s="28">
        <v>123.0</v>
      </c>
      <c r="K223" s="28">
        <v>25711.0</v>
      </c>
      <c r="L223" s="28">
        <v>3042.0</v>
      </c>
      <c r="M223" s="28">
        <v>331616.0</v>
      </c>
      <c r="N223" s="28">
        <v>357327.0</v>
      </c>
      <c r="O223" s="28">
        <v>29.0</v>
      </c>
      <c r="P223" s="30">
        <v>2889.0</v>
      </c>
      <c r="Q223" s="30">
        <v>10.0</v>
      </c>
      <c r="R223" s="30">
        <v>2406.0</v>
      </c>
      <c r="S223" s="30">
        <v>2.0</v>
      </c>
      <c r="T223" s="30">
        <v>365.0</v>
      </c>
      <c r="U223" s="30">
        <v>118.0</v>
      </c>
      <c r="V223" s="30">
        <v>106.0</v>
      </c>
      <c r="W223" s="30">
        <v>8.0</v>
      </c>
      <c r="X223" s="30">
        <v>5.0</v>
      </c>
      <c r="Y223" s="30">
        <v>4.0</v>
      </c>
      <c r="Z223" s="28">
        <v>1132.0</v>
      </c>
    </row>
    <row r="224" ht="14.25" customHeight="1">
      <c r="A224" s="27">
        <v>44110.0</v>
      </c>
      <c r="B224" s="28">
        <v>176.0</v>
      </c>
      <c r="C224" s="28">
        <v>144.0</v>
      </c>
      <c r="D224" s="28">
        <v>35934.0</v>
      </c>
      <c r="E224" s="28">
        <v>11171.0</v>
      </c>
      <c r="F224" s="29">
        <v>806539.0</v>
      </c>
      <c r="G224" s="29">
        <v>11347.0</v>
      </c>
      <c r="H224" s="29">
        <v>842473.0</v>
      </c>
      <c r="I224" s="28">
        <v>189.0</v>
      </c>
      <c r="J224" s="28">
        <v>142.0</v>
      </c>
      <c r="K224" s="28">
        <v>25900.0</v>
      </c>
      <c r="L224" s="28">
        <v>2913.0</v>
      </c>
      <c r="M224" s="28">
        <v>334529.0</v>
      </c>
      <c r="N224" s="28">
        <v>360429.0</v>
      </c>
      <c r="O224" s="28">
        <v>11.0</v>
      </c>
      <c r="P224" s="30">
        <v>2900.0</v>
      </c>
      <c r="Q224" s="30">
        <v>4.0</v>
      </c>
      <c r="R224" s="30">
        <v>2410.0</v>
      </c>
      <c r="S224" s="30">
        <v>0.0</v>
      </c>
      <c r="T224" s="30">
        <v>365.0</v>
      </c>
      <c r="U224" s="30">
        <v>125.0</v>
      </c>
      <c r="V224" s="30">
        <v>115.0</v>
      </c>
      <c r="W224" s="30">
        <v>10.0</v>
      </c>
      <c r="X224" s="30">
        <v>6.0</v>
      </c>
      <c r="Y224" s="30">
        <v>0.0</v>
      </c>
      <c r="Z224" s="28">
        <v>1132.0</v>
      </c>
    </row>
    <row r="225" ht="14.25" customHeight="1">
      <c r="A225" s="27">
        <v>44111.0</v>
      </c>
      <c r="B225" s="28">
        <v>228.0</v>
      </c>
      <c r="C225" s="28">
        <v>193.0</v>
      </c>
      <c r="D225" s="28">
        <v>36162.0</v>
      </c>
      <c r="E225" s="28">
        <v>12404.0</v>
      </c>
      <c r="F225" s="29">
        <v>818943.0</v>
      </c>
      <c r="G225" s="29">
        <v>12632.0</v>
      </c>
      <c r="H225" s="29">
        <v>855105.0</v>
      </c>
      <c r="I225" s="28">
        <v>243.0</v>
      </c>
      <c r="J225" s="28">
        <v>198.0</v>
      </c>
      <c r="K225" s="28">
        <v>26143.0</v>
      </c>
      <c r="L225" s="28">
        <v>3544.0</v>
      </c>
      <c r="M225" s="28">
        <v>338073.0</v>
      </c>
      <c r="N225" s="28">
        <v>364216.0</v>
      </c>
      <c r="O225" s="28">
        <v>13.0</v>
      </c>
      <c r="P225" s="30">
        <v>2913.0</v>
      </c>
      <c r="Q225" s="30">
        <v>14.0</v>
      </c>
      <c r="R225" s="30">
        <v>2424.0</v>
      </c>
      <c r="S225" s="30">
        <v>2.0</v>
      </c>
      <c r="T225" s="30">
        <v>367.0</v>
      </c>
      <c r="U225" s="30">
        <v>122.0</v>
      </c>
      <c r="V225" s="30">
        <v>122.0</v>
      </c>
      <c r="W225" s="30">
        <v>8.0</v>
      </c>
      <c r="X225" s="30">
        <v>6.0</v>
      </c>
      <c r="Y225" s="30">
        <v>2.0</v>
      </c>
      <c r="Z225" s="28">
        <v>1134.0</v>
      </c>
    </row>
    <row r="226" ht="14.25" customHeight="1">
      <c r="A226" s="27">
        <v>44112.0</v>
      </c>
      <c r="B226" s="28">
        <v>263.0</v>
      </c>
      <c r="C226" s="28">
        <v>222.0</v>
      </c>
      <c r="D226" s="28">
        <v>36425.0</v>
      </c>
      <c r="E226" s="28">
        <v>15176.0</v>
      </c>
      <c r="F226" s="29">
        <v>834119.0</v>
      </c>
      <c r="G226" s="29">
        <v>15439.0</v>
      </c>
      <c r="H226" s="29">
        <v>870544.0</v>
      </c>
      <c r="I226" s="28">
        <v>274.0</v>
      </c>
      <c r="J226" s="28">
        <v>235.0</v>
      </c>
      <c r="K226" s="28">
        <v>26417.0</v>
      </c>
      <c r="L226" s="28">
        <v>4208.0</v>
      </c>
      <c r="M226" s="28">
        <v>342281.0</v>
      </c>
      <c r="N226" s="28">
        <v>368698.0</v>
      </c>
      <c r="O226" s="28">
        <v>16.0</v>
      </c>
      <c r="P226" s="30">
        <v>2929.0</v>
      </c>
      <c r="Q226" s="30">
        <v>12.0</v>
      </c>
      <c r="R226" s="30">
        <v>2436.0</v>
      </c>
      <c r="S226" s="30">
        <v>1.0</v>
      </c>
      <c r="T226" s="30">
        <v>368.0</v>
      </c>
      <c r="U226" s="30">
        <v>125.0</v>
      </c>
      <c r="V226" s="30">
        <v>124.0</v>
      </c>
      <c r="W226" s="30">
        <v>7.0</v>
      </c>
      <c r="X226" s="30">
        <v>5.0</v>
      </c>
      <c r="Y226" s="30">
        <v>3.0</v>
      </c>
      <c r="Z226" s="28">
        <v>1137.0</v>
      </c>
    </row>
    <row r="227" ht="14.25" customHeight="1">
      <c r="A227" s="27">
        <v>44113.0</v>
      </c>
      <c r="B227" s="28">
        <v>214.0</v>
      </c>
      <c r="C227" s="28">
        <v>235.0</v>
      </c>
      <c r="D227" s="28">
        <v>36639.0</v>
      </c>
      <c r="E227" s="28">
        <v>13192.0</v>
      </c>
      <c r="F227" s="29">
        <v>847311.0</v>
      </c>
      <c r="G227" s="29">
        <v>13406.0</v>
      </c>
      <c r="H227" s="29">
        <v>883950.0</v>
      </c>
      <c r="I227" s="28">
        <v>198.0</v>
      </c>
      <c r="J227" s="28">
        <v>238.0</v>
      </c>
      <c r="K227" s="28">
        <v>26615.0</v>
      </c>
      <c r="L227" s="28">
        <v>4314.0</v>
      </c>
      <c r="M227" s="28">
        <v>346595.0</v>
      </c>
      <c r="N227" s="28">
        <v>373210.0</v>
      </c>
      <c r="O227" s="28">
        <v>19.0</v>
      </c>
      <c r="P227" s="30">
        <v>2948.0</v>
      </c>
      <c r="Q227" s="30">
        <v>12.0</v>
      </c>
      <c r="R227" s="30">
        <v>2448.0</v>
      </c>
      <c r="S227" s="30">
        <v>0.0</v>
      </c>
      <c r="T227" s="30">
        <v>368.0</v>
      </c>
      <c r="U227" s="30">
        <v>132.0</v>
      </c>
      <c r="V227" s="30">
        <v>126.0</v>
      </c>
      <c r="W227" s="30">
        <v>10.0</v>
      </c>
      <c r="X227" s="30">
        <v>7.0</v>
      </c>
      <c r="Y227" s="30">
        <v>3.0</v>
      </c>
      <c r="Z227" s="28">
        <v>1140.0</v>
      </c>
    </row>
    <row r="228" ht="14.25" customHeight="1">
      <c r="A228" s="27">
        <v>44114.0</v>
      </c>
      <c r="B228" s="28">
        <v>229.0</v>
      </c>
      <c r="C228" s="28">
        <v>235.0</v>
      </c>
      <c r="D228" s="28">
        <v>36868.0</v>
      </c>
      <c r="E228" s="28">
        <v>13808.0</v>
      </c>
      <c r="F228" s="29">
        <v>861119.0</v>
      </c>
      <c r="G228" s="29">
        <v>14037.0</v>
      </c>
      <c r="H228" s="29">
        <v>897987.0</v>
      </c>
      <c r="I228" s="28">
        <v>197.0</v>
      </c>
      <c r="J228" s="28">
        <v>223.0</v>
      </c>
      <c r="K228" s="28">
        <v>26812.0</v>
      </c>
      <c r="L228" s="28">
        <v>3829.0</v>
      </c>
      <c r="M228" s="28">
        <v>350424.0</v>
      </c>
      <c r="N228" s="28">
        <v>377236.0</v>
      </c>
      <c r="O228" s="28">
        <v>17.0</v>
      </c>
      <c r="P228" s="30">
        <v>2965.0</v>
      </c>
      <c r="Q228" s="30">
        <v>10.0</v>
      </c>
      <c r="R228" s="30">
        <v>2458.0</v>
      </c>
      <c r="S228" s="30">
        <v>1.0</v>
      </c>
      <c r="T228" s="30">
        <v>369.0</v>
      </c>
      <c r="U228" s="30">
        <v>138.0</v>
      </c>
      <c r="V228" s="30">
        <v>132.0</v>
      </c>
      <c r="W228" s="30">
        <v>12.0</v>
      </c>
      <c r="X228" s="30">
        <v>6.0</v>
      </c>
      <c r="Y228" s="30">
        <v>2.0</v>
      </c>
      <c r="Z228" s="28">
        <v>1142.0</v>
      </c>
    </row>
    <row r="229" ht="14.25" customHeight="1">
      <c r="A229" s="27">
        <v>44115.0</v>
      </c>
      <c r="B229" s="28">
        <v>94.0</v>
      </c>
      <c r="C229" s="28">
        <v>179.0</v>
      </c>
      <c r="D229" s="28">
        <v>36962.0</v>
      </c>
      <c r="E229" s="28">
        <v>3251.0</v>
      </c>
      <c r="F229" s="29">
        <v>864370.0</v>
      </c>
      <c r="G229" s="29">
        <v>3345.0</v>
      </c>
      <c r="H229" s="29">
        <v>901332.0</v>
      </c>
      <c r="I229" s="28">
        <v>87.0</v>
      </c>
      <c r="J229" s="28">
        <v>161.0</v>
      </c>
      <c r="K229" s="28">
        <v>26899.0</v>
      </c>
      <c r="L229" s="28">
        <v>1166.0</v>
      </c>
      <c r="M229" s="28">
        <v>351590.0</v>
      </c>
      <c r="N229" s="28">
        <v>378489.0</v>
      </c>
      <c r="O229" s="28">
        <v>12.0</v>
      </c>
      <c r="P229" s="30">
        <v>2977.0</v>
      </c>
      <c r="Q229" s="30">
        <v>9.0</v>
      </c>
      <c r="R229" s="30">
        <v>2467.0</v>
      </c>
      <c r="S229" s="30">
        <v>1.0</v>
      </c>
      <c r="T229" s="30">
        <v>370.0</v>
      </c>
      <c r="U229" s="30">
        <v>140.0</v>
      </c>
      <c r="V229" s="30">
        <v>137.0</v>
      </c>
      <c r="W229" s="30">
        <v>13.0</v>
      </c>
      <c r="X229" s="30">
        <v>5.0</v>
      </c>
      <c r="Y229" s="30">
        <v>6.0</v>
      </c>
      <c r="Z229" s="28">
        <v>1148.0</v>
      </c>
    </row>
    <row r="230" ht="14.25" customHeight="1">
      <c r="A230" s="27">
        <v>44116.0</v>
      </c>
      <c r="B230" s="28">
        <v>165.0</v>
      </c>
      <c r="C230" s="28">
        <v>163.0</v>
      </c>
      <c r="D230" s="28">
        <v>37127.0</v>
      </c>
      <c r="E230" s="28">
        <v>6389.0</v>
      </c>
      <c r="F230" s="29">
        <v>870759.0</v>
      </c>
      <c r="G230" s="29">
        <v>6554.0</v>
      </c>
      <c r="H230" s="29">
        <v>907886.0</v>
      </c>
      <c r="I230" s="28">
        <v>159.0</v>
      </c>
      <c r="J230" s="28">
        <v>148.0</v>
      </c>
      <c r="K230" s="28">
        <v>27058.0</v>
      </c>
      <c r="L230" s="28">
        <v>1751.0</v>
      </c>
      <c r="M230" s="28">
        <v>353341.0</v>
      </c>
      <c r="N230" s="28">
        <v>380399.0</v>
      </c>
      <c r="O230" s="28">
        <v>17.0</v>
      </c>
      <c r="P230" s="30">
        <v>2994.0</v>
      </c>
      <c r="Q230" s="30">
        <v>15.0</v>
      </c>
      <c r="R230" s="30">
        <v>2482.0</v>
      </c>
      <c r="S230" s="30">
        <v>2.0</v>
      </c>
      <c r="T230" s="30">
        <v>372.0</v>
      </c>
      <c r="U230" s="30">
        <v>140.0</v>
      </c>
      <c r="V230" s="30">
        <v>139.0</v>
      </c>
      <c r="W230" s="30">
        <v>13.0</v>
      </c>
      <c r="X230" s="30">
        <v>5.0</v>
      </c>
      <c r="Y230" s="30">
        <v>4.0</v>
      </c>
      <c r="Z230" s="28">
        <v>1152.0</v>
      </c>
    </row>
    <row r="231" ht="14.25" customHeight="1">
      <c r="A231" s="27">
        <v>44117.0</v>
      </c>
      <c r="B231" s="28">
        <v>210.0</v>
      </c>
      <c r="C231" s="28">
        <v>156.0</v>
      </c>
      <c r="D231" s="28">
        <v>37337.0</v>
      </c>
      <c r="E231" s="28">
        <v>8481.0</v>
      </c>
      <c r="F231" s="29">
        <v>879240.0</v>
      </c>
      <c r="G231" s="29">
        <v>8691.0</v>
      </c>
      <c r="H231" s="29">
        <v>916577.0</v>
      </c>
      <c r="I231" s="28">
        <v>207.0</v>
      </c>
      <c r="J231" s="28">
        <v>151.0</v>
      </c>
      <c r="K231" s="28">
        <v>27265.0</v>
      </c>
      <c r="L231" s="28">
        <v>2315.0</v>
      </c>
      <c r="M231" s="28">
        <v>355656.0</v>
      </c>
      <c r="N231" s="28">
        <v>382921.0</v>
      </c>
      <c r="O231" s="28">
        <v>14.0</v>
      </c>
      <c r="P231" s="30">
        <v>3008.0</v>
      </c>
      <c r="Q231" s="30">
        <v>13.0</v>
      </c>
      <c r="R231" s="30">
        <v>2495.0</v>
      </c>
      <c r="S231" s="30">
        <v>4.0</v>
      </c>
      <c r="T231" s="30">
        <v>376.0</v>
      </c>
      <c r="U231" s="30">
        <v>137.0</v>
      </c>
      <c r="V231" s="30">
        <v>139.0</v>
      </c>
      <c r="W231" s="30">
        <v>12.0</v>
      </c>
      <c r="X231" s="30">
        <v>5.0</v>
      </c>
      <c r="Y231" s="30">
        <v>7.0</v>
      </c>
      <c r="Z231" s="28">
        <v>1159.0</v>
      </c>
    </row>
    <row r="232" ht="14.25" customHeight="1">
      <c r="A232" s="27">
        <v>44118.0</v>
      </c>
      <c r="B232" s="28">
        <v>320.0</v>
      </c>
      <c r="C232" s="28">
        <v>232.0</v>
      </c>
      <c r="D232" s="28">
        <v>37657.0</v>
      </c>
      <c r="E232" s="28">
        <v>14988.0</v>
      </c>
      <c r="F232" s="29">
        <v>894228.0</v>
      </c>
      <c r="G232" s="29">
        <v>15308.0</v>
      </c>
      <c r="H232" s="29">
        <v>931885.0</v>
      </c>
      <c r="I232" s="28">
        <v>309.0</v>
      </c>
      <c r="J232" s="28">
        <v>225.0</v>
      </c>
      <c r="K232" s="28">
        <v>27574.0</v>
      </c>
      <c r="L232" s="28">
        <v>4070.0</v>
      </c>
      <c r="M232" s="28">
        <v>359726.0</v>
      </c>
      <c r="N232" s="28">
        <v>387300.0</v>
      </c>
      <c r="O232" s="28">
        <v>15.0</v>
      </c>
      <c r="P232" s="30">
        <v>3023.0</v>
      </c>
      <c r="Q232" s="30">
        <v>7.0</v>
      </c>
      <c r="R232" s="30">
        <v>2502.0</v>
      </c>
      <c r="S232" s="30">
        <v>0.0</v>
      </c>
      <c r="T232" s="30">
        <v>376.0</v>
      </c>
      <c r="U232" s="30">
        <v>145.0</v>
      </c>
      <c r="V232" s="30">
        <v>141.0</v>
      </c>
      <c r="W232" s="30">
        <v>14.0</v>
      </c>
      <c r="X232" s="30">
        <v>5.0</v>
      </c>
      <c r="Y232" s="30">
        <v>2.0</v>
      </c>
      <c r="Z232" s="28">
        <v>1161.0</v>
      </c>
    </row>
    <row r="233" ht="14.25" customHeight="1">
      <c r="A233" s="27">
        <v>44119.0</v>
      </c>
      <c r="B233" s="28">
        <v>263.0</v>
      </c>
      <c r="C233" s="28">
        <v>264.0</v>
      </c>
      <c r="D233" s="28">
        <v>37920.0</v>
      </c>
      <c r="E233" s="28">
        <v>14553.0</v>
      </c>
      <c r="F233" s="29">
        <v>908781.0</v>
      </c>
      <c r="G233" s="29">
        <v>14816.0</v>
      </c>
      <c r="H233" s="29">
        <v>946701.0</v>
      </c>
      <c r="I233" s="28">
        <v>254.0</v>
      </c>
      <c r="J233" s="28">
        <v>257.0</v>
      </c>
      <c r="K233" s="28">
        <v>27828.0</v>
      </c>
      <c r="L233" s="28">
        <v>3590.0</v>
      </c>
      <c r="M233" s="28">
        <v>363316.0</v>
      </c>
      <c r="N233" s="28">
        <v>391144.0</v>
      </c>
      <c r="O233" s="28">
        <v>9.0</v>
      </c>
      <c r="P233" s="30">
        <v>3032.0</v>
      </c>
      <c r="Q233" s="30">
        <v>16.0</v>
      </c>
      <c r="R233" s="30">
        <v>2518.0</v>
      </c>
      <c r="S233" s="30">
        <v>1.0</v>
      </c>
      <c r="T233" s="30">
        <v>377.0</v>
      </c>
      <c r="U233" s="30">
        <v>137.0</v>
      </c>
      <c r="V233" s="30">
        <v>140.0</v>
      </c>
      <c r="W233" s="30">
        <v>12.0</v>
      </c>
      <c r="X233" s="30">
        <v>5.0</v>
      </c>
      <c r="Y233" s="30">
        <v>2.0</v>
      </c>
      <c r="Z233" s="28">
        <v>1163.0</v>
      </c>
    </row>
    <row r="234" ht="14.25" customHeight="1">
      <c r="A234" s="27">
        <v>44120.0</v>
      </c>
      <c r="B234" s="28">
        <v>273.0</v>
      </c>
      <c r="C234" s="28">
        <v>285.0</v>
      </c>
      <c r="D234" s="28">
        <v>38193.0</v>
      </c>
      <c r="E234" s="28">
        <v>14937.0</v>
      </c>
      <c r="F234" s="29">
        <v>923718.0</v>
      </c>
      <c r="G234" s="29">
        <v>15210.0</v>
      </c>
      <c r="H234" s="29">
        <v>961911.0</v>
      </c>
      <c r="I234" s="28">
        <v>265.0</v>
      </c>
      <c r="J234" s="28">
        <v>276.0</v>
      </c>
      <c r="K234" s="28">
        <v>28093.0</v>
      </c>
      <c r="L234" s="28">
        <v>3406.0</v>
      </c>
      <c r="M234" s="28">
        <v>366722.0</v>
      </c>
      <c r="N234" s="28">
        <v>394815.0</v>
      </c>
      <c r="O234" s="28">
        <v>13.0</v>
      </c>
      <c r="P234" s="30">
        <v>3045.0</v>
      </c>
      <c r="Q234" s="30">
        <v>18.0</v>
      </c>
      <c r="R234" s="30">
        <v>2536.0</v>
      </c>
      <c r="S234" s="30">
        <v>1.0</v>
      </c>
      <c r="T234" s="30">
        <v>378.0</v>
      </c>
      <c r="U234" s="30">
        <v>131.0</v>
      </c>
      <c r="V234" s="30">
        <v>138.0</v>
      </c>
      <c r="W234" s="30">
        <v>13.0</v>
      </c>
      <c r="X234" s="30">
        <v>4.0</v>
      </c>
      <c r="Y234" s="30">
        <v>2.0</v>
      </c>
      <c r="Z234" s="28">
        <v>1165.0</v>
      </c>
    </row>
    <row r="235" ht="14.25" customHeight="1">
      <c r="A235" s="27">
        <v>44121.0</v>
      </c>
      <c r="B235" s="28">
        <v>348.0</v>
      </c>
      <c r="C235" s="28">
        <v>295.0</v>
      </c>
      <c r="D235" s="28">
        <v>38541.0</v>
      </c>
      <c r="E235" s="28">
        <v>13970.0</v>
      </c>
      <c r="F235" s="29">
        <v>937688.0</v>
      </c>
      <c r="G235" s="29">
        <v>14318.0</v>
      </c>
      <c r="H235" s="29">
        <v>976229.0</v>
      </c>
      <c r="I235" s="28">
        <v>305.0</v>
      </c>
      <c r="J235" s="28">
        <v>275.0</v>
      </c>
      <c r="K235" s="28">
        <v>28398.0</v>
      </c>
      <c r="L235" s="28">
        <v>3266.0</v>
      </c>
      <c r="M235" s="28">
        <v>369988.0</v>
      </c>
      <c r="N235" s="28">
        <v>398386.0</v>
      </c>
      <c r="O235" s="28">
        <v>17.0</v>
      </c>
      <c r="P235" s="30">
        <v>3062.0</v>
      </c>
      <c r="Q235" s="30">
        <v>11.0</v>
      </c>
      <c r="R235" s="30">
        <v>2547.0</v>
      </c>
      <c r="S235" s="30">
        <v>1.0</v>
      </c>
      <c r="T235" s="30">
        <v>379.0</v>
      </c>
      <c r="U235" s="30">
        <v>136.0</v>
      </c>
      <c r="V235" s="30">
        <v>135.0</v>
      </c>
      <c r="W235" s="30">
        <v>16.0</v>
      </c>
      <c r="X235" s="30">
        <v>4.0</v>
      </c>
      <c r="Y235" s="30">
        <v>2.0</v>
      </c>
      <c r="Z235" s="28">
        <v>1167.0</v>
      </c>
    </row>
    <row r="236" ht="14.25" customHeight="1">
      <c r="A236" s="27">
        <v>44122.0</v>
      </c>
      <c r="B236" s="28">
        <v>137.0</v>
      </c>
      <c r="C236" s="28">
        <v>253.0</v>
      </c>
      <c r="D236" s="28">
        <v>38678.0</v>
      </c>
      <c r="E236" s="28">
        <v>3770.0</v>
      </c>
      <c r="F236" s="29">
        <v>941458.0</v>
      </c>
      <c r="G236" s="29">
        <v>3907.0</v>
      </c>
      <c r="H236" s="29">
        <v>980136.0</v>
      </c>
      <c r="I236" s="28">
        <v>124.0</v>
      </c>
      <c r="J236" s="28">
        <v>231.0</v>
      </c>
      <c r="K236" s="28">
        <v>28522.0</v>
      </c>
      <c r="L236" s="28">
        <v>1202.0</v>
      </c>
      <c r="M236" s="28">
        <v>371190.0</v>
      </c>
      <c r="N236" s="28">
        <v>399712.0</v>
      </c>
      <c r="O236" s="28">
        <v>16.0</v>
      </c>
      <c r="P236" s="30">
        <v>3078.0</v>
      </c>
      <c r="Q236" s="30">
        <v>11.0</v>
      </c>
      <c r="R236" s="30">
        <v>2558.0</v>
      </c>
      <c r="S236" s="30">
        <v>0.0</v>
      </c>
      <c r="T236" s="30">
        <v>379.0</v>
      </c>
      <c r="U236" s="30">
        <v>141.0</v>
      </c>
      <c r="V236" s="30">
        <v>136.0</v>
      </c>
      <c r="W236" s="30">
        <v>16.0</v>
      </c>
      <c r="X236" s="30">
        <v>6.0</v>
      </c>
      <c r="Y236" s="30">
        <v>1.0</v>
      </c>
      <c r="Z236" s="28">
        <v>1168.0</v>
      </c>
    </row>
    <row r="237" ht="14.25" customHeight="1">
      <c r="A237" s="27">
        <v>44123.0</v>
      </c>
      <c r="B237" s="28">
        <v>334.0</v>
      </c>
      <c r="C237" s="28">
        <v>273.0</v>
      </c>
      <c r="D237" s="28">
        <v>39012.0</v>
      </c>
      <c r="E237" s="28">
        <v>7210.0</v>
      </c>
      <c r="F237" s="29">
        <v>948668.0</v>
      </c>
      <c r="G237" s="29">
        <v>7544.0</v>
      </c>
      <c r="H237" s="29">
        <v>987680.0</v>
      </c>
      <c r="I237" s="28">
        <v>317.0</v>
      </c>
      <c r="J237" s="28">
        <v>249.0</v>
      </c>
      <c r="K237" s="28">
        <v>28839.0</v>
      </c>
      <c r="L237" s="28">
        <v>2137.0</v>
      </c>
      <c r="M237" s="28">
        <v>373327.0</v>
      </c>
      <c r="N237" s="28">
        <v>402166.0</v>
      </c>
      <c r="O237" s="28">
        <v>13.0</v>
      </c>
      <c r="P237" s="30">
        <v>3091.0</v>
      </c>
      <c r="Q237" s="30">
        <v>22.0</v>
      </c>
      <c r="R237" s="30">
        <v>2580.0</v>
      </c>
      <c r="S237" s="30">
        <v>2.0</v>
      </c>
      <c r="T237" s="30">
        <v>381.0</v>
      </c>
      <c r="U237" s="30">
        <v>130.0</v>
      </c>
      <c r="V237" s="30">
        <v>136.0</v>
      </c>
      <c r="W237" s="30">
        <v>14.0</v>
      </c>
      <c r="X237" s="30">
        <v>6.0</v>
      </c>
      <c r="Y237" s="30">
        <v>0.0</v>
      </c>
      <c r="Z237" s="28">
        <v>1168.0</v>
      </c>
    </row>
    <row r="238" ht="14.25" customHeight="1">
      <c r="A238" s="27">
        <v>44124.0</v>
      </c>
      <c r="B238" s="28">
        <v>312.0</v>
      </c>
      <c r="C238" s="28">
        <v>261.0</v>
      </c>
      <c r="D238" s="28">
        <v>39324.0</v>
      </c>
      <c r="E238" s="28">
        <v>10568.0</v>
      </c>
      <c r="F238" s="29">
        <v>959236.0</v>
      </c>
      <c r="G238" s="29">
        <v>10880.0</v>
      </c>
      <c r="H238" s="29">
        <v>998560.0</v>
      </c>
      <c r="I238" s="28">
        <v>284.0</v>
      </c>
      <c r="J238" s="28">
        <v>242.0</v>
      </c>
      <c r="K238" s="28">
        <v>29123.0</v>
      </c>
      <c r="L238" s="28">
        <v>2230.0</v>
      </c>
      <c r="M238" s="28">
        <v>375557.0</v>
      </c>
      <c r="N238" s="28">
        <v>404680.0</v>
      </c>
      <c r="O238" s="31"/>
      <c r="P238" s="32"/>
      <c r="Q238" s="32"/>
      <c r="R238" s="32"/>
      <c r="S238" s="32"/>
      <c r="T238" s="32"/>
      <c r="U238" s="32"/>
      <c r="V238" s="32"/>
      <c r="W238" s="32"/>
      <c r="X238" s="32"/>
      <c r="Y238" s="30">
        <v>1.0</v>
      </c>
      <c r="Z238" s="28">
        <v>1169.0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3" t="str">
        <f t="shared" ref="A1:O1" si="1">'Municipality Case Trends'!A5</f>
        <v>#REF!</v>
      </c>
      <c r="B1" s="233" t="str">
        <f t="shared" si="1"/>
        <v>#REF!</v>
      </c>
      <c r="C1" s="233" t="str">
        <f t="shared" si="1"/>
        <v>#REF!</v>
      </c>
      <c r="D1" s="233" t="str">
        <f t="shared" si="1"/>
        <v>#REF!</v>
      </c>
      <c r="E1" s="233" t="str">
        <f t="shared" si="1"/>
        <v>#REF!</v>
      </c>
      <c r="F1" s="233" t="str">
        <f t="shared" si="1"/>
        <v>#REF!</v>
      </c>
      <c r="G1" s="233" t="str">
        <f t="shared" si="1"/>
        <v>#REF!</v>
      </c>
      <c r="H1" s="233" t="str">
        <f t="shared" si="1"/>
        <v>#REF!</v>
      </c>
      <c r="I1" s="233" t="str">
        <f t="shared" si="1"/>
        <v>#REF!</v>
      </c>
      <c r="J1" s="233" t="str">
        <f t="shared" si="1"/>
        <v>#REF!</v>
      </c>
      <c r="K1" s="233" t="str">
        <f t="shared" si="1"/>
        <v>#REF!</v>
      </c>
      <c r="L1" s="233" t="str">
        <f t="shared" si="1"/>
        <v>#REF!</v>
      </c>
      <c r="M1" s="233" t="str">
        <f t="shared" si="1"/>
        <v>#REF!</v>
      </c>
      <c r="N1" s="233" t="str">
        <f t="shared" si="1"/>
        <v>#REF!</v>
      </c>
      <c r="O1" s="233" t="str">
        <f t="shared" si="1"/>
        <v>#REF!</v>
      </c>
      <c r="P1" s="233" t="str">
        <f t="shared" ref="P1:Z1" si="2">#REF!</f>
        <v>#REF!</v>
      </c>
      <c r="Q1" s="233" t="str">
        <f t="shared" si="2"/>
        <v>#REF!</v>
      </c>
      <c r="R1" s="233" t="str">
        <f t="shared" si="2"/>
        <v>#REF!</v>
      </c>
      <c r="S1" s="233" t="str">
        <f t="shared" si="2"/>
        <v>#REF!</v>
      </c>
      <c r="T1" s="233" t="str">
        <f t="shared" si="2"/>
        <v>#REF!</v>
      </c>
      <c r="U1" s="233" t="str">
        <f t="shared" si="2"/>
        <v>#REF!</v>
      </c>
      <c r="V1" s="233" t="str">
        <f t="shared" si="2"/>
        <v>#REF!</v>
      </c>
      <c r="W1" s="233" t="str">
        <f t="shared" si="2"/>
        <v>#REF!</v>
      </c>
      <c r="X1" s="233" t="str">
        <f t="shared" si="2"/>
        <v>#REF!</v>
      </c>
      <c r="Y1" s="233" t="str">
        <f t="shared" si="2"/>
        <v>#REF!</v>
      </c>
      <c r="Z1" s="233" t="str">
        <f t="shared" si="2"/>
        <v>#REF!</v>
      </c>
    </row>
    <row r="2">
      <c r="A2" s="233" t="str">
        <f t="shared" ref="A2:O2" si="3">'Municipality Case Trends'!A6</f>
        <v>#REF!</v>
      </c>
      <c r="B2" s="233" t="str">
        <f t="shared" si="3"/>
        <v>#REF!</v>
      </c>
      <c r="C2" s="233" t="str">
        <f t="shared" si="3"/>
        <v>#REF!</v>
      </c>
      <c r="D2" s="233" t="str">
        <f t="shared" si="3"/>
        <v>#REF!</v>
      </c>
      <c r="E2" s="233" t="str">
        <f t="shared" si="3"/>
        <v>#REF!</v>
      </c>
      <c r="F2" s="233" t="str">
        <f t="shared" si="3"/>
        <v>#REF!</v>
      </c>
      <c r="G2" s="233" t="str">
        <f t="shared" si="3"/>
        <v>#REF!</v>
      </c>
      <c r="H2" s="233" t="str">
        <f t="shared" si="3"/>
        <v>#REF!</v>
      </c>
      <c r="I2" s="233" t="str">
        <f t="shared" si="3"/>
        <v>#REF!</v>
      </c>
      <c r="J2" s="233" t="str">
        <f t="shared" si="3"/>
        <v>#REF!</v>
      </c>
      <c r="K2" s="233" t="str">
        <f t="shared" si="3"/>
        <v>#REF!</v>
      </c>
      <c r="L2" s="233" t="str">
        <f t="shared" si="3"/>
        <v>#REF!</v>
      </c>
      <c r="M2" s="233" t="str">
        <f t="shared" si="3"/>
        <v>#REF!</v>
      </c>
      <c r="N2" s="233" t="str">
        <f t="shared" si="3"/>
        <v>#REF!</v>
      </c>
      <c r="O2" s="233" t="str">
        <f t="shared" si="3"/>
        <v>#REF!</v>
      </c>
      <c r="P2" s="233" t="str">
        <f t="shared" ref="P2:X2" si="4">#REF!</f>
        <v>#REF!</v>
      </c>
      <c r="Q2" s="233" t="str">
        <f t="shared" si="4"/>
        <v>#REF!</v>
      </c>
      <c r="R2" s="233" t="str">
        <f t="shared" si="4"/>
        <v>#REF!</v>
      </c>
      <c r="S2" s="233" t="str">
        <f t="shared" si="4"/>
        <v>#REF!</v>
      </c>
      <c r="T2" s="233" t="str">
        <f t="shared" si="4"/>
        <v>#REF!</v>
      </c>
      <c r="U2" s="233" t="str">
        <f t="shared" si="4"/>
        <v>#REF!</v>
      </c>
      <c r="V2" s="233" t="str">
        <f t="shared" si="4"/>
        <v>#REF!</v>
      </c>
      <c r="W2" s="233" t="str">
        <f t="shared" si="4"/>
        <v>#REF!</v>
      </c>
      <c r="X2" s="233" t="str">
        <f t="shared" si="4"/>
        <v>#REF!</v>
      </c>
    </row>
    <row r="3">
      <c r="A3" s="233" t="str">
        <f t="shared" ref="A3:O3" si="5">'Municipality Case Trends'!A7</f>
        <v>#REF!</v>
      </c>
      <c r="B3" s="233" t="str">
        <f t="shared" si="5"/>
        <v>#REF!</v>
      </c>
      <c r="C3" s="233" t="str">
        <f t="shared" si="5"/>
        <v>#REF!</v>
      </c>
      <c r="D3" s="233" t="str">
        <f t="shared" si="5"/>
        <v>#REF!</v>
      </c>
      <c r="E3" s="233" t="str">
        <f t="shared" si="5"/>
        <v>#REF!</v>
      </c>
      <c r="F3" s="233" t="str">
        <f t="shared" si="5"/>
        <v>#REF!</v>
      </c>
      <c r="G3" s="233" t="str">
        <f t="shared" si="5"/>
        <v>#REF!</v>
      </c>
      <c r="H3" s="233" t="str">
        <f t="shared" si="5"/>
        <v>#REF!</v>
      </c>
      <c r="I3" s="233" t="str">
        <f t="shared" si="5"/>
        <v>#REF!</v>
      </c>
      <c r="J3" s="233" t="str">
        <f t="shared" si="5"/>
        <v>#REF!</v>
      </c>
      <c r="K3" s="233" t="str">
        <f t="shared" si="5"/>
        <v>#REF!</v>
      </c>
      <c r="L3" s="233" t="str">
        <f t="shared" si="5"/>
        <v>#REF!</v>
      </c>
      <c r="M3" s="233" t="str">
        <f t="shared" si="5"/>
        <v>#REF!</v>
      </c>
      <c r="N3" s="233" t="str">
        <f t="shared" si="5"/>
        <v>#REF!</v>
      </c>
      <c r="O3" s="233" t="str">
        <f t="shared" si="5"/>
        <v>#REF!</v>
      </c>
      <c r="P3" s="233" t="str">
        <f t="shared" ref="P3:X3" si="6">#REF!</f>
        <v>#REF!</v>
      </c>
      <c r="Q3" s="233" t="str">
        <f t="shared" si="6"/>
        <v>#REF!</v>
      </c>
      <c r="R3" s="233" t="str">
        <f t="shared" si="6"/>
        <v>#REF!</v>
      </c>
      <c r="S3" s="233" t="str">
        <f t="shared" si="6"/>
        <v>#REF!</v>
      </c>
      <c r="T3" s="233" t="str">
        <f t="shared" si="6"/>
        <v>#REF!</v>
      </c>
      <c r="U3" s="233" t="str">
        <f t="shared" si="6"/>
        <v>#REF!</v>
      </c>
      <c r="V3" s="233" t="str">
        <f t="shared" si="6"/>
        <v>#REF!</v>
      </c>
      <c r="W3" s="233" t="str">
        <f t="shared" si="6"/>
        <v>#REF!</v>
      </c>
      <c r="X3" s="233" t="str">
        <f t="shared" si="6"/>
        <v>#REF!</v>
      </c>
    </row>
    <row r="4">
      <c r="A4" s="233" t="str">
        <f t="shared" ref="A4:O4" si="7">'Municipality Case Trends'!A8</f>
        <v>#REF!</v>
      </c>
      <c r="B4" s="233" t="str">
        <f t="shared" si="7"/>
        <v>#REF!</v>
      </c>
      <c r="C4" s="233" t="str">
        <f t="shared" si="7"/>
        <v>#REF!</v>
      </c>
      <c r="D4" s="233" t="str">
        <f t="shared" si="7"/>
        <v>#REF!</v>
      </c>
      <c r="E4" s="233" t="str">
        <f t="shared" si="7"/>
        <v>#REF!</v>
      </c>
      <c r="F4" s="233" t="str">
        <f t="shared" si="7"/>
        <v>#REF!</v>
      </c>
      <c r="G4" s="233" t="str">
        <f t="shared" si="7"/>
        <v>#REF!</v>
      </c>
      <c r="H4" s="233" t="str">
        <f t="shared" si="7"/>
        <v>#REF!</v>
      </c>
      <c r="I4" s="233" t="str">
        <f t="shared" si="7"/>
        <v>#REF!</v>
      </c>
      <c r="J4" s="233" t="str">
        <f t="shared" si="7"/>
        <v>#REF!</v>
      </c>
      <c r="K4" s="233" t="str">
        <f t="shared" si="7"/>
        <v>#REF!</v>
      </c>
      <c r="L4" s="233" t="str">
        <f t="shared" si="7"/>
        <v>#REF!</v>
      </c>
      <c r="M4" s="233" t="str">
        <f t="shared" si="7"/>
        <v>#REF!</v>
      </c>
      <c r="N4" s="233" t="str">
        <f t="shared" si="7"/>
        <v>#REF!</v>
      </c>
      <c r="O4" s="233" t="str">
        <f t="shared" si="7"/>
        <v>#REF!</v>
      </c>
      <c r="P4" s="233" t="str">
        <f t="shared" ref="P4:X4" si="8">#REF!</f>
        <v>#REF!</v>
      </c>
      <c r="Q4" s="233" t="str">
        <f t="shared" si="8"/>
        <v>#REF!</v>
      </c>
      <c r="R4" s="233" t="str">
        <f t="shared" si="8"/>
        <v>#REF!</v>
      </c>
      <c r="S4" s="233" t="str">
        <f t="shared" si="8"/>
        <v>#REF!</v>
      </c>
      <c r="T4" s="233" t="str">
        <f t="shared" si="8"/>
        <v>#REF!</v>
      </c>
      <c r="U4" s="233" t="str">
        <f t="shared" si="8"/>
        <v>#REF!</v>
      </c>
      <c r="V4" s="233" t="str">
        <f t="shared" si="8"/>
        <v>#REF!</v>
      </c>
      <c r="W4" s="233" t="str">
        <f t="shared" si="8"/>
        <v>#REF!</v>
      </c>
      <c r="X4" s="233" t="str">
        <f t="shared" si="8"/>
        <v>#REF!</v>
      </c>
    </row>
    <row r="5">
      <c r="A5" s="233" t="str">
        <f t="shared" ref="A5:O5" si="9">'Municipality Case Trends'!A9</f>
        <v>#REF!</v>
      </c>
      <c r="B5" s="233" t="str">
        <f t="shared" si="9"/>
        <v>#REF!</v>
      </c>
      <c r="C5" s="233" t="str">
        <f t="shared" si="9"/>
        <v>#REF!</v>
      </c>
      <c r="D5" s="233" t="str">
        <f t="shared" si="9"/>
        <v>#REF!</v>
      </c>
      <c r="E5" s="233" t="str">
        <f t="shared" si="9"/>
        <v>#REF!</v>
      </c>
      <c r="F5" s="233" t="str">
        <f t="shared" si="9"/>
        <v>#REF!</v>
      </c>
      <c r="G5" s="233" t="str">
        <f t="shared" si="9"/>
        <v>#REF!</v>
      </c>
      <c r="H5" s="233" t="str">
        <f t="shared" si="9"/>
        <v>#REF!</v>
      </c>
      <c r="I5" s="233" t="str">
        <f t="shared" si="9"/>
        <v>#REF!</v>
      </c>
      <c r="J5" s="233" t="str">
        <f t="shared" si="9"/>
        <v>#REF!</v>
      </c>
      <c r="K5" s="233" t="str">
        <f t="shared" si="9"/>
        <v>#REF!</v>
      </c>
      <c r="L5" s="233" t="str">
        <f t="shared" si="9"/>
        <v>#REF!</v>
      </c>
      <c r="M5" s="233" t="str">
        <f t="shared" si="9"/>
        <v>#REF!</v>
      </c>
      <c r="N5" s="233" t="str">
        <f t="shared" si="9"/>
        <v>#REF!</v>
      </c>
      <c r="O5" s="233" t="str">
        <f t="shared" si="9"/>
        <v>#REF!</v>
      </c>
      <c r="P5" s="233" t="str">
        <f t="shared" ref="P5:X5" si="10">#REF!</f>
        <v>#REF!</v>
      </c>
      <c r="Q5" s="233" t="str">
        <f t="shared" si="10"/>
        <v>#REF!</v>
      </c>
      <c r="R5" s="233" t="str">
        <f t="shared" si="10"/>
        <v>#REF!</v>
      </c>
      <c r="S5" s="233" t="str">
        <f t="shared" si="10"/>
        <v>#REF!</v>
      </c>
      <c r="T5" s="233" t="str">
        <f t="shared" si="10"/>
        <v>#REF!</v>
      </c>
      <c r="U5" s="233" t="str">
        <f t="shared" si="10"/>
        <v>#REF!</v>
      </c>
      <c r="V5" s="233" t="str">
        <f t="shared" si="10"/>
        <v>#REF!</v>
      </c>
      <c r="W5" s="233" t="str">
        <f t="shared" si="10"/>
        <v>#REF!</v>
      </c>
      <c r="X5" s="233" t="str">
        <f t="shared" si="10"/>
        <v>#REF!</v>
      </c>
    </row>
    <row r="6">
      <c r="A6" s="233" t="str">
        <f t="shared" ref="A6:O6" si="11">'Municipality Case Trends'!A10</f>
        <v>#REF!</v>
      </c>
      <c r="B6" s="233" t="str">
        <f t="shared" si="11"/>
        <v>#REF!</v>
      </c>
      <c r="C6" s="233" t="str">
        <f t="shared" si="11"/>
        <v>#REF!</v>
      </c>
      <c r="D6" s="233" t="str">
        <f t="shared" si="11"/>
        <v>#REF!</v>
      </c>
      <c r="E6" s="233" t="str">
        <f t="shared" si="11"/>
        <v>#REF!</v>
      </c>
      <c r="F6" s="233" t="str">
        <f t="shared" si="11"/>
        <v>#REF!</v>
      </c>
      <c r="G6" s="233" t="str">
        <f t="shared" si="11"/>
        <v>#REF!</v>
      </c>
      <c r="H6" s="233" t="str">
        <f t="shared" si="11"/>
        <v>#REF!</v>
      </c>
      <c r="I6" s="233" t="str">
        <f t="shared" si="11"/>
        <v>#REF!</v>
      </c>
      <c r="J6" s="233" t="str">
        <f t="shared" si="11"/>
        <v>#REF!</v>
      </c>
      <c r="K6" s="233" t="str">
        <f t="shared" si="11"/>
        <v>#REF!</v>
      </c>
      <c r="L6" s="233" t="str">
        <f t="shared" si="11"/>
        <v>#REF!</v>
      </c>
      <c r="M6" s="233" t="str">
        <f t="shared" si="11"/>
        <v>#REF!</v>
      </c>
      <c r="N6" s="233" t="str">
        <f t="shared" si="11"/>
        <v>#REF!</v>
      </c>
      <c r="O6" s="233" t="str">
        <f t="shared" si="11"/>
        <v>#REF!</v>
      </c>
      <c r="P6" s="233" t="str">
        <f t="shared" ref="P6:X6" si="12">#REF!</f>
        <v>#REF!</v>
      </c>
      <c r="Q6" s="233" t="str">
        <f t="shared" si="12"/>
        <v>#REF!</v>
      </c>
      <c r="R6" s="233" t="str">
        <f t="shared" si="12"/>
        <v>#REF!</v>
      </c>
      <c r="S6" s="233" t="str">
        <f t="shared" si="12"/>
        <v>#REF!</v>
      </c>
      <c r="T6" s="233" t="str">
        <f t="shared" si="12"/>
        <v>#REF!</v>
      </c>
      <c r="U6" s="233" t="str">
        <f t="shared" si="12"/>
        <v>#REF!</v>
      </c>
      <c r="V6" s="233" t="str">
        <f t="shared" si="12"/>
        <v>#REF!</v>
      </c>
      <c r="W6" s="233" t="str">
        <f t="shared" si="12"/>
        <v>#REF!</v>
      </c>
      <c r="X6" s="233" t="str">
        <f t="shared" si="12"/>
        <v>#REF!</v>
      </c>
    </row>
    <row r="7">
      <c r="A7" s="233" t="str">
        <f t="shared" ref="A7:O7" si="13">'Municipality Case Trends'!A11</f>
        <v>#REF!</v>
      </c>
      <c r="B7" s="233" t="str">
        <f t="shared" si="13"/>
        <v>#REF!</v>
      </c>
      <c r="C7" s="233" t="str">
        <f t="shared" si="13"/>
        <v>#REF!</v>
      </c>
      <c r="D7" s="233" t="str">
        <f t="shared" si="13"/>
        <v>#REF!</v>
      </c>
      <c r="E7" s="233" t="str">
        <f t="shared" si="13"/>
        <v>#REF!</v>
      </c>
      <c r="F7" s="233" t="str">
        <f t="shared" si="13"/>
        <v>#REF!</v>
      </c>
      <c r="G7" s="233" t="str">
        <f t="shared" si="13"/>
        <v>#REF!</v>
      </c>
      <c r="H7" s="233" t="str">
        <f t="shared" si="13"/>
        <v>#REF!</v>
      </c>
      <c r="I7" s="233" t="str">
        <f t="shared" si="13"/>
        <v>#REF!</v>
      </c>
      <c r="J7" s="233" t="str">
        <f t="shared" si="13"/>
        <v>#REF!</v>
      </c>
      <c r="K7" s="233" t="str">
        <f t="shared" si="13"/>
        <v>#REF!</v>
      </c>
      <c r="L7" s="233" t="str">
        <f t="shared" si="13"/>
        <v>#REF!</v>
      </c>
      <c r="M7" s="233" t="str">
        <f t="shared" si="13"/>
        <v>#REF!</v>
      </c>
      <c r="N7" s="233" t="str">
        <f t="shared" si="13"/>
        <v>#REF!</v>
      </c>
      <c r="O7" s="233" t="str">
        <f t="shared" si="13"/>
        <v>#REF!</v>
      </c>
      <c r="P7" s="233" t="str">
        <f t="shared" ref="P7:X7" si="14">#REF!</f>
        <v>#REF!</v>
      </c>
      <c r="Q7" s="233" t="str">
        <f t="shared" si="14"/>
        <v>#REF!</v>
      </c>
      <c r="R7" s="233" t="str">
        <f t="shared" si="14"/>
        <v>#REF!</v>
      </c>
      <c r="S7" s="233" t="str">
        <f t="shared" si="14"/>
        <v>#REF!</v>
      </c>
      <c r="T7" s="233" t="str">
        <f t="shared" si="14"/>
        <v>#REF!</v>
      </c>
      <c r="U7" s="233" t="str">
        <f t="shared" si="14"/>
        <v>#REF!</v>
      </c>
      <c r="V7" s="233" t="str">
        <f t="shared" si="14"/>
        <v>#REF!</v>
      </c>
      <c r="W7" s="233" t="str">
        <f t="shared" si="14"/>
        <v>#REF!</v>
      </c>
      <c r="X7" s="233" t="str">
        <f t="shared" si="14"/>
        <v>#REF!</v>
      </c>
    </row>
    <row r="8">
      <c r="A8" s="233" t="str">
        <f t="shared" ref="A8:O8" si="15">'Municipality Case Trends'!A12</f>
        <v>#REF!</v>
      </c>
      <c r="B8" s="233" t="str">
        <f t="shared" si="15"/>
        <v>#REF!</v>
      </c>
      <c r="C8" s="233" t="str">
        <f t="shared" si="15"/>
        <v>#REF!</v>
      </c>
      <c r="D8" s="233" t="str">
        <f t="shared" si="15"/>
        <v>#REF!</v>
      </c>
      <c r="E8" s="233" t="str">
        <f t="shared" si="15"/>
        <v>#REF!</v>
      </c>
      <c r="F8" s="233" t="str">
        <f t="shared" si="15"/>
        <v>#REF!</v>
      </c>
      <c r="G8" s="233" t="str">
        <f t="shared" si="15"/>
        <v>#REF!</v>
      </c>
      <c r="H8" s="233" t="str">
        <f t="shared" si="15"/>
        <v>#REF!</v>
      </c>
      <c r="I8" s="233" t="str">
        <f t="shared" si="15"/>
        <v>#REF!</v>
      </c>
      <c r="J8" s="233" t="str">
        <f t="shared" si="15"/>
        <v>#REF!</v>
      </c>
      <c r="K8" s="233" t="str">
        <f t="shared" si="15"/>
        <v>#REF!</v>
      </c>
      <c r="L8" s="233" t="str">
        <f t="shared" si="15"/>
        <v>#REF!</v>
      </c>
      <c r="M8" s="233" t="str">
        <f t="shared" si="15"/>
        <v>#REF!</v>
      </c>
      <c r="N8" s="233" t="str">
        <f t="shared" si="15"/>
        <v>#REF!</v>
      </c>
      <c r="O8" s="233" t="str">
        <f t="shared" si="15"/>
        <v>#REF!</v>
      </c>
      <c r="P8" s="233" t="str">
        <f t="shared" ref="P8:X8" si="16">#REF!</f>
        <v>#REF!</v>
      </c>
      <c r="Q8" s="233" t="str">
        <f t="shared" si="16"/>
        <v>#REF!</v>
      </c>
      <c r="R8" s="233" t="str">
        <f t="shared" si="16"/>
        <v>#REF!</v>
      </c>
      <c r="S8" s="233" t="str">
        <f t="shared" si="16"/>
        <v>#REF!</v>
      </c>
      <c r="T8" s="233" t="str">
        <f t="shared" si="16"/>
        <v>#REF!</v>
      </c>
      <c r="U8" s="233" t="str">
        <f t="shared" si="16"/>
        <v>#REF!</v>
      </c>
      <c r="V8" s="233" t="str">
        <f t="shared" si="16"/>
        <v>#REF!</v>
      </c>
      <c r="W8" s="233" t="str">
        <f t="shared" si="16"/>
        <v>#REF!</v>
      </c>
      <c r="X8" s="233" t="str">
        <f t="shared" si="16"/>
        <v>#REF!</v>
      </c>
    </row>
    <row r="9">
      <c r="A9" s="233" t="str">
        <f t="shared" ref="A9:O9" si="17">'Municipality Case Trends'!A13</f>
        <v>#REF!</v>
      </c>
      <c r="B9" s="233" t="str">
        <f t="shared" si="17"/>
        <v>#REF!</v>
      </c>
      <c r="C9" s="233" t="str">
        <f t="shared" si="17"/>
        <v>#REF!</v>
      </c>
      <c r="D9" s="233" t="str">
        <f t="shared" si="17"/>
        <v>#REF!</v>
      </c>
      <c r="E9" s="233" t="str">
        <f t="shared" si="17"/>
        <v>#REF!</v>
      </c>
      <c r="F9" s="233" t="str">
        <f t="shared" si="17"/>
        <v>#REF!</v>
      </c>
      <c r="G9" s="233" t="str">
        <f t="shared" si="17"/>
        <v>#REF!</v>
      </c>
      <c r="H9" s="233" t="str">
        <f t="shared" si="17"/>
        <v>#REF!</v>
      </c>
      <c r="I9" s="233" t="str">
        <f t="shared" si="17"/>
        <v>#REF!</v>
      </c>
      <c r="J9" s="233" t="str">
        <f t="shared" si="17"/>
        <v>#REF!</v>
      </c>
      <c r="K9" s="233" t="str">
        <f t="shared" si="17"/>
        <v>#REF!</v>
      </c>
      <c r="L9" s="233" t="str">
        <f t="shared" si="17"/>
        <v>#REF!</v>
      </c>
      <c r="M9" s="233" t="str">
        <f t="shared" si="17"/>
        <v>#REF!</v>
      </c>
      <c r="N9" s="233" t="str">
        <f t="shared" si="17"/>
        <v>#REF!</v>
      </c>
      <c r="O9" s="233" t="str">
        <f t="shared" si="17"/>
        <v>#REF!</v>
      </c>
      <c r="P9" s="233" t="str">
        <f t="shared" ref="P9:X9" si="18">#REF!</f>
        <v>#REF!</v>
      </c>
      <c r="Q9" s="233" t="str">
        <f t="shared" si="18"/>
        <v>#REF!</v>
      </c>
      <c r="R9" s="233" t="str">
        <f t="shared" si="18"/>
        <v>#REF!</v>
      </c>
      <c r="S9" s="233" t="str">
        <f t="shared" si="18"/>
        <v>#REF!</v>
      </c>
      <c r="T9" s="233" t="str">
        <f t="shared" si="18"/>
        <v>#REF!</v>
      </c>
      <c r="U9" s="233" t="str">
        <f t="shared" si="18"/>
        <v>#REF!</v>
      </c>
      <c r="V9" s="233" t="str">
        <f t="shared" si="18"/>
        <v>#REF!</v>
      </c>
      <c r="W9" s="233" t="str">
        <f t="shared" si="18"/>
        <v>#REF!</v>
      </c>
      <c r="X9" s="233" t="str">
        <f t="shared" si="18"/>
        <v>#REF!</v>
      </c>
    </row>
    <row r="10">
      <c r="A10" s="233" t="str">
        <f t="shared" ref="A10:O10" si="19">'Municipality Case Trends'!A14</f>
        <v>#REF!</v>
      </c>
      <c r="B10" s="233" t="str">
        <f t="shared" si="19"/>
        <v>#REF!</v>
      </c>
      <c r="C10" s="233" t="str">
        <f t="shared" si="19"/>
        <v>#REF!</v>
      </c>
      <c r="D10" s="233" t="str">
        <f t="shared" si="19"/>
        <v>#REF!</v>
      </c>
      <c r="E10" s="233" t="str">
        <f t="shared" si="19"/>
        <v>#REF!</v>
      </c>
      <c r="F10" s="233" t="str">
        <f t="shared" si="19"/>
        <v>#REF!</v>
      </c>
      <c r="G10" s="233" t="str">
        <f t="shared" si="19"/>
        <v>#REF!</v>
      </c>
      <c r="H10" s="233" t="str">
        <f t="shared" si="19"/>
        <v>#REF!</v>
      </c>
      <c r="I10" s="233" t="str">
        <f t="shared" si="19"/>
        <v>#REF!</v>
      </c>
      <c r="J10" s="233" t="str">
        <f t="shared" si="19"/>
        <v>#REF!</v>
      </c>
      <c r="K10" s="233" t="str">
        <f t="shared" si="19"/>
        <v>#REF!</v>
      </c>
      <c r="L10" s="233" t="str">
        <f t="shared" si="19"/>
        <v>#REF!</v>
      </c>
      <c r="M10" s="233" t="str">
        <f t="shared" si="19"/>
        <v>#REF!</v>
      </c>
      <c r="N10" s="233" t="str">
        <f t="shared" si="19"/>
        <v>#REF!</v>
      </c>
      <c r="O10" s="233" t="str">
        <f t="shared" si="19"/>
        <v>#REF!</v>
      </c>
      <c r="P10" s="233" t="str">
        <f t="shared" ref="P10:X10" si="20">#REF!</f>
        <v>#REF!</v>
      </c>
      <c r="Q10" s="233" t="str">
        <f t="shared" si="20"/>
        <v>#REF!</v>
      </c>
      <c r="R10" s="233" t="str">
        <f t="shared" si="20"/>
        <v>#REF!</v>
      </c>
      <c r="S10" s="233" t="str">
        <f t="shared" si="20"/>
        <v>#REF!</v>
      </c>
      <c r="T10" s="233" t="str">
        <f t="shared" si="20"/>
        <v>#REF!</v>
      </c>
      <c r="U10" s="233" t="str">
        <f t="shared" si="20"/>
        <v>#REF!</v>
      </c>
      <c r="V10" s="233" t="str">
        <f t="shared" si="20"/>
        <v>#REF!</v>
      </c>
      <c r="W10" s="233" t="str">
        <f t="shared" si="20"/>
        <v>#REF!</v>
      </c>
      <c r="X10" s="233" t="str">
        <f t="shared" si="20"/>
        <v>#REF!</v>
      </c>
    </row>
    <row r="11">
      <c r="A11" s="233" t="str">
        <f t="shared" ref="A11:O11" si="21">'Municipality Case Trends'!A15</f>
        <v>#REF!</v>
      </c>
      <c r="B11" s="233" t="str">
        <f t="shared" si="21"/>
        <v>#REF!</v>
      </c>
      <c r="C11" s="233" t="str">
        <f t="shared" si="21"/>
        <v>#REF!</v>
      </c>
      <c r="D11" s="233" t="str">
        <f t="shared" si="21"/>
        <v>#REF!</v>
      </c>
      <c r="E11" s="233" t="str">
        <f t="shared" si="21"/>
        <v>#REF!</v>
      </c>
      <c r="F11" s="233" t="str">
        <f t="shared" si="21"/>
        <v>#REF!</v>
      </c>
      <c r="G11" s="233" t="str">
        <f t="shared" si="21"/>
        <v>#REF!</v>
      </c>
      <c r="H11" s="233" t="str">
        <f t="shared" si="21"/>
        <v>#REF!</v>
      </c>
      <c r="I11" s="233" t="str">
        <f t="shared" si="21"/>
        <v>#REF!</v>
      </c>
      <c r="J11" s="233" t="str">
        <f t="shared" si="21"/>
        <v>#REF!</v>
      </c>
      <c r="K11" s="233" t="str">
        <f t="shared" si="21"/>
        <v>#REF!</v>
      </c>
      <c r="L11" s="233" t="str">
        <f t="shared" si="21"/>
        <v>#REF!</v>
      </c>
      <c r="M11" s="233" t="str">
        <f t="shared" si="21"/>
        <v>#REF!</v>
      </c>
      <c r="N11" s="233" t="str">
        <f t="shared" si="21"/>
        <v>#REF!</v>
      </c>
      <c r="O11" s="233" t="str">
        <f t="shared" si="21"/>
        <v>#REF!</v>
      </c>
      <c r="P11" s="233" t="str">
        <f t="shared" ref="P11:X11" si="22">#REF!</f>
        <v>#REF!</v>
      </c>
      <c r="Q11" s="233" t="str">
        <f t="shared" si="22"/>
        <v>#REF!</v>
      </c>
      <c r="R11" s="233" t="str">
        <f t="shared" si="22"/>
        <v>#REF!</v>
      </c>
      <c r="S11" s="233" t="str">
        <f t="shared" si="22"/>
        <v>#REF!</v>
      </c>
      <c r="T11" s="233" t="str">
        <f t="shared" si="22"/>
        <v>#REF!</v>
      </c>
      <c r="U11" s="233" t="str">
        <f t="shared" si="22"/>
        <v>#REF!</v>
      </c>
      <c r="V11" s="233" t="str">
        <f t="shared" si="22"/>
        <v>#REF!</v>
      </c>
      <c r="W11" s="233" t="str">
        <f t="shared" si="22"/>
        <v>#REF!</v>
      </c>
      <c r="X11" s="233" t="str">
        <f t="shared" si="22"/>
        <v>#REF!</v>
      </c>
    </row>
    <row r="12">
      <c r="A12" s="233" t="str">
        <f t="shared" ref="A12:O12" si="23">'Municipality Case Trends'!A16</f>
        <v>#REF!</v>
      </c>
      <c r="B12" s="233" t="str">
        <f t="shared" si="23"/>
        <v>#REF!</v>
      </c>
      <c r="C12" s="233" t="str">
        <f t="shared" si="23"/>
        <v>#REF!</v>
      </c>
      <c r="D12" s="233" t="str">
        <f t="shared" si="23"/>
        <v>#REF!</v>
      </c>
      <c r="E12" s="233" t="str">
        <f t="shared" si="23"/>
        <v>#REF!</v>
      </c>
      <c r="F12" s="233" t="str">
        <f t="shared" si="23"/>
        <v>#REF!</v>
      </c>
      <c r="G12" s="233" t="str">
        <f t="shared" si="23"/>
        <v>#REF!</v>
      </c>
      <c r="H12" s="233" t="str">
        <f t="shared" si="23"/>
        <v>#REF!</v>
      </c>
      <c r="I12" s="233" t="str">
        <f t="shared" si="23"/>
        <v>#REF!</v>
      </c>
      <c r="J12" s="233" t="str">
        <f t="shared" si="23"/>
        <v>#REF!</v>
      </c>
      <c r="K12" s="233" t="str">
        <f t="shared" si="23"/>
        <v>#REF!</v>
      </c>
      <c r="L12" s="233" t="str">
        <f t="shared" si="23"/>
        <v>#REF!</v>
      </c>
      <c r="M12" s="233" t="str">
        <f t="shared" si="23"/>
        <v>#REF!</v>
      </c>
      <c r="N12" s="233" t="str">
        <f t="shared" si="23"/>
        <v>#REF!</v>
      </c>
      <c r="O12" s="233" t="str">
        <f t="shared" si="23"/>
        <v>#REF!</v>
      </c>
      <c r="P12" s="233" t="str">
        <f t="shared" ref="P12:X12" si="24">#REF!</f>
        <v>#REF!</v>
      </c>
      <c r="Q12" s="233" t="str">
        <f t="shared" si="24"/>
        <v>#REF!</v>
      </c>
      <c r="R12" s="233" t="str">
        <f t="shared" si="24"/>
        <v>#REF!</v>
      </c>
      <c r="S12" s="233" t="str">
        <f t="shared" si="24"/>
        <v>#REF!</v>
      </c>
      <c r="T12" s="233" t="str">
        <f t="shared" si="24"/>
        <v>#REF!</v>
      </c>
      <c r="U12" s="233" t="str">
        <f t="shared" si="24"/>
        <v>#REF!</v>
      </c>
      <c r="V12" s="233" t="str">
        <f t="shared" si="24"/>
        <v>#REF!</v>
      </c>
      <c r="W12" s="233" t="str">
        <f t="shared" si="24"/>
        <v>#REF!</v>
      </c>
      <c r="X12" s="233" t="str">
        <f t="shared" si="24"/>
        <v>#REF!</v>
      </c>
    </row>
    <row r="13">
      <c r="A13" s="233" t="str">
        <f t="shared" ref="A13:O13" si="25">'Municipality Case Trends'!A17</f>
        <v>#REF!</v>
      </c>
      <c r="B13" s="233" t="str">
        <f t="shared" si="25"/>
        <v>#REF!</v>
      </c>
      <c r="C13" s="233" t="str">
        <f t="shared" si="25"/>
        <v>#REF!</v>
      </c>
      <c r="D13" s="233" t="str">
        <f t="shared" si="25"/>
        <v>#REF!</v>
      </c>
      <c r="E13" s="233" t="str">
        <f t="shared" si="25"/>
        <v>#REF!</v>
      </c>
      <c r="F13" s="233" t="str">
        <f t="shared" si="25"/>
        <v>#REF!</v>
      </c>
      <c r="G13" s="233" t="str">
        <f t="shared" si="25"/>
        <v>#REF!</v>
      </c>
      <c r="H13" s="233" t="str">
        <f t="shared" si="25"/>
        <v>#REF!</v>
      </c>
      <c r="I13" s="233" t="str">
        <f t="shared" si="25"/>
        <v>#REF!</v>
      </c>
      <c r="J13" s="233" t="str">
        <f t="shared" si="25"/>
        <v>#REF!</v>
      </c>
      <c r="K13" s="233" t="str">
        <f t="shared" si="25"/>
        <v>#REF!</v>
      </c>
      <c r="L13" s="233" t="str">
        <f t="shared" si="25"/>
        <v>#REF!</v>
      </c>
      <c r="M13" s="233" t="str">
        <f t="shared" si="25"/>
        <v>#REF!</v>
      </c>
      <c r="N13" s="233" t="str">
        <f t="shared" si="25"/>
        <v>#REF!</v>
      </c>
      <c r="O13" s="233" t="str">
        <f t="shared" si="25"/>
        <v>#REF!</v>
      </c>
      <c r="P13" s="233" t="str">
        <f t="shared" ref="P13:X13" si="26">#REF!</f>
        <v>#REF!</v>
      </c>
      <c r="Q13" s="233" t="str">
        <f t="shared" si="26"/>
        <v>#REF!</v>
      </c>
      <c r="R13" s="233" t="str">
        <f t="shared" si="26"/>
        <v>#REF!</v>
      </c>
      <c r="S13" s="233" t="str">
        <f t="shared" si="26"/>
        <v>#REF!</v>
      </c>
      <c r="T13" s="233" t="str">
        <f t="shared" si="26"/>
        <v>#REF!</v>
      </c>
      <c r="U13" s="233" t="str">
        <f t="shared" si="26"/>
        <v>#REF!</v>
      </c>
      <c r="V13" s="233" t="str">
        <f t="shared" si="26"/>
        <v>#REF!</v>
      </c>
      <c r="W13" s="233" t="str">
        <f t="shared" si="26"/>
        <v>#REF!</v>
      </c>
      <c r="X13" s="233" t="str">
        <f t="shared" si="26"/>
        <v>#REF!</v>
      </c>
    </row>
    <row r="14">
      <c r="A14" s="233" t="str">
        <f t="shared" ref="A14:O14" si="27">'Municipality Case Trends'!A18</f>
        <v>#REF!</v>
      </c>
      <c r="B14" s="233" t="str">
        <f t="shared" si="27"/>
        <v>#REF!</v>
      </c>
      <c r="C14" s="233" t="str">
        <f t="shared" si="27"/>
        <v>#REF!</v>
      </c>
      <c r="D14" s="233" t="str">
        <f t="shared" si="27"/>
        <v>#REF!</v>
      </c>
      <c r="E14" s="233" t="str">
        <f t="shared" si="27"/>
        <v>#REF!</v>
      </c>
      <c r="F14" s="233" t="str">
        <f t="shared" si="27"/>
        <v>#REF!</v>
      </c>
      <c r="G14" s="233" t="str">
        <f t="shared" si="27"/>
        <v>#REF!</v>
      </c>
      <c r="H14" s="233" t="str">
        <f t="shared" si="27"/>
        <v>#REF!</v>
      </c>
      <c r="I14" s="233" t="str">
        <f t="shared" si="27"/>
        <v>#REF!</v>
      </c>
      <c r="J14" s="233" t="str">
        <f t="shared" si="27"/>
        <v>#REF!</v>
      </c>
      <c r="K14" s="233" t="str">
        <f t="shared" si="27"/>
        <v>#REF!</v>
      </c>
      <c r="L14" s="233" t="str">
        <f t="shared" si="27"/>
        <v>#REF!</v>
      </c>
      <c r="M14" s="233" t="str">
        <f t="shared" si="27"/>
        <v>#REF!</v>
      </c>
      <c r="N14" s="233" t="str">
        <f t="shared" si="27"/>
        <v>#REF!</v>
      </c>
      <c r="O14" s="233" t="str">
        <f t="shared" si="27"/>
        <v>#REF!</v>
      </c>
      <c r="P14" s="233" t="str">
        <f t="shared" ref="P14:X14" si="28">#REF!</f>
        <v>#REF!</v>
      </c>
      <c r="Q14" s="233" t="str">
        <f t="shared" si="28"/>
        <v>#REF!</v>
      </c>
      <c r="R14" s="233" t="str">
        <f t="shared" si="28"/>
        <v>#REF!</v>
      </c>
      <c r="S14" s="233" t="str">
        <f t="shared" si="28"/>
        <v>#REF!</v>
      </c>
      <c r="T14" s="233" t="str">
        <f t="shared" si="28"/>
        <v>#REF!</v>
      </c>
      <c r="U14" s="233" t="str">
        <f t="shared" si="28"/>
        <v>#REF!</v>
      </c>
      <c r="V14" s="233" t="str">
        <f t="shared" si="28"/>
        <v>#REF!</v>
      </c>
      <c r="W14" s="233" t="str">
        <f t="shared" si="28"/>
        <v>#REF!</v>
      </c>
      <c r="X14" s="233" t="str">
        <f t="shared" si="28"/>
        <v>#REF!</v>
      </c>
    </row>
    <row r="15">
      <c r="A15" s="233" t="str">
        <f t="shared" ref="A15:O15" si="29">'Municipality Case Trends'!A19</f>
        <v>#REF!</v>
      </c>
      <c r="B15" s="233" t="str">
        <f t="shared" si="29"/>
        <v>#REF!</v>
      </c>
      <c r="C15" s="233" t="str">
        <f t="shared" si="29"/>
        <v>#REF!</v>
      </c>
      <c r="D15" s="233" t="str">
        <f t="shared" si="29"/>
        <v>#REF!</v>
      </c>
      <c r="E15" s="233" t="str">
        <f t="shared" si="29"/>
        <v>#REF!</v>
      </c>
      <c r="F15" s="233" t="str">
        <f t="shared" si="29"/>
        <v>#REF!</v>
      </c>
      <c r="G15" s="233" t="str">
        <f t="shared" si="29"/>
        <v>#REF!</v>
      </c>
      <c r="H15" s="233" t="str">
        <f t="shared" si="29"/>
        <v>#REF!</v>
      </c>
      <c r="I15" s="233" t="str">
        <f t="shared" si="29"/>
        <v>#REF!</v>
      </c>
      <c r="J15" s="233" t="str">
        <f t="shared" si="29"/>
        <v>#REF!</v>
      </c>
      <c r="K15" s="233" t="str">
        <f t="shared" si="29"/>
        <v>#REF!</v>
      </c>
      <c r="L15" s="233" t="str">
        <f t="shared" si="29"/>
        <v>#REF!</v>
      </c>
      <c r="M15" s="233" t="str">
        <f t="shared" si="29"/>
        <v>#REF!</v>
      </c>
      <c r="N15" s="233" t="str">
        <f t="shared" si="29"/>
        <v>#REF!</v>
      </c>
      <c r="O15" s="233" t="str">
        <f t="shared" si="29"/>
        <v>#REF!</v>
      </c>
      <c r="P15" s="233" t="str">
        <f t="shared" ref="P15:X15" si="30">#REF!</f>
        <v>#REF!</v>
      </c>
      <c r="Q15" s="233" t="str">
        <f t="shared" si="30"/>
        <v>#REF!</v>
      </c>
      <c r="R15" s="233" t="str">
        <f t="shared" si="30"/>
        <v>#REF!</v>
      </c>
      <c r="S15" s="233" t="str">
        <f t="shared" si="30"/>
        <v>#REF!</v>
      </c>
      <c r="T15" s="233" t="str">
        <f t="shared" si="30"/>
        <v>#REF!</v>
      </c>
      <c r="U15" s="233" t="str">
        <f t="shared" si="30"/>
        <v>#REF!</v>
      </c>
      <c r="V15" s="233" t="str">
        <f t="shared" si="30"/>
        <v>#REF!</v>
      </c>
      <c r="W15" s="233" t="str">
        <f t="shared" si="30"/>
        <v>#REF!</v>
      </c>
      <c r="X15" s="233" t="str">
        <f t="shared" si="30"/>
        <v>#REF!</v>
      </c>
    </row>
    <row r="16">
      <c r="A16" s="233" t="str">
        <f t="shared" ref="A16:O16" si="31">'Municipality Case Trends'!A20</f>
        <v>#REF!</v>
      </c>
      <c r="B16" s="233" t="str">
        <f t="shared" si="31"/>
        <v>#REF!</v>
      </c>
      <c r="C16" s="233" t="str">
        <f t="shared" si="31"/>
        <v>#REF!</v>
      </c>
      <c r="D16" s="233" t="str">
        <f t="shared" si="31"/>
        <v>#REF!</v>
      </c>
      <c r="E16" s="233" t="str">
        <f t="shared" si="31"/>
        <v>#REF!</v>
      </c>
      <c r="F16" s="233" t="str">
        <f t="shared" si="31"/>
        <v>#REF!</v>
      </c>
      <c r="G16" s="233" t="str">
        <f t="shared" si="31"/>
        <v>#REF!</v>
      </c>
      <c r="H16" s="233" t="str">
        <f t="shared" si="31"/>
        <v>#REF!</v>
      </c>
      <c r="I16" s="233" t="str">
        <f t="shared" si="31"/>
        <v>#REF!</v>
      </c>
      <c r="J16" s="233" t="str">
        <f t="shared" si="31"/>
        <v>#REF!</v>
      </c>
      <c r="K16" s="233" t="str">
        <f t="shared" si="31"/>
        <v>#REF!</v>
      </c>
      <c r="L16" s="233" t="str">
        <f t="shared" si="31"/>
        <v>#REF!</v>
      </c>
      <c r="M16" s="233" t="str">
        <f t="shared" si="31"/>
        <v>#REF!</v>
      </c>
      <c r="N16" s="233" t="str">
        <f t="shared" si="31"/>
        <v>#REF!</v>
      </c>
      <c r="O16" s="233" t="str">
        <f t="shared" si="31"/>
        <v>#REF!</v>
      </c>
      <c r="P16" s="233" t="str">
        <f t="shared" ref="P16:X16" si="32">#REF!</f>
        <v>#REF!</v>
      </c>
      <c r="Q16" s="233" t="str">
        <f t="shared" si="32"/>
        <v>#REF!</v>
      </c>
      <c r="R16" s="233" t="str">
        <f t="shared" si="32"/>
        <v>#REF!</v>
      </c>
      <c r="S16" s="233" t="str">
        <f t="shared" si="32"/>
        <v>#REF!</v>
      </c>
      <c r="T16" s="233" t="str">
        <f t="shared" si="32"/>
        <v>#REF!</v>
      </c>
      <c r="U16" s="233" t="str">
        <f t="shared" si="32"/>
        <v>#REF!</v>
      </c>
      <c r="V16" s="233" t="str">
        <f t="shared" si="32"/>
        <v>#REF!</v>
      </c>
      <c r="W16" s="233" t="str">
        <f t="shared" si="32"/>
        <v>#REF!</v>
      </c>
      <c r="X16" s="233" t="str">
        <f t="shared" si="32"/>
        <v>#REF!</v>
      </c>
    </row>
    <row r="17">
      <c r="A17" s="233" t="str">
        <f t="shared" ref="A17:O17" si="33">'Municipality Case Trends'!A21</f>
        <v>#REF!</v>
      </c>
      <c r="B17" s="233" t="str">
        <f t="shared" si="33"/>
        <v>#REF!</v>
      </c>
      <c r="C17" s="233" t="str">
        <f t="shared" si="33"/>
        <v>#REF!</v>
      </c>
      <c r="D17" s="233" t="str">
        <f t="shared" si="33"/>
        <v>#REF!</v>
      </c>
      <c r="E17" s="233" t="str">
        <f t="shared" si="33"/>
        <v>#REF!</v>
      </c>
      <c r="F17" s="233" t="str">
        <f t="shared" si="33"/>
        <v>#REF!</v>
      </c>
      <c r="G17" s="233" t="str">
        <f t="shared" si="33"/>
        <v>#REF!</v>
      </c>
      <c r="H17" s="233" t="str">
        <f t="shared" si="33"/>
        <v>#REF!</v>
      </c>
      <c r="I17" s="233" t="str">
        <f t="shared" si="33"/>
        <v>#REF!</v>
      </c>
      <c r="J17" s="233" t="str">
        <f t="shared" si="33"/>
        <v>#REF!</v>
      </c>
      <c r="K17" s="233" t="str">
        <f t="shared" si="33"/>
        <v>#REF!</v>
      </c>
      <c r="L17" s="233" t="str">
        <f t="shared" si="33"/>
        <v>#REF!</v>
      </c>
      <c r="M17" s="233" t="str">
        <f t="shared" si="33"/>
        <v>#REF!</v>
      </c>
      <c r="N17" s="233" t="str">
        <f t="shared" si="33"/>
        <v>#REF!</v>
      </c>
      <c r="O17" s="233" t="str">
        <f t="shared" si="33"/>
        <v>#REF!</v>
      </c>
      <c r="P17" s="233" t="str">
        <f t="shared" ref="P17:X17" si="34">#REF!</f>
        <v>#REF!</v>
      </c>
      <c r="Q17" s="233" t="str">
        <f t="shared" si="34"/>
        <v>#REF!</v>
      </c>
      <c r="R17" s="233" t="str">
        <f t="shared" si="34"/>
        <v>#REF!</v>
      </c>
      <c r="S17" s="233" t="str">
        <f t="shared" si="34"/>
        <v>#REF!</v>
      </c>
      <c r="T17" s="233" t="str">
        <f t="shared" si="34"/>
        <v>#REF!</v>
      </c>
      <c r="U17" s="233" t="str">
        <f t="shared" si="34"/>
        <v>#REF!</v>
      </c>
      <c r="V17" s="233" t="str">
        <f t="shared" si="34"/>
        <v>#REF!</v>
      </c>
      <c r="W17" s="233" t="str">
        <f t="shared" si="34"/>
        <v>#REF!</v>
      </c>
      <c r="X17" s="233" t="str">
        <f t="shared" si="34"/>
        <v>#REF!</v>
      </c>
    </row>
    <row r="18">
      <c r="A18" s="233" t="str">
        <f t="shared" ref="A18:O18" si="35">'Municipality Case Trends'!A22</f>
        <v>#REF!</v>
      </c>
      <c r="B18" s="233" t="str">
        <f t="shared" si="35"/>
        <v>#REF!</v>
      </c>
      <c r="C18" s="233" t="str">
        <f t="shared" si="35"/>
        <v>#REF!</v>
      </c>
      <c r="D18" s="233" t="str">
        <f t="shared" si="35"/>
        <v>#REF!</v>
      </c>
      <c r="E18" s="233" t="str">
        <f t="shared" si="35"/>
        <v>#REF!</v>
      </c>
      <c r="F18" s="233" t="str">
        <f t="shared" si="35"/>
        <v>#REF!</v>
      </c>
      <c r="G18" s="233" t="str">
        <f t="shared" si="35"/>
        <v>#REF!</v>
      </c>
      <c r="H18" s="233" t="str">
        <f t="shared" si="35"/>
        <v>#REF!</v>
      </c>
      <c r="I18" s="233" t="str">
        <f t="shared" si="35"/>
        <v>#REF!</v>
      </c>
      <c r="J18" s="233" t="str">
        <f t="shared" si="35"/>
        <v>#REF!</v>
      </c>
      <c r="K18" s="233" t="str">
        <f t="shared" si="35"/>
        <v>#REF!</v>
      </c>
      <c r="L18" s="233" t="str">
        <f t="shared" si="35"/>
        <v>#REF!</v>
      </c>
      <c r="M18" s="233" t="str">
        <f t="shared" si="35"/>
        <v>#REF!</v>
      </c>
      <c r="N18" s="233" t="str">
        <f t="shared" si="35"/>
        <v>#REF!</v>
      </c>
      <c r="O18" s="233" t="str">
        <f t="shared" si="35"/>
        <v>#REF!</v>
      </c>
      <c r="P18" s="233" t="str">
        <f t="shared" ref="P18:X18" si="36">#REF!</f>
        <v>#REF!</v>
      </c>
      <c r="Q18" s="233" t="str">
        <f t="shared" si="36"/>
        <v>#REF!</v>
      </c>
      <c r="R18" s="233" t="str">
        <f t="shared" si="36"/>
        <v>#REF!</v>
      </c>
      <c r="S18" s="233" t="str">
        <f t="shared" si="36"/>
        <v>#REF!</v>
      </c>
      <c r="T18" s="233" t="str">
        <f t="shared" si="36"/>
        <v>#REF!</v>
      </c>
      <c r="U18" s="233" t="str">
        <f t="shared" si="36"/>
        <v>#REF!</v>
      </c>
      <c r="V18" s="233" t="str">
        <f t="shared" si="36"/>
        <v>#REF!</v>
      </c>
      <c r="W18" s="233" t="str">
        <f t="shared" si="36"/>
        <v>#REF!</v>
      </c>
      <c r="X18" s="233" t="str">
        <f t="shared" si="36"/>
        <v>#REF!</v>
      </c>
    </row>
    <row r="19">
      <c r="A19" s="233" t="str">
        <f t="shared" ref="A19:O19" si="37">'Municipality Case Trends'!A23</f>
        <v>#REF!</v>
      </c>
      <c r="B19" s="233" t="str">
        <f t="shared" si="37"/>
        <v>#REF!</v>
      </c>
      <c r="C19" s="233" t="str">
        <f t="shared" si="37"/>
        <v>#REF!</v>
      </c>
      <c r="D19" s="233" t="str">
        <f t="shared" si="37"/>
        <v>#REF!</v>
      </c>
      <c r="E19" s="233" t="str">
        <f t="shared" si="37"/>
        <v>#REF!</v>
      </c>
      <c r="F19" s="233" t="str">
        <f t="shared" si="37"/>
        <v>#REF!</v>
      </c>
      <c r="G19" s="233" t="str">
        <f t="shared" si="37"/>
        <v>#REF!</v>
      </c>
      <c r="H19" s="233" t="str">
        <f t="shared" si="37"/>
        <v>#REF!</v>
      </c>
      <c r="I19" s="233" t="str">
        <f t="shared" si="37"/>
        <v>#REF!</v>
      </c>
      <c r="J19" s="233" t="str">
        <f t="shared" si="37"/>
        <v>#REF!</v>
      </c>
      <c r="K19" s="233" t="str">
        <f t="shared" si="37"/>
        <v>#REF!</v>
      </c>
      <c r="L19" s="233" t="str">
        <f t="shared" si="37"/>
        <v>#REF!</v>
      </c>
      <c r="M19" s="233" t="str">
        <f t="shared" si="37"/>
        <v>#REF!</v>
      </c>
      <c r="N19" s="233" t="str">
        <f t="shared" si="37"/>
        <v>#REF!</v>
      </c>
      <c r="O19" s="233" t="str">
        <f t="shared" si="37"/>
        <v>#REF!</v>
      </c>
      <c r="P19" s="233" t="str">
        <f t="shared" ref="P19:X19" si="38">#REF!</f>
        <v>#REF!</v>
      </c>
      <c r="Q19" s="233" t="str">
        <f t="shared" si="38"/>
        <v>#REF!</v>
      </c>
      <c r="R19" s="233" t="str">
        <f t="shared" si="38"/>
        <v>#REF!</v>
      </c>
      <c r="S19" s="233" t="str">
        <f t="shared" si="38"/>
        <v>#REF!</v>
      </c>
      <c r="T19" s="233" t="str">
        <f t="shared" si="38"/>
        <v>#REF!</v>
      </c>
      <c r="U19" s="233" t="str">
        <f t="shared" si="38"/>
        <v>#REF!</v>
      </c>
      <c r="V19" s="233" t="str">
        <f t="shared" si="38"/>
        <v>#REF!</v>
      </c>
      <c r="W19" s="233" t="str">
        <f t="shared" si="38"/>
        <v>#REF!</v>
      </c>
      <c r="X19" s="233" t="str">
        <f t="shared" si="38"/>
        <v>#REF!</v>
      </c>
    </row>
    <row r="20">
      <c r="A20" s="233" t="str">
        <f t="shared" ref="A20:O20" si="39">'Municipality Case Trends'!A24</f>
        <v>#REF!</v>
      </c>
      <c r="B20" s="233" t="str">
        <f t="shared" si="39"/>
        <v>#REF!</v>
      </c>
      <c r="C20" s="233" t="str">
        <f t="shared" si="39"/>
        <v>#REF!</v>
      </c>
      <c r="D20" s="233" t="str">
        <f t="shared" si="39"/>
        <v>#REF!</v>
      </c>
      <c r="E20" s="233" t="str">
        <f t="shared" si="39"/>
        <v>#REF!</v>
      </c>
      <c r="F20" s="233" t="str">
        <f t="shared" si="39"/>
        <v>#REF!</v>
      </c>
      <c r="G20" s="233" t="str">
        <f t="shared" si="39"/>
        <v>#REF!</v>
      </c>
      <c r="H20" s="233" t="str">
        <f t="shared" si="39"/>
        <v>#REF!</v>
      </c>
      <c r="I20" s="233" t="str">
        <f t="shared" si="39"/>
        <v>#REF!</v>
      </c>
      <c r="J20" s="233" t="str">
        <f t="shared" si="39"/>
        <v>#REF!</v>
      </c>
      <c r="K20" s="233" t="str">
        <f t="shared" si="39"/>
        <v>#REF!</v>
      </c>
      <c r="L20" s="233" t="str">
        <f t="shared" si="39"/>
        <v>#REF!</v>
      </c>
      <c r="M20" s="233" t="str">
        <f t="shared" si="39"/>
        <v>#REF!</v>
      </c>
      <c r="N20" s="233" t="str">
        <f t="shared" si="39"/>
        <v>#REF!</v>
      </c>
      <c r="O20" s="233" t="str">
        <f t="shared" si="39"/>
        <v>#REF!</v>
      </c>
      <c r="P20" s="233" t="str">
        <f t="shared" ref="P20:X20" si="40">#REF!</f>
        <v>#REF!</v>
      </c>
      <c r="Q20" s="233" t="str">
        <f t="shared" si="40"/>
        <v>#REF!</v>
      </c>
      <c r="R20" s="233" t="str">
        <f t="shared" si="40"/>
        <v>#REF!</v>
      </c>
      <c r="S20" s="233" t="str">
        <f t="shared" si="40"/>
        <v>#REF!</v>
      </c>
      <c r="T20" s="233" t="str">
        <f t="shared" si="40"/>
        <v>#REF!</v>
      </c>
      <c r="U20" s="233" t="str">
        <f t="shared" si="40"/>
        <v>#REF!</v>
      </c>
      <c r="V20" s="233" t="str">
        <f t="shared" si="40"/>
        <v>#REF!</v>
      </c>
      <c r="W20" s="233" t="str">
        <f t="shared" si="40"/>
        <v>#REF!</v>
      </c>
      <c r="X20" s="233" t="str">
        <f t="shared" si="40"/>
        <v>#REF!</v>
      </c>
    </row>
    <row r="21">
      <c r="A21" s="233" t="str">
        <f t="shared" ref="A21:O21" si="41">'Municipality Case Trends'!A25</f>
        <v>#REF!</v>
      </c>
      <c r="B21" s="233" t="str">
        <f t="shared" si="41"/>
        <v>#REF!</v>
      </c>
      <c r="C21" s="233" t="str">
        <f t="shared" si="41"/>
        <v>#REF!</v>
      </c>
      <c r="D21" s="233" t="str">
        <f t="shared" si="41"/>
        <v>#REF!</v>
      </c>
      <c r="E21" s="233" t="str">
        <f t="shared" si="41"/>
        <v>#REF!</v>
      </c>
      <c r="F21" s="233" t="str">
        <f t="shared" si="41"/>
        <v>#REF!</v>
      </c>
      <c r="G21" s="233" t="str">
        <f t="shared" si="41"/>
        <v>#REF!</v>
      </c>
      <c r="H21" s="233" t="str">
        <f t="shared" si="41"/>
        <v>#REF!</v>
      </c>
      <c r="I21" s="233" t="str">
        <f t="shared" si="41"/>
        <v>#REF!</v>
      </c>
      <c r="J21" s="233" t="str">
        <f t="shared" si="41"/>
        <v>#REF!</v>
      </c>
      <c r="K21" s="233" t="str">
        <f t="shared" si="41"/>
        <v>#REF!</v>
      </c>
      <c r="L21" s="233" t="str">
        <f t="shared" si="41"/>
        <v>#REF!</v>
      </c>
      <c r="M21" s="233" t="str">
        <f t="shared" si="41"/>
        <v>#REF!</v>
      </c>
      <c r="N21" s="233" t="str">
        <f t="shared" si="41"/>
        <v>#REF!</v>
      </c>
      <c r="O21" s="233" t="str">
        <f t="shared" si="41"/>
        <v>#REF!</v>
      </c>
      <c r="P21" s="233" t="str">
        <f t="shared" ref="P21:X21" si="42">#REF!</f>
        <v>#REF!</v>
      </c>
      <c r="Q21" s="233" t="str">
        <f t="shared" si="42"/>
        <v>#REF!</v>
      </c>
      <c r="R21" s="233" t="str">
        <f t="shared" si="42"/>
        <v>#REF!</v>
      </c>
      <c r="S21" s="233" t="str">
        <f t="shared" si="42"/>
        <v>#REF!</v>
      </c>
      <c r="T21" s="233" t="str">
        <f t="shared" si="42"/>
        <v>#REF!</v>
      </c>
      <c r="U21" s="233" t="str">
        <f t="shared" si="42"/>
        <v>#REF!</v>
      </c>
      <c r="V21" s="233" t="str">
        <f t="shared" si="42"/>
        <v>#REF!</v>
      </c>
      <c r="W21" s="233" t="str">
        <f t="shared" si="42"/>
        <v>#REF!</v>
      </c>
      <c r="X21" s="233" t="str">
        <f t="shared" si="42"/>
        <v>#REF!</v>
      </c>
    </row>
    <row r="22">
      <c r="A22" s="233" t="str">
        <f t="shared" ref="A22:O22" si="43">'Municipality Case Trends'!A26</f>
        <v>#REF!</v>
      </c>
      <c r="B22" s="233" t="str">
        <f t="shared" si="43"/>
        <v>#REF!</v>
      </c>
      <c r="C22" s="233" t="str">
        <f t="shared" si="43"/>
        <v>#REF!</v>
      </c>
      <c r="D22" s="233" t="str">
        <f t="shared" si="43"/>
        <v>#REF!</v>
      </c>
      <c r="E22" s="233" t="str">
        <f t="shared" si="43"/>
        <v>#REF!</v>
      </c>
      <c r="F22" s="233" t="str">
        <f t="shared" si="43"/>
        <v>#REF!</v>
      </c>
      <c r="G22" s="233" t="str">
        <f t="shared" si="43"/>
        <v>#REF!</v>
      </c>
      <c r="H22" s="233" t="str">
        <f t="shared" si="43"/>
        <v>#REF!</v>
      </c>
      <c r="I22" s="233" t="str">
        <f t="shared" si="43"/>
        <v>#REF!</v>
      </c>
      <c r="J22" s="233" t="str">
        <f t="shared" si="43"/>
        <v>#REF!</v>
      </c>
      <c r="K22" s="233" t="str">
        <f t="shared" si="43"/>
        <v>#REF!</v>
      </c>
      <c r="L22" s="233" t="str">
        <f t="shared" si="43"/>
        <v>#REF!</v>
      </c>
      <c r="M22" s="233" t="str">
        <f t="shared" si="43"/>
        <v>#REF!</v>
      </c>
      <c r="N22" s="233" t="str">
        <f t="shared" si="43"/>
        <v>#REF!</v>
      </c>
      <c r="O22" s="233" t="str">
        <f t="shared" si="43"/>
        <v>#REF!</v>
      </c>
      <c r="P22" s="233" t="str">
        <f t="shared" ref="P22:X22" si="44">#REF!</f>
        <v>#REF!</v>
      </c>
      <c r="Q22" s="233" t="str">
        <f t="shared" si="44"/>
        <v>#REF!</v>
      </c>
      <c r="R22" s="233" t="str">
        <f t="shared" si="44"/>
        <v>#REF!</v>
      </c>
      <c r="S22" s="233" t="str">
        <f t="shared" si="44"/>
        <v>#REF!</v>
      </c>
      <c r="T22" s="233" t="str">
        <f t="shared" si="44"/>
        <v>#REF!</v>
      </c>
      <c r="U22" s="233" t="str">
        <f t="shared" si="44"/>
        <v>#REF!</v>
      </c>
      <c r="V22" s="233" t="str">
        <f t="shared" si="44"/>
        <v>#REF!</v>
      </c>
      <c r="W22" s="233" t="str">
        <f t="shared" si="44"/>
        <v>#REF!</v>
      </c>
      <c r="X22" s="233" t="str">
        <f t="shared" si="44"/>
        <v>#REF!</v>
      </c>
    </row>
    <row r="23">
      <c r="A23" s="233" t="str">
        <f t="shared" ref="A23:O23" si="45">'Municipality Case Trends'!A27</f>
        <v>#REF!</v>
      </c>
      <c r="B23" s="233" t="str">
        <f t="shared" si="45"/>
        <v>#REF!</v>
      </c>
      <c r="C23" s="233" t="str">
        <f t="shared" si="45"/>
        <v>#REF!</v>
      </c>
      <c r="D23" s="233" t="str">
        <f t="shared" si="45"/>
        <v>#REF!</v>
      </c>
      <c r="E23" s="233" t="str">
        <f t="shared" si="45"/>
        <v>#REF!</v>
      </c>
      <c r="F23" s="233" t="str">
        <f t="shared" si="45"/>
        <v>#REF!</v>
      </c>
      <c r="G23" s="233" t="str">
        <f t="shared" si="45"/>
        <v>#REF!</v>
      </c>
      <c r="H23" s="233" t="str">
        <f t="shared" si="45"/>
        <v>#REF!</v>
      </c>
      <c r="I23" s="233" t="str">
        <f t="shared" si="45"/>
        <v>#REF!</v>
      </c>
      <c r="J23" s="233" t="str">
        <f t="shared" si="45"/>
        <v>#REF!</v>
      </c>
      <c r="K23" s="233" t="str">
        <f t="shared" si="45"/>
        <v>#REF!</v>
      </c>
      <c r="L23" s="233" t="str">
        <f t="shared" si="45"/>
        <v>#REF!</v>
      </c>
      <c r="M23" s="233" t="str">
        <f t="shared" si="45"/>
        <v>#REF!</v>
      </c>
      <c r="N23" s="233" t="str">
        <f t="shared" si="45"/>
        <v>#REF!</v>
      </c>
      <c r="O23" s="233" t="str">
        <f t="shared" si="45"/>
        <v>#REF!</v>
      </c>
      <c r="P23" s="233" t="str">
        <f t="shared" ref="P23:X23" si="46">#REF!</f>
        <v>#REF!</v>
      </c>
      <c r="Q23" s="233" t="str">
        <f t="shared" si="46"/>
        <v>#REF!</v>
      </c>
      <c r="R23" s="233" t="str">
        <f t="shared" si="46"/>
        <v>#REF!</v>
      </c>
      <c r="S23" s="233" t="str">
        <f t="shared" si="46"/>
        <v>#REF!</v>
      </c>
      <c r="T23" s="233" t="str">
        <f t="shared" si="46"/>
        <v>#REF!</v>
      </c>
      <c r="U23" s="233" t="str">
        <f t="shared" si="46"/>
        <v>#REF!</v>
      </c>
      <c r="V23" s="233" t="str">
        <f t="shared" si="46"/>
        <v>#REF!</v>
      </c>
      <c r="W23" s="233" t="str">
        <f t="shared" si="46"/>
        <v>#REF!</v>
      </c>
      <c r="X23" s="233" t="str">
        <f t="shared" si="46"/>
        <v>#REF!</v>
      </c>
    </row>
    <row r="24">
      <c r="A24" s="233" t="str">
        <f t="shared" ref="A24:O24" si="47">'Municipality Case Trends'!A28</f>
        <v>#REF!</v>
      </c>
      <c r="B24" s="233" t="str">
        <f t="shared" si="47"/>
        <v>#REF!</v>
      </c>
      <c r="C24" s="233" t="str">
        <f t="shared" si="47"/>
        <v>#REF!</v>
      </c>
      <c r="D24" s="233" t="str">
        <f t="shared" si="47"/>
        <v>#REF!</v>
      </c>
      <c r="E24" s="233" t="str">
        <f t="shared" si="47"/>
        <v>#REF!</v>
      </c>
      <c r="F24" s="233" t="str">
        <f t="shared" si="47"/>
        <v>#REF!</v>
      </c>
      <c r="G24" s="233" t="str">
        <f t="shared" si="47"/>
        <v>#REF!</v>
      </c>
      <c r="H24" s="233" t="str">
        <f t="shared" si="47"/>
        <v>#REF!</v>
      </c>
      <c r="I24" s="233" t="str">
        <f t="shared" si="47"/>
        <v>#REF!</v>
      </c>
      <c r="J24" s="233" t="str">
        <f t="shared" si="47"/>
        <v>#REF!</v>
      </c>
      <c r="K24" s="233" t="str">
        <f t="shared" si="47"/>
        <v>#REF!</v>
      </c>
      <c r="L24" s="233" t="str">
        <f t="shared" si="47"/>
        <v>#REF!</v>
      </c>
      <c r="M24" s="233" t="str">
        <f t="shared" si="47"/>
        <v>#REF!</v>
      </c>
      <c r="N24" s="233" t="str">
        <f t="shared" si="47"/>
        <v>#REF!</v>
      </c>
      <c r="O24" s="233" t="str">
        <f t="shared" si="47"/>
        <v>#REF!</v>
      </c>
      <c r="P24" s="233" t="str">
        <f t="shared" ref="P24:X24" si="48">#REF!</f>
        <v>#REF!</v>
      </c>
      <c r="Q24" s="233" t="str">
        <f t="shared" si="48"/>
        <v>#REF!</v>
      </c>
      <c r="R24" s="233" t="str">
        <f t="shared" si="48"/>
        <v>#REF!</v>
      </c>
      <c r="S24" s="233" t="str">
        <f t="shared" si="48"/>
        <v>#REF!</v>
      </c>
      <c r="T24" s="233" t="str">
        <f t="shared" si="48"/>
        <v>#REF!</v>
      </c>
      <c r="U24" s="233" t="str">
        <f t="shared" si="48"/>
        <v>#REF!</v>
      </c>
      <c r="V24" s="233" t="str">
        <f t="shared" si="48"/>
        <v>#REF!</v>
      </c>
      <c r="W24" s="233" t="str">
        <f t="shared" si="48"/>
        <v>#REF!</v>
      </c>
      <c r="X24" s="233" t="str">
        <f t="shared" si="48"/>
        <v>#REF!</v>
      </c>
    </row>
    <row r="25">
      <c r="A25" s="233" t="str">
        <f t="shared" ref="A25:O25" si="49">'Municipality Case Trends'!A29</f>
        <v>#REF!</v>
      </c>
      <c r="B25" s="233" t="str">
        <f t="shared" si="49"/>
        <v>#REF!</v>
      </c>
      <c r="C25" s="233" t="str">
        <f t="shared" si="49"/>
        <v>#REF!</v>
      </c>
      <c r="D25" s="233" t="str">
        <f t="shared" si="49"/>
        <v>#REF!</v>
      </c>
      <c r="E25" s="233" t="str">
        <f t="shared" si="49"/>
        <v>#REF!</v>
      </c>
      <c r="F25" s="233" t="str">
        <f t="shared" si="49"/>
        <v>#REF!</v>
      </c>
      <c r="G25" s="233" t="str">
        <f t="shared" si="49"/>
        <v>#REF!</v>
      </c>
      <c r="H25" s="233" t="str">
        <f t="shared" si="49"/>
        <v>#REF!</v>
      </c>
      <c r="I25" s="233" t="str">
        <f t="shared" si="49"/>
        <v>#REF!</v>
      </c>
      <c r="J25" s="233" t="str">
        <f t="shared" si="49"/>
        <v>#REF!</v>
      </c>
      <c r="K25" s="233" t="str">
        <f t="shared" si="49"/>
        <v>#REF!</v>
      </c>
      <c r="L25" s="233" t="str">
        <f t="shared" si="49"/>
        <v>#REF!</v>
      </c>
      <c r="M25" s="233" t="str">
        <f t="shared" si="49"/>
        <v>#REF!</v>
      </c>
      <c r="N25" s="233" t="str">
        <f t="shared" si="49"/>
        <v>#REF!</v>
      </c>
      <c r="O25" s="233" t="str">
        <f t="shared" si="49"/>
        <v>#REF!</v>
      </c>
      <c r="P25" s="233" t="str">
        <f t="shared" ref="P25:X25" si="50">#REF!</f>
        <v>#REF!</v>
      </c>
      <c r="Q25" s="233" t="str">
        <f t="shared" si="50"/>
        <v>#REF!</v>
      </c>
      <c r="R25" s="233" t="str">
        <f t="shared" si="50"/>
        <v>#REF!</v>
      </c>
      <c r="S25" s="233" t="str">
        <f t="shared" si="50"/>
        <v>#REF!</v>
      </c>
      <c r="T25" s="233" t="str">
        <f t="shared" si="50"/>
        <v>#REF!</v>
      </c>
      <c r="U25" s="233" t="str">
        <f t="shared" si="50"/>
        <v>#REF!</v>
      </c>
      <c r="V25" s="233" t="str">
        <f t="shared" si="50"/>
        <v>#REF!</v>
      </c>
      <c r="W25" s="233" t="str">
        <f t="shared" si="50"/>
        <v>#REF!</v>
      </c>
      <c r="X25" s="233" t="str">
        <f t="shared" si="50"/>
        <v>#REF!</v>
      </c>
    </row>
    <row r="26">
      <c r="A26" s="233" t="str">
        <f t="shared" ref="A26:O26" si="51">'Municipality Case Trends'!A30</f>
        <v>#REF!</v>
      </c>
      <c r="B26" s="233" t="str">
        <f t="shared" si="51"/>
        <v>#REF!</v>
      </c>
      <c r="C26" s="233" t="str">
        <f t="shared" si="51"/>
        <v>#REF!</v>
      </c>
      <c r="D26" s="233" t="str">
        <f t="shared" si="51"/>
        <v>#REF!</v>
      </c>
      <c r="E26" s="233" t="str">
        <f t="shared" si="51"/>
        <v>#REF!</v>
      </c>
      <c r="F26" s="233" t="str">
        <f t="shared" si="51"/>
        <v>#REF!</v>
      </c>
      <c r="G26" s="233" t="str">
        <f t="shared" si="51"/>
        <v>#REF!</v>
      </c>
      <c r="H26" s="233" t="str">
        <f t="shared" si="51"/>
        <v>#REF!</v>
      </c>
      <c r="I26" s="233" t="str">
        <f t="shared" si="51"/>
        <v>#REF!</v>
      </c>
      <c r="J26" s="233" t="str">
        <f t="shared" si="51"/>
        <v>#REF!</v>
      </c>
      <c r="K26" s="233" t="str">
        <f t="shared" si="51"/>
        <v>#REF!</v>
      </c>
      <c r="L26" s="233" t="str">
        <f t="shared" si="51"/>
        <v>#REF!</v>
      </c>
      <c r="M26" s="233" t="str">
        <f t="shared" si="51"/>
        <v>#REF!</v>
      </c>
      <c r="N26" s="233" t="str">
        <f t="shared" si="51"/>
        <v>#REF!</v>
      </c>
      <c r="O26" s="233" t="str">
        <f t="shared" si="51"/>
        <v>#REF!</v>
      </c>
      <c r="P26" s="233" t="str">
        <f t="shared" ref="P26:X26" si="52">#REF!</f>
        <v>#REF!</v>
      </c>
      <c r="Q26" s="233" t="str">
        <f t="shared" si="52"/>
        <v>#REF!</v>
      </c>
      <c r="R26" s="233" t="str">
        <f t="shared" si="52"/>
        <v>#REF!</v>
      </c>
      <c r="S26" s="233" t="str">
        <f t="shared" si="52"/>
        <v>#REF!</v>
      </c>
      <c r="T26" s="233" t="str">
        <f t="shared" si="52"/>
        <v>#REF!</v>
      </c>
      <c r="U26" s="233" t="str">
        <f t="shared" si="52"/>
        <v>#REF!</v>
      </c>
      <c r="V26" s="233" t="str">
        <f t="shared" si="52"/>
        <v>#REF!</v>
      </c>
      <c r="W26" s="233" t="str">
        <f t="shared" si="52"/>
        <v>#REF!</v>
      </c>
      <c r="X26" s="233" t="str">
        <f t="shared" si="52"/>
        <v>#REF!</v>
      </c>
    </row>
    <row r="27">
      <c r="A27" s="233" t="str">
        <f t="shared" ref="A27:O27" si="53">'Municipality Case Trends'!A31</f>
        <v>#REF!</v>
      </c>
      <c r="B27" s="233" t="str">
        <f t="shared" si="53"/>
        <v>#REF!</v>
      </c>
      <c r="C27" s="233" t="str">
        <f t="shared" si="53"/>
        <v>#REF!</v>
      </c>
      <c r="D27" s="233" t="str">
        <f t="shared" si="53"/>
        <v>#REF!</v>
      </c>
      <c r="E27" s="233" t="str">
        <f t="shared" si="53"/>
        <v>#REF!</v>
      </c>
      <c r="F27" s="233" t="str">
        <f t="shared" si="53"/>
        <v>#REF!</v>
      </c>
      <c r="G27" s="233" t="str">
        <f t="shared" si="53"/>
        <v>#REF!</v>
      </c>
      <c r="H27" s="233" t="str">
        <f t="shared" si="53"/>
        <v>#REF!</v>
      </c>
      <c r="I27" s="233" t="str">
        <f t="shared" si="53"/>
        <v>#REF!</v>
      </c>
      <c r="J27" s="233" t="str">
        <f t="shared" si="53"/>
        <v>#REF!</v>
      </c>
      <c r="K27" s="233" t="str">
        <f t="shared" si="53"/>
        <v>#REF!</v>
      </c>
      <c r="L27" s="233" t="str">
        <f t="shared" si="53"/>
        <v>#REF!</v>
      </c>
      <c r="M27" s="233" t="str">
        <f t="shared" si="53"/>
        <v>#REF!</v>
      </c>
      <c r="N27" s="233" t="str">
        <f t="shared" si="53"/>
        <v>#REF!</v>
      </c>
      <c r="O27" s="233" t="str">
        <f t="shared" si="53"/>
        <v>#REF!</v>
      </c>
      <c r="P27" s="233" t="str">
        <f t="shared" ref="P27:X27" si="54">#REF!</f>
        <v>#REF!</v>
      </c>
      <c r="Q27" s="233" t="str">
        <f t="shared" si="54"/>
        <v>#REF!</v>
      </c>
      <c r="R27" s="233" t="str">
        <f t="shared" si="54"/>
        <v>#REF!</v>
      </c>
      <c r="S27" s="233" t="str">
        <f t="shared" si="54"/>
        <v>#REF!</v>
      </c>
      <c r="T27" s="233" t="str">
        <f t="shared" si="54"/>
        <v>#REF!</v>
      </c>
      <c r="U27" s="233" t="str">
        <f t="shared" si="54"/>
        <v>#REF!</v>
      </c>
      <c r="V27" s="233" t="str">
        <f t="shared" si="54"/>
        <v>#REF!</v>
      </c>
      <c r="W27" s="233" t="str">
        <f t="shared" si="54"/>
        <v>#REF!</v>
      </c>
      <c r="X27" s="233" t="str">
        <f t="shared" si="54"/>
        <v>#REF!</v>
      </c>
    </row>
    <row r="28">
      <c r="A28" s="233" t="str">
        <f t="shared" ref="A28:O28" si="55">'Municipality Case Trends'!A32</f>
        <v>#REF!</v>
      </c>
      <c r="B28" s="233" t="str">
        <f t="shared" si="55"/>
        <v>#REF!</v>
      </c>
      <c r="C28" s="233" t="str">
        <f t="shared" si="55"/>
        <v>#REF!</v>
      </c>
      <c r="D28" s="233" t="str">
        <f t="shared" si="55"/>
        <v>#REF!</v>
      </c>
      <c r="E28" s="233" t="str">
        <f t="shared" si="55"/>
        <v>#REF!</v>
      </c>
      <c r="F28" s="233" t="str">
        <f t="shared" si="55"/>
        <v>#REF!</v>
      </c>
      <c r="G28" s="233" t="str">
        <f t="shared" si="55"/>
        <v>#REF!</v>
      </c>
      <c r="H28" s="233" t="str">
        <f t="shared" si="55"/>
        <v>#REF!</v>
      </c>
      <c r="I28" s="233" t="str">
        <f t="shared" si="55"/>
        <v>#REF!</v>
      </c>
      <c r="J28" s="233" t="str">
        <f t="shared" si="55"/>
        <v>#REF!</v>
      </c>
      <c r="K28" s="233" t="str">
        <f t="shared" si="55"/>
        <v>#REF!</v>
      </c>
      <c r="L28" s="233" t="str">
        <f t="shared" si="55"/>
        <v>#REF!</v>
      </c>
      <c r="M28" s="233" t="str">
        <f t="shared" si="55"/>
        <v>#REF!</v>
      </c>
      <c r="N28" s="233" t="str">
        <f t="shared" si="55"/>
        <v>#REF!</v>
      </c>
      <c r="O28" s="233" t="str">
        <f t="shared" si="55"/>
        <v>#REF!</v>
      </c>
      <c r="P28" s="233" t="str">
        <f t="shared" ref="P28:X28" si="56">#REF!</f>
        <v>#REF!</v>
      </c>
      <c r="Q28" s="233" t="str">
        <f t="shared" si="56"/>
        <v>#REF!</v>
      </c>
      <c r="R28" s="233" t="str">
        <f t="shared" si="56"/>
        <v>#REF!</v>
      </c>
      <c r="S28" s="233" t="str">
        <f t="shared" si="56"/>
        <v>#REF!</v>
      </c>
      <c r="T28" s="233" t="str">
        <f t="shared" si="56"/>
        <v>#REF!</v>
      </c>
      <c r="U28" s="233" t="str">
        <f t="shared" si="56"/>
        <v>#REF!</v>
      </c>
      <c r="V28" s="233" t="str">
        <f t="shared" si="56"/>
        <v>#REF!</v>
      </c>
      <c r="W28" s="233" t="str">
        <f t="shared" si="56"/>
        <v>#REF!</v>
      </c>
      <c r="X28" s="233" t="str">
        <f t="shared" si="56"/>
        <v>#REF!</v>
      </c>
    </row>
    <row r="29">
      <c r="A29" s="233" t="str">
        <f t="shared" ref="A29:O29" si="57">'Municipality Case Trends'!A33</f>
        <v>#REF!</v>
      </c>
      <c r="B29" s="233" t="str">
        <f t="shared" si="57"/>
        <v>#REF!</v>
      </c>
      <c r="C29" s="233" t="str">
        <f t="shared" si="57"/>
        <v>#REF!</v>
      </c>
      <c r="D29" s="233" t="str">
        <f t="shared" si="57"/>
        <v>#REF!</v>
      </c>
      <c r="E29" s="233" t="str">
        <f t="shared" si="57"/>
        <v>#REF!</v>
      </c>
      <c r="F29" s="233" t="str">
        <f t="shared" si="57"/>
        <v>#REF!</v>
      </c>
      <c r="G29" s="233" t="str">
        <f t="shared" si="57"/>
        <v>#REF!</v>
      </c>
      <c r="H29" s="233" t="str">
        <f t="shared" si="57"/>
        <v>#REF!</v>
      </c>
      <c r="I29" s="233" t="str">
        <f t="shared" si="57"/>
        <v>#REF!</v>
      </c>
      <c r="J29" s="233" t="str">
        <f t="shared" si="57"/>
        <v>#REF!</v>
      </c>
      <c r="K29" s="233" t="str">
        <f t="shared" si="57"/>
        <v>#REF!</v>
      </c>
      <c r="L29" s="233" t="str">
        <f t="shared" si="57"/>
        <v>#REF!</v>
      </c>
      <c r="M29" s="233" t="str">
        <f t="shared" si="57"/>
        <v>#REF!</v>
      </c>
      <c r="N29" s="233" t="str">
        <f t="shared" si="57"/>
        <v>#REF!</v>
      </c>
      <c r="O29" s="233" t="str">
        <f t="shared" si="57"/>
        <v>#REF!</v>
      </c>
      <c r="P29" s="233" t="str">
        <f t="shared" ref="P29:X29" si="58">#REF!</f>
        <v>#REF!</v>
      </c>
      <c r="Q29" s="233" t="str">
        <f t="shared" si="58"/>
        <v>#REF!</v>
      </c>
      <c r="R29" s="233" t="str">
        <f t="shared" si="58"/>
        <v>#REF!</v>
      </c>
      <c r="S29" s="233" t="str">
        <f t="shared" si="58"/>
        <v>#REF!</v>
      </c>
      <c r="T29" s="233" t="str">
        <f t="shared" si="58"/>
        <v>#REF!</v>
      </c>
      <c r="U29" s="233" t="str">
        <f t="shared" si="58"/>
        <v>#REF!</v>
      </c>
      <c r="V29" s="233" t="str">
        <f t="shared" si="58"/>
        <v>#REF!</v>
      </c>
      <c r="W29" s="233" t="str">
        <f t="shared" si="58"/>
        <v>#REF!</v>
      </c>
      <c r="X29" s="233" t="str">
        <f t="shared" si="58"/>
        <v>#REF!</v>
      </c>
    </row>
    <row r="30">
      <c r="A30" s="233" t="str">
        <f t="shared" ref="A30:O30" si="59">'Municipality Case Trends'!A34</f>
        <v>#REF!</v>
      </c>
      <c r="B30" s="233" t="str">
        <f t="shared" si="59"/>
        <v>#REF!</v>
      </c>
      <c r="C30" s="233" t="str">
        <f t="shared" si="59"/>
        <v>#REF!</v>
      </c>
      <c r="D30" s="233" t="str">
        <f t="shared" si="59"/>
        <v>#REF!</v>
      </c>
      <c r="E30" s="233" t="str">
        <f t="shared" si="59"/>
        <v>#REF!</v>
      </c>
      <c r="F30" s="233" t="str">
        <f t="shared" si="59"/>
        <v>#REF!</v>
      </c>
      <c r="G30" s="233" t="str">
        <f t="shared" si="59"/>
        <v>#REF!</v>
      </c>
      <c r="H30" s="233" t="str">
        <f t="shared" si="59"/>
        <v>#REF!</v>
      </c>
      <c r="I30" s="233" t="str">
        <f t="shared" si="59"/>
        <v>#REF!</v>
      </c>
      <c r="J30" s="233" t="str">
        <f t="shared" si="59"/>
        <v>#REF!</v>
      </c>
      <c r="K30" s="233" t="str">
        <f t="shared" si="59"/>
        <v>#REF!</v>
      </c>
      <c r="L30" s="233" t="str">
        <f t="shared" si="59"/>
        <v>#REF!</v>
      </c>
      <c r="M30" s="233" t="str">
        <f t="shared" si="59"/>
        <v>#REF!</v>
      </c>
      <c r="N30" s="233" t="str">
        <f t="shared" si="59"/>
        <v>#REF!</v>
      </c>
      <c r="O30" s="233" t="str">
        <f t="shared" si="59"/>
        <v>#REF!</v>
      </c>
      <c r="P30" s="233" t="str">
        <f t="shared" ref="P30:X30" si="60">#REF!</f>
        <v>#REF!</v>
      </c>
      <c r="Q30" s="233" t="str">
        <f t="shared" si="60"/>
        <v>#REF!</v>
      </c>
      <c r="R30" s="233" t="str">
        <f t="shared" si="60"/>
        <v>#REF!</v>
      </c>
      <c r="S30" s="233" t="str">
        <f t="shared" si="60"/>
        <v>#REF!</v>
      </c>
      <c r="T30" s="233" t="str">
        <f t="shared" si="60"/>
        <v>#REF!</v>
      </c>
      <c r="U30" s="233" t="str">
        <f t="shared" si="60"/>
        <v>#REF!</v>
      </c>
      <c r="V30" s="233" t="str">
        <f t="shared" si="60"/>
        <v>#REF!</v>
      </c>
      <c r="W30" s="233" t="str">
        <f t="shared" si="60"/>
        <v>#REF!</v>
      </c>
      <c r="X30" s="233" t="str">
        <f t="shared" si="60"/>
        <v>#REF!</v>
      </c>
    </row>
    <row r="31">
      <c r="A31" s="233" t="str">
        <f t="shared" ref="A31:O31" si="61">'Municipality Case Trends'!A35</f>
        <v>#REF!</v>
      </c>
      <c r="B31" s="233" t="str">
        <f t="shared" si="61"/>
        <v>#REF!</v>
      </c>
      <c r="C31" s="233" t="str">
        <f t="shared" si="61"/>
        <v>#REF!</v>
      </c>
      <c r="D31" s="233" t="str">
        <f t="shared" si="61"/>
        <v>#REF!</v>
      </c>
      <c r="E31" s="233" t="str">
        <f t="shared" si="61"/>
        <v>#REF!</v>
      </c>
      <c r="F31" s="233" t="str">
        <f t="shared" si="61"/>
        <v>#REF!</v>
      </c>
      <c r="G31" s="233" t="str">
        <f t="shared" si="61"/>
        <v>#REF!</v>
      </c>
      <c r="H31" s="233" t="str">
        <f t="shared" si="61"/>
        <v>#REF!</v>
      </c>
      <c r="I31" s="233" t="str">
        <f t="shared" si="61"/>
        <v>#REF!</v>
      </c>
      <c r="J31" s="233" t="str">
        <f t="shared" si="61"/>
        <v>#REF!</v>
      </c>
      <c r="K31" s="233" t="str">
        <f t="shared" si="61"/>
        <v>#REF!</v>
      </c>
      <c r="L31" s="233" t="str">
        <f t="shared" si="61"/>
        <v>#REF!</v>
      </c>
      <c r="M31" s="233" t="str">
        <f t="shared" si="61"/>
        <v>#REF!</v>
      </c>
      <c r="N31" s="233" t="str">
        <f t="shared" si="61"/>
        <v>#REF!</v>
      </c>
      <c r="O31" s="233" t="str">
        <f t="shared" si="61"/>
        <v>#REF!</v>
      </c>
      <c r="P31" s="233" t="str">
        <f t="shared" ref="P31:X31" si="62">#REF!</f>
        <v>#REF!</v>
      </c>
      <c r="Q31" s="233" t="str">
        <f t="shared" si="62"/>
        <v>#REF!</v>
      </c>
      <c r="R31" s="233" t="str">
        <f t="shared" si="62"/>
        <v>#REF!</v>
      </c>
      <c r="S31" s="233" t="str">
        <f t="shared" si="62"/>
        <v>#REF!</v>
      </c>
      <c r="T31" s="233" t="str">
        <f t="shared" si="62"/>
        <v>#REF!</v>
      </c>
      <c r="U31" s="233" t="str">
        <f t="shared" si="62"/>
        <v>#REF!</v>
      </c>
      <c r="V31" s="233" t="str">
        <f t="shared" si="62"/>
        <v>#REF!</v>
      </c>
      <c r="W31" s="233" t="str">
        <f t="shared" si="62"/>
        <v>#REF!</v>
      </c>
      <c r="X31" s="233" t="str">
        <f t="shared" si="62"/>
        <v>#REF!</v>
      </c>
    </row>
    <row r="32">
      <c r="A32" s="233" t="str">
        <f t="shared" ref="A32:O32" si="63">'Municipality Case Trends'!A36</f>
        <v>#REF!</v>
      </c>
      <c r="B32" s="233" t="str">
        <f t="shared" si="63"/>
        <v>#REF!</v>
      </c>
      <c r="C32" s="233" t="str">
        <f t="shared" si="63"/>
        <v>#REF!</v>
      </c>
      <c r="D32" s="233" t="str">
        <f t="shared" si="63"/>
        <v>#REF!</v>
      </c>
      <c r="E32" s="233" t="str">
        <f t="shared" si="63"/>
        <v>#REF!</v>
      </c>
      <c r="F32" s="233" t="str">
        <f t="shared" si="63"/>
        <v>#REF!</v>
      </c>
      <c r="G32" s="233" t="str">
        <f t="shared" si="63"/>
        <v>#REF!</v>
      </c>
      <c r="H32" s="233" t="str">
        <f t="shared" si="63"/>
        <v>#REF!</v>
      </c>
      <c r="I32" s="233" t="str">
        <f t="shared" si="63"/>
        <v>#REF!</v>
      </c>
      <c r="J32" s="233" t="str">
        <f t="shared" si="63"/>
        <v>#REF!</v>
      </c>
      <c r="K32" s="233" t="str">
        <f t="shared" si="63"/>
        <v>#REF!</v>
      </c>
      <c r="L32" s="233" t="str">
        <f t="shared" si="63"/>
        <v>#REF!</v>
      </c>
      <c r="M32" s="233" t="str">
        <f t="shared" si="63"/>
        <v>#REF!</v>
      </c>
      <c r="N32" s="233" t="str">
        <f t="shared" si="63"/>
        <v>#REF!</v>
      </c>
      <c r="O32" s="233" t="str">
        <f t="shared" si="63"/>
        <v>#REF!</v>
      </c>
      <c r="P32" s="233" t="str">
        <f t="shared" ref="P32:X32" si="64">#REF!</f>
        <v>#REF!</v>
      </c>
      <c r="Q32" s="233" t="str">
        <f t="shared" si="64"/>
        <v>#REF!</v>
      </c>
      <c r="R32" s="233" t="str">
        <f t="shared" si="64"/>
        <v>#REF!</v>
      </c>
      <c r="S32" s="233" t="str">
        <f t="shared" si="64"/>
        <v>#REF!</v>
      </c>
      <c r="T32" s="233" t="str">
        <f t="shared" si="64"/>
        <v>#REF!</v>
      </c>
      <c r="U32" s="233" t="str">
        <f t="shared" si="64"/>
        <v>#REF!</v>
      </c>
      <c r="V32" s="233" t="str">
        <f t="shared" si="64"/>
        <v>#REF!</v>
      </c>
      <c r="W32" s="233" t="str">
        <f t="shared" si="64"/>
        <v>#REF!</v>
      </c>
      <c r="X32" s="233" t="str">
        <f t="shared" si="64"/>
        <v>#REF!</v>
      </c>
    </row>
    <row r="33">
      <c r="A33" s="233" t="str">
        <f t="shared" ref="A33:O33" si="65">'Municipality Case Trends'!A37</f>
        <v>#REF!</v>
      </c>
      <c r="B33" s="233" t="str">
        <f t="shared" si="65"/>
        <v>#REF!</v>
      </c>
      <c r="C33" s="233" t="str">
        <f t="shared" si="65"/>
        <v>#REF!</v>
      </c>
      <c r="D33" s="233" t="str">
        <f t="shared" si="65"/>
        <v>#REF!</v>
      </c>
      <c r="E33" s="233" t="str">
        <f t="shared" si="65"/>
        <v>#REF!</v>
      </c>
      <c r="F33" s="233" t="str">
        <f t="shared" si="65"/>
        <v>#REF!</v>
      </c>
      <c r="G33" s="233" t="str">
        <f t="shared" si="65"/>
        <v>#REF!</v>
      </c>
      <c r="H33" s="233" t="str">
        <f t="shared" si="65"/>
        <v>#REF!</v>
      </c>
      <c r="I33" s="233" t="str">
        <f t="shared" si="65"/>
        <v>#REF!</v>
      </c>
      <c r="J33" s="233" t="str">
        <f t="shared" si="65"/>
        <v>#REF!</v>
      </c>
      <c r="K33" s="233" t="str">
        <f t="shared" si="65"/>
        <v>#REF!</v>
      </c>
      <c r="L33" s="233" t="str">
        <f t="shared" si="65"/>
        <v>#REF!</v>
      </c>
      <c r="M33" s="233" t="str">
        <f t="shared" si="65"/>
        <v>#REF!</v>
      </c>
      <c r="N33" s="233" t="str">
        <f t="shared" si="65"/>
        <v>#REF!</v>
      </c>
      <c r="O33" s="233" t="str">
        <f t="shared" si="65"/>
        <v>#REF!</v>
      </c>
      <c r="P33" s="233" t="str">
        <f t="shared" ref="P33:X33" si="66">#REF!</f>
        <v>#REF!</v>
      </c>
      <c r="Q33" s="233" t="str">
        <f t="shared" si="66"/>
        <v>#REF!</v>
      </c>
      <c r="R33" s="233" t="str">
        <f t="shared" si="66"/>
        <v>#REF!</v>
      </c>
      <c r="S33" s="233" t="str">
        <f t="shared" si="66"/>
        <v>#REF!</v>
      </c>
      <c r="T33" s="233" t="str">
        <f t="shared" si="66"/>
        <v>#REF!</v>
      </c>
      <c r="U33" s="233" t="str">
        <f t="shared" si="66"/>
        <v>#REF!</v>
      </c>
      <c r="V33" s="233" t="str">
        <f t="shared" si="66"/>
        <v>#REF!</v>
      </c>
      <c r="W33" s="233" t="str">
        <f t="shared" si="66"/>
        <v>#REF!</v>
      </c>
      <c r="X33" s="233" t="str">
        <f t="shared" si="66"/>
        <v>#REF!</v>
      </c>
    </row>
    <row r="34">
      <c r="A34" s="233" t="str">
        <f t="shared" ref="A34:O34" si="67">'Municipality Case Trends'!A38</f>
        <v>#REF!</v>
      </c>
      <c r="B34" s="233" t="str">
        <f t="shared" si="67"/>
        <v>#REF!</v>
      </c>
      <c r="C34" s="233" t="str">
        <f t="shared" si="67"/>
        <v>#REF!</v>
      </c>
      <c r="D34" s="233" t="str">
        <f t="shared" si="67"/>
        <v>#REF!</v>
      </c>
      <c r="E34" s="233" t="str">
        <f t="shared" si="67"/>
        <v>#REF!</v>
      </c>
      <c r="F34" s="233" t="str">
        <f t="shared" si="67"/>
        <v>#REF!</v>
      </c>
      <c r="G34" s="233" t="str">
        <f t="shared" si="67"/>
        <v>#REF!</v>
      </c>
      <c r="H34" s="233" t="str">
        <f t="shared" si="67"/>
        <v>#REF!</v>
      </c>
      <c r="I34" s="233" t="str">
        <f t="shared" si="67"/>
        <v>#REF!</v>
      </c>
      <c r="J34" s="233" t="str">
        <f t="shared" si="67"/>
        <v>#REF!</v>
      </c>
      <c r="K34" s="233" t="str">
        <f t="shared" si="67"/>
        <v>#REF!</v>
      </c>
      <c r="L34" s="233" t="str">
        <f t="shared" si="67"/>
        <v>#REF!</v>
      </c>
      <c r="M34" s="233" t="str">
        <f t="shared" si="67"/>
        <v>#REF!</v>
      </c>
      <c r="N34" s="233" t="str">
        <f t="shared" si="67"/>
        <v>#REF!</v>
      </c>
      <c r="O34" s="233" t="str">
        <f t="shared" si="67"/>
        <v>#REF!</v>
      </c>
      <c r="P34" s="233" t="str">
        <f t="shared" ref="P34:X34" si="68">#REF!</f>
        <v>#REF!</v>
      </c>
      <c r="Q34" s="233" t="str">
        <f t="shared" si="68"/>
        <v>#REF!</v>
      </c>
      <c r="R34" s="233" t="str">
        <f t="shared" si="68"/>
        <v>#REF!</v>
      </c>
      <c r="S34" s="233" t="str">
        <f t="shared" si="68"/>
        <v>#REF!</v>
      </c>
      <c r="T34" s="233" t="str">
        <f t="shared" si="68"/>
        <v>#REF!</v>
      </c>
      <c r="U34" s="233" t="str">
        <f t="shared" si="68"/>
        <v>#REF!</v>
      </c>
      <c r="V34" s="233" t="str">
        <f t="shared" si="68"/>
        <v>#REF!</v>
      </c>
      <c r="W34" s="233" t="str">
        <f t="shared" si="68"/>
        <v>#REF!</v>
      </c>
      <c r="X34" s="233" t="str">
        <f t="shared" si="68"/>
        <v>#REF!</v>
      </c>
    </row>
    <row r="35">
      <c r="A35" s="233" t="str">
        <f t="shared" ref="A35:O35" si="69">'Municipality Case Trends'!A39</f>
        <v>#REF!</v>
      </c>
      <c r="B35" s="233" t="str">
        <f t="shared" si="69"/>
        <v>#REF!</v>
      </c>
      <c r="C35" s="233" t="str">
        <f t="shared" si="69"/>
        <v>#REF!</v>
      </c>
      <c r="D35" s="233" t="str">
        <f t="shared" si="69"/>
        <v>#REF!</v>
      </c>
      <c r="E35" s="233" t="str">
        <f t="shared" si="69"/>
        <v>#REF!</v>
      </c>
      <c r="F35" s="233" t="str">
        <f t="shared" si="69"/>
        <v>#REF!</v>
      </c>
      <c r="G35" s="233" t="str">
        <f t="shared" si="69"/>
        <v>#REF!</v>
      </c>
      <c r="H35" s="233" t="str">
        <f t="shared" si="69"/>
        <v>#REF!</v>
      </c>
      <c r="I35" s="233" t="str">
        <f t="shared" si="69"/>
        <v>#REF!</v>
      </c>
      <c r="J35" s="233" t="str">
        <f t="shared" si="69"/>
        <v>#REF!</v>
      </c>
      <c r="K35" s="233" t="str">
        <f t="shared" si="69"/>
        <v>#REF!</v>
      </c>
      <c r="L35" s="233" t="str">
        <f t="shared" si="69"/>
        <v>#REF!</v>
      </c>
      <c r="M35" s="233" t="str">
        <f t="shared" si="69"/>
        <v>#REF!</v>
      </c>
      <c r="N35" s="233" t="str">
        <f t="shared" si="69"/>
        <v>#REF!</v>
      </c>
      <c r="O35" s="233" t="str">
        <f t="shared" si="69"/>
        <v>#REF!</v>
      </c>
      <c r="P35" s="233" t="str">
        <f t="shared" ref="P35:X35" si="70">#REF!</f>
        <v>#REF!</v>
      </c>
      <c r="Q35" s="233" t="str">
        <f t="shared" si="70"/>
        <v>#REF!</v>
      </c>
      <c r="R35" s="233" t="str">
        <f t="shared" si="70"/>
        <v>#REF!</v>
      </c>
      <c r="S35" s="233" t="str">
        <f t="shared" si="70"/>
        <v>#REF!</v>
      </c>
      <c r="T35" s="233" t="str">
        <f t="shared" si="70"/>
        <v>#REF!</v>
      </c>
      <c r="U35" s="233" t="str">
        <f t="shared" si="70"/>
        <v>#REF!</v>
      </c>
      <c r="V35" s="233" t="str">
        <f t="shared" si="70"/>
        <v>#REF!</v>
      </c>
      <c r="W35" s="233" t="str">
        <f t="shared" si="70"/>
        <v>#REF!</v>
      </c>
      <c r="X35" s="233" t="str">
        <f t="shared" si="70"/>
        <v>#REF!</v>
      </c>
    </row>
    <row r="36">
      <c r="A36" s="233" t="str">
        <f t="shared" ref="A36:O36" si="71">'Municipality Case Trends'!A40</f>
        <v>#REF!</v>
      </c>
      <c r="B36" s="233" t="str">
        <f t="shared" si="71"/>
        <v>#REF!</v>
      </c>
      <c r="C36" s="233" t="str">
        <f t="shared" si="71"/>
        <v>#REF!</v>
      </c>
      <c r="D36" s="233" t="str">
        <f t="shared" si="71"/>
        <v>#REF!</v>
      </c>
      <c r="E36" s="233" t="str">
        <f t="shared" si="71"/>
        <v>#REF!</v>
      </c>
      <c r="F36" s="233" t="str">
        <f t="shared" si="71"/>
        <v>#REF!</v>
      </c>
      <c r="G36" s="233" t="str">
        <f t="shared" si="71"/>
        <v>#REF!</v>
      </c>
      <c r="H36" s="233" t="str">
        <f t="shared" si="71"/>
        <v>#REF!</v>
      </c>
      <c r="I36" s="233" t="str">
        <f t="shared" si="71"/>
        <v>#REF!</v>
      </c>
      <c r="J36" s="233" t="str">
        <f t="shared" si="71"/>
        <v>#REF!</v>
      </c>
      <c r="K36" s="233" t="str">
        <f t="shared" si="71"/>
        <v>#REF!</v>
      </c>
      <c r="L36" s="233" t="str">
        <f t="shared" si="71"/>
        <v>#REF!</v>
      </c>
      <c r="M36" s="233" t="str">
        <f t="shared" si="71"/>
        <v>#REF!</v>
      </c>
      <c r="N36" s="233" t="str">
        <f t="shared" si="71"/>
        <v>#REF!</v>
      </c>
      <c r="O36" s="233" t="str">
        <f t="shared" si="71"/>
        <v>#REF!</v>
      </c>
      <c r="P36" s="233" t="str">
        <f t="shared" ref="P36:X36" si="72">#REF!</f>
        <v>#REF!</v>
      </c>
      <c r="Q36" s="233" t="str">
        <f t="shared" si="72"/>
        <v>#REF!</v>
      </c>
      <c r="R36" s="233" t="str">
        <f t="shared" si="72"/>
        <v>#REF!</v>
      </c>
      <c r="S36" s="233" t="str">
        <f t="shared" si="72"/>
        <v>#REF!</v>
      </c>
      <c r="T36" s="233" t="str">
        <f t="shared" si="72"/>
        <v>#REF!</v>
      </c>
      <c r="U36" s="233" t="str">
        <f t="shared" si="72"/>
        <v>#REF!</v>
      </c>
      <c r="V36" s="233" t="str">
        <f t="shared" si="72"/>
        <v>#REF!</v>
      </c>
      <c r="W36" s="233" t="str">
        <f t="shared" si="72"/>
        <v>#REF!</v>
      </c>
      <c r="X36" s="233" t="str">
        <f t="shared" si="72"/>
        <v>#REF!</v>
      </c>
    </row>
    <row r="37">
      <c r="A37" s="233" t="str">
        <f t="shared" ref="A37:O37" si="73">'Municipality Case Trends'!A41</f>
        <v>#REF!</v>
      </c>
      <c r="B37" s="233" t="str">
        <f t="shared" si="73"/>
        <v>#REF!</v>
      </c>
      <c r="C37" s="233" t="str">
        <f t="shared" si="73"/>
        <v>#REF!</v>
      </c>
      <c r="D37" s="233" t="str">
        <f t="shared" si="73"/>
        <v>#REF!</v>
      </c>
      <c r="E37" s="233" t="str">
        <f t="shared" si="73"/>
        <v>#REF!</v>
      </c>
      <c r="F37" s="233" t="str">
        <f t="shared" si="73"/>
        <v>#REF!</v>
      </c>
      <c r="G37" s="233" t="str">
        <f t="shared" si="73"/>
        <v>#REF!</v>
      </c>
      <c r="H37" s="233" t="str">
        <f t="shared" si="73"/>
        <v>#REF!</v>
      </c>
      <c r="I37" s="233" t="str">
        <f t="shared" si="73"/>
        <v>#REF!</v>
      </c>
      <c r="J37" s="233" t="str">
        <f t="shared" si="73"/>
        <v>#REF!</v>
      </c>
      <c r="K37" s="233" t="str">
        <f t="shared" si="73"/>
        <v>#REF!</v>
      </c>
      <c r="L37" s="233" t="str">
        <f t="shared" si="73"/>
        <v>#REF!</v>
      </c>
      <c r="M37" s="233" t="str">
        <f t="shared" si="73"/>
        <v>#REF!</v>
      </c>
      <c r="N37" s="233" t="str">
        <f t="shared" si="73"/>
        <v>#REF!</v>
      </c>
      <c r="O37" s="233" t="str">
        <f t="shared" si="73"/>
        <v>#REF!</v>
      </c>
      <c r="P37" s="233" t="str">
        <f t="shared" ref="P37:X37" si="74">#REF!</f>
        <v>#REF!</v>
      </c>
      <c r="Q37" s="233" t="str">
        <f t="shared" si="74"/>
        <v>#REF!</v>
      </c>
      <c r="R37" s="233" t="str">
        <f t="shared" si="74"/>
        <v>#REF!</v>
      </c>
      <c r="S37" s="233" t="str">
        <f t="shared" si="74"/>
        <v>#REF!</v>
      </c>
      <c r="T37" s="233" t="str">
        <f t="shared" si="74"/>
        <v>#REF!</v>
      </c>
      <c r="U37" s="233" t="str">
        <f t="shared" si="74"/>
        <v>#REF!</v>
      </c>
      <c r="V37" s="233" t="str">
        <f t="shared" si="74"/>
        <v>#REF!</v>
      </c>
      <c r="W37" s="233" t="str">
        <f t="shared" si="74"/>
        <v>#REF!</v>
      </c>
      <c r="X37" s="233" t="str">
        <f t="shared" si="74"/>
        <v>#REF!</v>
      </c>
    </row>
    <row r="38">
      <c r="A38" s="233" t="str">
        <f t="shared" ref="A38:O38" si="75">'Municipality Case Trends'!A42</f>
        <v>#REF!</v>
      </c>
      <c r="B38" s="233" t="str">
        <f t="shared" si="75"/>
        <v>#REF!</v>
      </c>
      <c r="C38" s="233" t="str">
        <f t="shared" si="75"/>
        <v>#REF!</v>
      </c>
      <c r="D38" s="233" t="str">
        <f t="shared" si="75"/>
        <v>#REF!</v>
      </c>
      <c r="E38" s="233" t="str">
        <f t="shared" si="75"/>
        <v>#REF!</v>
      </c>
      <c r="F38" s="233" t="str">
        <f t="shared" si="75"/>
        <v>#REF!</v>
      </c>
      <c r="G38" s="233" t="str">
        <f t="shared" si="75"/>
        <v>#REF!</v>
      </c>
      <c r="H38" s="233" t="str">
        <f t="shared" si="75"/>
        <v>#REF!</v>
      </c>
      <c r="I38" s="233" t="str">
        <f t="shared" si="75"/>
        <v>#REF!</v>
      </c>
      <c r="J38" s="233" t="str">
        <f t="shared" si="75"/>
        <v>#REF!</v>
      </c>
      <c r="K38" s="233" t="str">
        <f t="shared" si="75"/>
        <v>#REF!</v>
      </c>
      <c r="L38" s="233" t="str">
        <f t="shared" si="75"/>
        <v>#REF!</v>
      </c>
      <c r="M38" s="233" t="str">
        <f t="shared" si="75"/>
        <v>#REF!</v>
      </c>
      <c r="N38" s="233" t="str">
        <f t="shared" si="75"/>
        <v>#REF!</v>
      </c>
      <c r="O38" s="233" t="str">
        <f t="shared" si="75"/>
        <v>#REF!</v>
      </c>
      <c r="P38" s="233" t="str">
        <f t="shared" ref="P38:X38" si="76">#REF!</f>
        <v>#REF!</v>
      </c>
      <c r="Q38" s="233" t="str">
        <f t="shared" si="76"/>
        <v>#REF!</v>
      </c>
      <c r="R38" s="233" t="str">
        <f t="shared" si="76"/>
        <v>#REF!</v>
      </c>
      <c r="S38" s="233" t="str">
        <f t="shared" si="76"/>
        <v>#REF!</v>
      </c>
      <c r="T38" s="233" t="str">
        <f t="shared" si="76"/>
        <v>#REF!</v>
      </c>
      <c r="U38" s="233" t="str">
        <f t="shared" si="76"/>
        <v>#REF!</v>
      </c>
      <c r="V38" s="233" t="str">
        <f t="shared" si="76"/>
        <v>#REF!</v>
      </c>
      <c r="W38" s="233" t="str">
        <f t="shared" si="76"/>
        <v>#REF!</v>
      </c>
      <c r="X38" s="233" t="str">
        <f t="shared" si="76"/>
        <v>#REF!</v>
      </c>
    </row>
    <row r="39">
      <c r="A39" s="233" t="str">
        <f t="shared" ref="A39:O39" si="77">'Municipality Case Trends'!A43</f>
        <v>#REF!</v>
      </c>
      <c r="B39" s="233" t="str">
        <f t="shared" si="77"/>
        <v>#REF!</v>
      </c>
      <c r="C39" s="233" t="str">
        <f t="shared" si="77"/>
        <v>#REF!</v>
      </c>
      <c r="D39" s="233" t="str">
        <f t="shared" si="77"/>
        <v>#REF!</v>
      </c>
      <c r="E39" s="233" t="str">
        <f t="shared" si="77"/>
        <v>#REF!</v>
      </c>
      <c r="F39" s="233" t="str">
        <f t="shared" si="77"/>
        <v>#REF!</v>
      </c>
      <c r="G39" s="233" t="str">
        <f t="shared" si="77"/>
        <v>#REF!</v>
      </c>
      <c r="H39" s="233" t="str">
        <f t="shared" si="77"/>
        <v>#REF!</v>
      </c>
      <c r="I39" s="233" t="str">
        <f t="shared" si="77"/>
        <v>#REF!</v>
      </c>
      <c r="J39" s="233" t="str">
        <f t="shared" si="77"/>
        <v>#REF!</v>
      </c>
      <c r="K39" s="233" t="str">
        <f t="shared" si="77"/>
        <v>#REF!</v>
      </c>
      <c r="L39" s="233" t="str">
        <f t="shared" si="77"/>
        <v>#REF!</v>
      </c>
      <c r="M39" s="233" t="str">
        <f t="shared" si="77"/>
        <v>#REF!</v>
      </c>
      <c r="N39" s="233" t="str">
        <f t="shared" si="77"/>
        <v>#REF!</v>
      </c>
      <c r="O39" s="233" t="str">
        <f t="shared" si="77"/>
        <v>#REF!</v>
      </c>
      <c r="P39" s="233" t="str">
        <f t="shared" ref="P39:X39" si="78">#REF!</f>
        <v>#REF!</v>
      </c>
      <c r="Q39" s="233" t="str">
        <f t="shared" si="78"/>
        <v>#REF!</v>
      </c>
      <c r="R39" s="233" t="str">
        <f t="shared" si="78"/>
        <v>#REF!</v>
      </c>
      <c r="S39" s="233" t="str">
        <f t="shared" si="78"/>
        <v>#REF!</v>
      </c>
      <c r="T39" s="233" t="str">
        <f t="shared" si="78"/>
        <v>#REF!</v>
      </c>
      <c r="U39" s="233" t="str">
        <f t="shared" si="78"/>
        <v>#REF!</v>
      </c>
      <c r="V39" s="233" t="str">
        <f t="shared" si="78"/>
        <v>#REF!</v>
      </c>
      <c r="W39" s="233" t="str">
        <f t="shared" si="78"/>
        <v>#REF!</v>
      </c>
      <c r="X39" s="233" t="str">
        <f t="shared" si="78"/>
        <v>#REF!</v>
      </c>
    </row>
    <row r="40">
      <c r="A40" s="233" t="str">
        <f t="shared" ref="A40:O40" si="79">'Municipality Case Trends'!A44</f>
        <v>#REF!</v>
      </c>
      <c r="B40" s="233" t="str">
        <f t="shared" si="79"/>
        <v>#REF!</v>
      </c>
      <c r="C40" s="233" t="str">
        <f t="shared" si="79"/>
        <v>#REF!</v>
      </c>
      <c r="D40" s="233" t="str">
        <f t="shared" si="79"/>
        <v>#REF!</v>
      </c>
      <c r="E40" s="233" t="str">
        <f t="shared" si="79"/>
        <v>#REF!</v>
      </c>
      <c r="F40" s="233" t="str">
        <f t="shared" si="79"/>
        <v>#REF!</v>
      </c>
      <c r="G40" s="233" t="str">
        <f t="shared" si="79"/>
        <v>#REF!</v>
      </c>
      <c r="H40" s="233" t="str">
        <f t="shared" si="79"/>
        <v>#REF!</v>
      </c>
      <c r="I40" s="233" t="str">
        <f t="shared" si="79"/>
        <v>#REF!</v>
      </c>
      <c r="J40" s="233" t="str">
        <f t="shared" si="79"/>
        <v>#REF!</v>
      </c>
      <c r="K40" s="233" t="str">
        <f t="shared" si="79"/>
        <v>#REF!</v>
      </c>
      <c r="L40" s="233" t="str">
        <f t="shared" si="79"/>
        <v>#REF!</v>
      </c>
      <c r="M40" s="233" t="str">
        <f t="shared" si="79"/>
        <v>#REF!</v>
      </c>
      <c r="N40" s="233" t="str">
        <f t="shared" si="79"/>
        <v>#REF!</v>
      </c>
      <c r="O40" s="233" t="str">
        <f t="shared" si="79"/>
        <v>#REF!</v>
      </c>
      <c r="P40" s="233" t="str">
        <f t="shared" ref="P40:X40" si="80">#REF!</f>
        <v>#REF!</v>
      </c>
      <c r="Q40" s="233" t="str">
        <f t="shared" si="80"/>
        <v>#REF!</v>
      </c>
      <c r="R40" s="233" t="str">
        <f t="shared" si="80"/>
        <v>#REF!</v>
      </c>
      <c r="S40" s="233" t="str">
        <f t="shared" si="80"/>
        <v>#REF!</v>
      </c>
      <c r="T40" s="233" t="str">
        <f t="shared" si="80"/>
        <v>#REF!</v>
      </c>
      <c r="U40" s="233" t="str">
        <f t="shared" si="80"/>
        <v>#REF!</v>
      </c>
      <c r="V40" s="233" t="str">
        <f t="shared" si="80"/>
        <v>#REF!</v>
      </c>
      <c r="W40" s="233" t="str">
        <f t="shared" si="80"/>
        <v>#REF!</v>
      </c>
      <c r="X40" s="233" t="str">
        <f t="shared" si="80"/>
        <v>#REF!</v>
      </c>
    </row>
    <row r="41">
      <c r="A41" s="233" t="str">
        <f t="shared" ref="A41:O41" si="81">'Municipality Case Trends'!A45</f>
        <v>#REF!</v>
      </c>
      <c r="B41" s="233" t="str">
        <f t="shared" si="81"/>
        <v>#REF!</v>
      </c>
      <c r="C41" s="233" t="str">
        <f t="shared" si="81"/>
        <v>#REF!</v>
      </c>
      <c r="D41" s="233" t="str">
        <f t="shared" si="81"/>
        <v>#REF!</v>
      </c>
      <c r="E41" s="233" t="str">
        <f t="shared" si="81"/>
        <v>#REF!</v>
      </c>
      <c r="F41" s="233" t="str">
        <f t="shared" si="81"/>
        <v>#REF!</v>
      </c>
      <c r="G41" s="233" t="str">
        <f t="shared" si="81"/>
        <v>#REF!</v>
      </c>
      <c r="H41" s="233" t="str">
        <f t="shared" si="81"/>
        <v>#REF!</v>
      </c>
      <c r="I41" s="233" t="str">
        <f t="shared" si="81"/>
        <v>#REF!</v>
      </c>
      <c r="J41" s="233" t="str">
        <f t="shared" si="81"/>
        <v>#REF!</v>
      </c>
      <c r="K41" s="233" t="str">
        <f t="shared" si="81"/>
        <v>#REF!</v>
      </c>
      <c r="L41" s="233" t="str">
        <f t="shared" si="81"/>
        <v>#REF!</v>
      </c>
      <c r="M41" s="233" t="str">
        <f t="shared" si="81"/>
        <v>#REF!</v>
      </c>
      <c r="N41" s="233" t="str">
        <f t="shared" si="81"/>
        <v>#REF!</v>
      </c>
      <c r="O41" s="233" t="str">
        <f t="shared" si="81"/>
        <v>#REF!</v>
      </c>
      <c r="P41" s="233" t="str">
        <f t="shared" ref="P41:X41" si="82">#REF!</f>
        <v>#REF!</v>
      </c>
      <c r="Q41" s="233" t="str">
        <f t="shared" si="82"/>
        <v>#REF!</v>
      </c>
      <c r="R41" s="233" t="str">
        <f t="shared" si="82"/>
        <v>#REF!</v>
      </c>
      <c r="S41" s="233" t="str">
        <f t="shared" si="82"/>
        <v>#REF!</v>
      </c>
      <c r="T41" s="233" t="str">
        <f t="shared" si="82"/>
        <v>#REF!</v>
      </c>
      <c r="U41" s="233" t="str">
        <f t="shared" si="82"/>
        <v>#REF!</v>
      </c>
      <c r="V41" s="233" t="str">
        <f t="shared" si="82"/>
        <v>#REF!</v>
      </c>
      <c r="W41" s="233" t="str">
        <f t="shared" si="82"/>
        <v>#REF!</v>
      </c>
      <c r="X41" s="233" t="str">
        <f t="shared" si="82"/>
        <v>#REF!</v>
      </c>
    </row>
    <row r="42">
      <c r="A42" s="233" t="str">
        <f t="shared" ref="A42:O42" si="83">'Municipality Case Trends'!A46</f>
        <v>#REF!</v>
      </c>
      <c r="B42" s="233" t="str">
        <f t="shared" si="83"/>
        <v>#REF!</v>
      </c>
      <c r="C42" s="233" t="str">
        <f t="shared" si="83"/>
        <v>#REF!</v>
      </c>
      <c r="D42" s="233" t="str">
        <f t="shared" si="83"/>
        <v>#REF!</v>
      </c>
      <c r="E42" s="233" t="str">
        <f t="shared" si="83"/>
        <v>#REF!</v>
      </c>
      <c r="F42" s="233" t="str">
        <f t="shared" si="83"/>
        <v>#REF!</v>
      </c>
      <c r="G42" s="233" t="str">
        <f t="shared" si="83"/>
        <v>#REF!</v>
      </c>
      <c r="H42" s="233" t="str">
        <f t="shared" si="83"/>
        <v>#REF!</v>
      </c>
      <c r="I42" s="233" t="str">
        <f t="shared" si="83"/>
        <v>#REF!</v>
      </c>
      <c r="J42" s="233" t="str">
        <f t="shared" si="83"/>
        <v>#REF!</v>
      </c>
      <c r="K42" s="233" t="str">
        <f t="shared" si="83"/>
        <v>#REF!</v>
      </c>
      <c r="L42" s="233" t="str">
        <f t="shared" si="83"/>
        <v>#REF!</v>
      </c>
      <c r="M42" s="233" t="str">
        <f t="shared" si="83"/>
        <v>#REF!</v>
      </c>
      <c r="N42" s="233" t="str">
        <f t="shared" si="83"/>
        <v>#REF!</v>
      </c>
      <c r="O42" s="233" t="str">
        <f t="shared" si="83"/>
        <v>#REF!</v>
      </c>
      <c r="P42" s="233" t="str">
        <f t="shared" ref="P42:X42" si="84">#REF!</f>
        <v>#REF!</v>
      </c>
      <c r="Q42" s="233" t="str">
        <f t="shared" si="84"/>
        <v>#REF!</v>
      </c>
      <c r="R42" s="233" t="str">
        <f t="shared" si="84"/>
        <v>#REF!</v>
      </c>
      <c r="S42" s="233" t="str">
        <f t="shared" si="84"/>
        <v>#REF!</v>
      </c>
      <c r="T42" s="233" t="str">
        <f t="shared" si="84"/>
        <v>#REF!</v>
      </c>
      <c r="U42" s="233" t="str">
        <f t="shared" si="84"/>
        <v>#REF!</v>
      </c>
      <c r="V42" s="233" t="str">
        <f t="shared" si="84"/>
        <v>#REF!</v>
      </c>
      <c r="W42" s="233" t="str">
        <f t="shared" si="84"/>
        <v>#REF!</v>
      </c>
      <c r="X42" s="233" t="str">
        <f t="shared" si="84"/>
        <v>#REF!</v>
      </c>
    </row>
    <row r="43">
      <c r="A43" s="233" t="str">
        <f>#REF!</f>
        <v>#REF!</v>
      </c>
    </row>
    <row r="44">
      <c r="A44" s="233" t="str">
        <f>'Municipality Case Trends'!A4</f>
        <v>#REF!</v>
      </c>
    </row>
    <row r="45">
      <c r="A45" s="233" t="str">
        <f t="shared" ref="A45:A57" si="85">#REF!</f>
        <v>#REF!</v>
      </c>
    </row>
    <row r="46">
      <c r="A46" s="233" t="str">
        <f t="shared" si="85"/>
        <v>#REF!</v>
      </c>
    </row>
    <row r="47">
      <c r="A47" s="233" t="str">
        <f t="shared" si="85"/>
        <v>#REF!</v>
      </c>
    </row>
    <row r="48">
      <c r="A48" s="233" t="str">
        <f t="shared" si="85"/>
        <v>#REF!</v>
      </c>
    </row>
    <row r="49">
      <c r="A49" s="233" t="str">
        <f t="shared" si="85"/>
        <v>#REF!</v>
      </c>
    </row>
    <row r="50">
      <c r="A50" s="233" t="str">
        <f t="shared" si="85"/>
        <v>#REF!</v>
      </c>
    </row>
    <row r="51">
      <c r="A51" s="233" t="str">
        <f t="shared" si="85"/>
        <v>#REF!</v>
      </c>
    </row>
    <row r="52">
      <c r="A52" s="233" t="str">
        <f t="shared" si="85"/>
        <v>#REF!</v>
      </c>
    </row>
    <row r="53">
      <c r="A53" s="233" t="str">
        <f t="shared" si="85"/>
        <v>#REF!</v>
      </c>
    </row>
    <row r="54">
      <c r="A54" s="233" t="str">
        <f t="shared" si="85"/>
        <v>#REF!</v>
      </c>
    </row>
    <row r="55">
      <c r="A55" s="233" t="str">
        <f t="shared" si="85"/>
        <v>#REF!</v>
      </c>
    </row>
    <row r="56">
      <c r="A56" s="233" t="str">
        <f t="shared" si="85"/>
        <v>#REF!</v>
      </c>
    </row>
    <row r="57">
      <c r="A57" s="233"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192928.0</v>
      </c>
      <c r="C3" s="42">
        <v>0.55</v>
      </c>
      <c r="D3" s="43">
        <v>14864.0</v>
      </c>
      <c r="E3" s="44">
        <v>0.55</v>
      </c>
      <c r="F3" s="45">
        <v>1481.0</v>
      </c>
      <c r="G3" s="42">
        <v>0.48</v>
      </c>
      <c r="H3" s="45">
        <v>615.0</v>
      </c>
      <c r="I3" s="46">
        <v>0.53</v>
      </c>
    </row>
    <row r="4" ht="14.25" customHeight="1">
      <c r="A4" s="40" t="s">
        <v>41</v>
      </c>
      <c r="B4" s="41">
        <v>156258.0</v>
      </c>
      <c r="C4" s="42">
        <v>0.45</v>
      </c>
      <c r="D4" s="43">
        <v>12271.0</v>
      </c>
      <c r="E4" s="44">
        <v>0.45</v>
      </c>
      <c r="F4" s="45">
        <v>1569.0</v>
      </c>
      <c r="G4" s="42">
        <v>0.51</v>
      </c>
      <c r="H4" s="45">
        <v>540.0</v>
      </c>
      <c r="I4" s="46">
        <v>0.47</v>
      </c>
    </row>
    <row r="5" ht="14.25" customHeight="1">
      <c r="A5" s="40" t="s">
        <v>42</v>
      </c>
      <c r="B5" s="41">
        <v>79.0</v>
      </c>
      <c r="C5" s="47" t="s">
        <v>43</v>
      </c>
      <c r="D5" s="43">
        <v>11.0</v>
      </c>
      <c r="E5" s="47" t="s">
        <v>43</v>
      </c>
      <c r="F5" s="45" t="s">
        <v>44</v>
      </c>
      <c r="G5" s="48" t="s">
        <v>30</v>
      </c>
      <c r="H5" s="45">
        <v>0.0</v>
      </c>
      <c r="I5" s="46">
        <v>0.0</v>
      </c>
    </row>
    <row r="6" ht="14.25" customHeight="1">
      <c r="A6" s="40" t="s">
        <v>45</v>
      </c>
      <c r="B6" s="41">
        <v>18741.0</v>
      </c>
      <c r="C6" s="47" t="s">
        <v>30</v>
      </c>
      <c r="D6" s="43">
        <v>128.0</v>
      </c>
      <c r="E6" s="47" t="s">
        <v>30</v>
      </c>
      <c r="F6" s="49" t="s">
        <v>44</v>
      </c>
      <c r="G6" s="48" t="s">
        <v>30</v>
      </c>
      <c r="H6" s="45">
        <v>0.0</v>
      </c>
      <c r="I6" s="50" t="s">
        <v>30</v>
      </c>
    </row>
    <row r="7" ht="15.0" customHeight="1">
      <c r="A7" s="51" t="s">
        <v>46</v>
      </c>
      <c r="B7" s="52"/>
      <c r="C7" s="53"/>
      <c r="D7" s="54"/>
      <c r="E7" s="55"/>
      <c r="F7" s="56"/>
      <c r="G7" s="57"/>
      <c r="H7" s="56"/>
      <c r="I7" s="57"/>
    </row>
    <row r="8" ht="15.0" customHeight="1">
      <c r="A8" s="40" t="s">
        <v>47</v>
      </c>
      <c r="B8" s="41">
        <v>8286.0</v>
      </c>
      <c r="C8" s="42">
        <v>0.02</v>
      </c>
      <c r="D8" s="58">
        <v>456.0</v>
      </c>
      <c r="E8" s="44">
        <v>0.02</v>
      </c>
      <c r="F8" s="59">
        <v>25.0</v>
      </c>
      <c r="G8" s="60">
        <v>0.01</v>
      </c>
      <c r="H8" s="59">
        <v>0.0</v>
      </c>
      <c r="I8" s="60">
        <v>0.0</v>
      </c>
    </row>
    <row r="9" ht="15.0" customHeight="1">
      <c r="A9" s="61">
        <v>43960.0</v>
      </c>
      <c r="B9" s="41">
        <v>9061.0</v>
      </c>
      <c r="C9" s="42">
        <v>0.02</v>
      </c>
      <c r="D9" s="58">
        <v>490.0</v>
      </c>
      <c r="E9" s="44">
        <v>0.02</v>
      </c>
      <c r="F9" s="59">
        <v>11.0</v>
      </c>
      <c r="G9" s="62" t="s">
        <v>43</v>
      </c>
      <c r="H9" s="59">
        <v>0.0</v>
      </c>
      <c r="I9" s="46">
        <v>0.0</v>
      </c>
    </row>
    <row r="10" ht="15.0" customHeight="1">
      <c r="A10" s="61">
        <v>44118.0</v>
      </c>
      <c r="B10" s="41">
        <v>8913.0</v>
      </c>
      <c r="C10" s="42">
        <v>0.02</v>
      </c>
      <c r="D10" s="58">
        <v>583.0</v>
      </c>
      <c r="E10" s="44">
        <v>0.02</v>
      </c>
      <c r="F10" s="59">
        <v>16.0</v>
      </c>
      <c r="G10" s="60">
        <v>0.01</v>
      </c>
      <c r="H10" s="59" t="s">
        <v>44</v>
      </c>
      <c r="I10" s="50" t="s">
        <v>30</v>
      </c>
    </row>
    <row r="11" ht="14.25" customHeight="1">
      <c r="A11" s="40" t="s">
        <v>48</v>
      </c>
      <c r="B11" s="41">
        <v>16946.0</v>
      </c>
      <c r="C11" s="42">
        <v>0.05</v>
      </c>
      <c r="D11" s="58">
        <v>1073.0</v>
      </c>
      <c r="E11" s="44">
        <v>0.04</v>
      </c>
      <c r="F11" s="59">
        <v>24.0</v>
      </c>
      <c r="G11" s="60">
        <v>0.01</v>
      </c>
      <c r="H11" s="59">
        <v>0.0</v>
      </c>
      <c r="I11" s="46">
        <v>0.0</v>
      </c>
    </row>
    <row r="12" ht="14.25" customHeight="1">
      <c r="A12" s="40" t="s">
        <v>49</v>
      </c>
      <c r="B12" s="41">
        <v>48455.0</v>
      </c>
      <c r="C12" s="42">
        <v>0.13</v>
      </c>
      <c r="D12" s="58">
        <v>3283.0</v>
      </c>
      <c r="E12" s="44">
        <v>0.12</v>
      </c>
      <c r="F12" s="59">
        <v>89.0</v>
      </c>
      <c r="G12" s="60">
        <v>0.03</v>
      </c>
      <c r="H12" s="59" t="s">
        <v>44</v>
      </c>
      <c r="I12" s="62" t="s">
        <v>30</v>
      </c>
    </row>
    <row r="13" ht="14.25" customHeight="1">
      <c r="A13" s="40" t="s">
        <v>50</v>
      </c>
      <c r="B13" s="41">
        <v>32891.0</v>
      </c>
      <c r="C13" s="42">
        <v>0.09</v>
      </c>
      <c r="D13" s="58">
        <v>2445.0</v>
      </c>
      <c r="E13" s="44">
        <v>0.09</v>
      </c>
      <c r="F13" s="59">
        <v>101.0</v>
      </c>
      <c r="G13" s="60">
        <v>0.03</v>
      </c>
      <c r="H13" s="59" t="s">
        <v>44</v>
      </c>
      <c r="I13" s="62" t="s">
        <v>30</v>
      </c>
    </row>
    <row r="14" ht="14.25" customHeight="1">
      <c r="A14" s="40" t="s">
        <v>51</v>
      </c>
      <c r="B14" s="41">
        <v>57131.0</v>
      </c>
      <c r="C14" s="42">
        <v>0.16</v>
      </c>
      <c r="D14" s="58">
        <v>4299.0</v>
      </c>
      <c r="E14" s="44">
        <v>0.16</v>
      </c>
      <c r="F14" s="59">
        <v>233.0</v>
      </c>
      <c r="G14" s="60">
        <v>0.08</v>
      </c>
      <c r="H14" s="59">
        <v>7.0</v>
      </c>
      <c r="I14" s="60">
        <v>0.01</v>
      </c>
    </row>
    <row r="15" ht="14.25" customHeight="1">
      <c r="A15" s="40" t="s">
        <v>52</v>
      </c>
      <c r="B15" s="41">
        <v>45820.0</v>
      </c>
      <c r="C15" s="42">
        <v>0.12</v>
      </c>
      <c r="D15" s="58">
        <v>3856.0</v>
      </c>
      <c r="E15" s="44">
        <v>0.14</v>
      </c>
      <c r="F15" s="59">
        <v>337.0</v>
      </c>
      <c r="G15" s="60">
        <v>0.11</v>
      </c>
      <c r="H15" s="59">
        <v>16.0</v>
      </c>
      <c r="I15" s="60">
        <v>0.01</v>
      </c>
    </row>
    <row r="16" ht="14.25" customHeight="1">
      <c r="A16" s="40" t="s">
        <v>53</v>
      </c>
      <c r="B16" s="41">
        <v>54058.0</v>
      </c>
      <c r="C16" s="42">
        <v>0.15</v>
      </c>
      <c r="D16" s="58">
        <v>3955.0</v>
      </c>
      <c r="E16" s="44">
        <v>0.15</v>
      </c>
      <c r="F16" s="59">
        <v>468.0</v>
      </c>
      <c r="G16" s="60">
        <v>0.15</v>
      </c>
      <c r="H16" s="59">
        <v>51.0</v>
      </c>
      <c r="I16" s="60">
        <v>0.04</v>
      </c>
    </row>
    <row r="17" ht="14.25" customHeight="1">
      <c r="A17" s="40" t="s">
        <v>54</v>
      </c>
      <c r="B17" s="41">
        <v>44171.0</v>
      </c>
      <c r="C17" s="42">
        <v>0.12</v>
      </c>
      <c r="D17" s="58">
        <v>2746.0</v>
      </c>
      <c r="E17" s="44">
        <v>0.1</v>
      </c>
      <c r="F17" s="59">
        <v>596.0</v>
      </c>
      <c r="G17" s="60">
        <v>0.2</v>
      </c>
      <c r="H17" s="59">
        <v>122.0</v>
      </c>
      <c r="I17" s="60">
        <v>0.11</v>
      </c>
    </row>
    <row r="18" ht="15.0" customHeight="1">
      <c r="A18" s="40" t="s">
        <v>55</v>
      </c>
      <c r="B18" s="41">
        <v>23953.0</v>
      </c>
      <c r="C18" s="42">
        <v>0.07</v>
      </c>
      <c r="D18" s="58">
        <v>1709.0</v>
      </c>
      <c r="E18" s="44">
        <v>0.06</v>
      </c>
      <c r="F18" s="59">
        <v>569.0</v>
      </c>
      <c r="G18" s="60">
        <v>0.19</v>
      </c>
      <c r="H18" s="59">
        <v>266.0</v>
      </c>
      <c r="I18" s="60">
        <v>0.23</v>
      </c>
    </row>
    <row r="19" ht="14.25" customHeight="1">
      <c r="A19" s="40" t="s">
        <v>56</v>
      </c>
      <c r="B19" s="41">
        <v>12198.0</v>
      </c>
      <c r="C19" s="42">
        <v>0.03</v>
      </c>
      <c r="D19" s="58">
        <v>1427.0</v>
      </c>
      <c r="E19" s="44">
        <v>0.05</v>
      </c>
      <c r="F19" s="59">
        <v>406.0</v>
      </c>
      <c r="G19" s="60">
        <v>0.13</v>
      </c>
      <c r="H19" s="59">
        <v>374.0</v>
      </c>
      <c r="I19" s="60">
        <v>0.32</v>
      </c>
    </row>
    <row r="20" ht="14.25" customHeight="1">
      <c r="A20" s="40" t="s">
        <v>57</v>
      </c>
      <c r="B20" s="41">
        <v>5794.0</v>
      </c>
      <c r="C20" s="42">
        <v>0.02</v>
      </c>
      <c r="D20" s="58">
        <v>949.0</v>
      </c>
      <c r="E20" s="44">
        <v>0.03</v>
      </c>
      <c r="F20" s="59">
        <v>180.0</v>
      </c>
      <c r="G20" s="60">
        <v>0.06</v>
      </c>
      <c r="H20" s="59">
        <v>314.0</v>
      </c>
      <c r="I20" s="60">
        <v>0.27</v>
      </c>
    </row>
    <row r="21" ht="14.25" customHeight="1">
      <c r="A21" s="40" t="s">
        <v>45</v>
      </c>
      <c r="B21" s="41">
        <v>329.0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27771.0</v>
      </c>
      <c r="C23" s="42">
        <v>0.2</v>
      </c>
      <c r="D23" s="58">
        <v>10015.0</v>
      </c>
      <c r="E23" s="44">
        <v>0.43</v>
      </c>
      <c r="F23" s="45">
        <v>912.0</v>
      </c>
      <c r="G23" s="46">
        <v>0.36</v>
      </c>
      <c r="H23" s="45">
        <v>108.0</v>
      </c>
      <c r="I23" s="46">
        <v>0.11</v>
      </c>
    </row>
    <row r="24" ht="14.25" customHeight="1">
      <c r="A24" s="63" t="s">
        <v>60</v>
      </c>
      <c r="B24" s="41">
        <v>3283.0</v>
      </c>
      <c r="C24" s="42">
        <v>0.02</v>
      </c>
      <c r="D24" s="58">
        <v>86.0</v>
      </c>
      <c r="E24" s="47" t="s">
        <v>43</v>
      </c>
      <c r="F24" s="45">
        <v>5.0</v>
      </c>
      <c r="G24" s="50" t="s">
        <v>43</v>
      </c>
      <c r="H24" s="45" t="s">
        <v>44</v>
      </c>
      <c r="I24" s="50" t="s">
        <v>30</v>
      </c>
    </row>
    <row r="25" ht="14.25" customHeight="1">
      <c r="A25" s="63" t="s">
        <v>61</v>
      </c>
      <c r="B25" s="41">
        <v>3300.0</v>
      </c>
      <c r="C25" s="42">
        <v>0.02</v>
      </c>
      <c r="D25" s="58">
        <v>420.0</v>
      </c>
      <c r="E25" s="44">
        <v>0.02</v>
      </c>
      <c r="F25" s="45">
        <v>46.0</v>
      </c>
      <c r="G25" s="46">
        <v>0.02</v>
      </c>
      <c r="H25" s="45">
        <v>13.0</v>
      </c>
      <c r="I25" s="46">
        <v>0.01</v>
      </c>
    </row>
    <row r="26" ht="14.25" customHeight="1">
      <c r="A26" s="63" t="s">
        <v>62</v>
      </c>
      <c r="B26" s="41">
        <v>10136.0</v>
      </c>
      <c r="C26" s="42">
        <v>0.07</v>
      </c>
      <c r="D26" s="58">
        <v>2734.0</v>
      </c>
      <c r="E26" s="44">
        <v>0.12</v>
      </c>
      <c r="F26" s="45">
        <v>316.0</v>
      </c>
      <c r="G26" s="46">
        <v>0.12</v>
      </c>
      <c r="H26" s="45">
        <v>58.0</v>
      </c>
      <c r="I26" s="46">
        <v>0.06</v>
      </c>
    </row>
    <row r="27" ht="14.25" customHeight="1">
      <c r="A27" s="63" t="s">
        <v>63</v>
      </c>
      <c r="B27" s="41">
        <v>353.0</v>
      </c>
      <c r="C27" s="48" t="s">
        <v>43</v>
      </c>
      <c r="D27" s="58">
        <v>0.0</v>
      </c>
      <c r="E27" s="44">
        <v>0.0</v>
      </c>
      <c r="F27" s="45">
        <v>0.0</v>
      </c>
      <c r="G27" s="46">
        <v>0.0</v>
      </c>
      <c r="H27" s="45">
        <v>0.0</v>
      </c>
      <c r="I27" s="46">
        <v>0.0</v>
      </c>
    </row>
    <row r="28" ht="14.25" customHeight="1">
      <c r="A28" s="63" t="s">
        <v>64</v>
      </c>
      <c r="B28" s="41">
        <v>80171.0</v>
      </c>
      <c r="C28" s="42">
        <v>0.59</v>
      </c>
      <c r="D28" s="58">
        <v>9206.0</v>
      </c>
      <c r="E28" s="44">
        <v>0.4</v>
      </c>
      <c r="F28" s="45">
        <v>1207.0</v>
      </c>
      <c r="G28" s="46">
        <v>0.47</v>
      </c>
      <c r="H28" s="45">
        <v>770.0</v>
      </c>
      <c r="I28" s="46">
        <v>0.81</v>
      </c>
    </row>
    <row r="29" ht="14.25" customHeight="1">
      <c r="A29" s="63" t="s">
        <v>65</v>
      </c>
      <c r="B29" s="41">
        <v>11447.0</v>
      </c>
      <c r="C29" s="42">
        <v>0.08</v>
      </c>
      <c r="D29" s="58">
        <v>364.0</v>
      </c>
      <c r="E29" s="44">
        <v>0.02</v>
      </c>
      <c r="F29" s="45">
        <v>51.0</v>
      </c>
      <c r="G29" s="46">
        <v>0.02</v>
      </c>
      <c r="H29" s="45">
        <v>0.0</v>
      </c>
      <c r="I29" s="46">
        <v>0.0</v>
      </c>
    </row>
    <row r="30" ht="14.25" customHeight="1">
      <c r="A30" s="63" t="s">
        <v>66</v>
      </c>
      <c r="B30" s="41">
        <v>125.0</v>
      </c>
      <c r="C30" s="47" t="s">
        <v>43</v>
      </c>
      <c r="D30" s="58">
        <v>204.0</v>
      </c>
      <c r="E30" s="44">
        <v>0.01</v>
      </c>
      <c r="F30" s="45">
        <v>8.0</v>
      </c>
      <c r="G30" s="48" t="s">
        <v>43</v>
      </c>
      <c r="H30" s="45">
        <v>0.0</v>
      </c>
      <c r="I30" s="46">
        <v>0.0</v>
      </c>
    </row>
    <row r="31" ht="14.25" customHeight="1">
      <c r="A31" s="63" t="s">
        <v>67</v>
      </c>
      <c r="B31" s="41">
        <v>2709.0</v>
      </c>
      <c r="C31" s="47" t="s">
        <v>30</v>
      </c>
      <c r="D31" s="58">
        <v>243.0</v>
      </c>
      <c r="E31" s="47" t="s">
        <v>30</v>
      </c>
      <c r="F31" s="45">
        <v>9.0</v>
      </c>
      <c r="G31" s="48" t="s">
        <v>30</v>
      </c>
      <c r="H31" s="45">
        <v>0.0</v>
      </c>
      <c r="I31" s="50" t="s">
        <v>30</v>
      </c>
    </row>
    <row r="32" ht="14.25" customHeight="1">
      <c r="A32" s="63" t="s">
        <v>68</v>
      </c>
      <c r="B32" s="41">
        <v>228711.0</v>
      </c>
      <c r="C32" s="47" t="s">
        <v>30</v>
      </c>
      <c r="D32" s="58">
        <v>4002.0</v>
      </c>
      <c r="E32" s="47" t="s">
        <v>30</v>
      </c>
      <c r="F32" s="45">
        <v>504.0</v>
      </c>
      <c r="G32" s="48" t="s">
        <v>30</v>
      </c>
      <c r="H32" s="45">
        <v>205.0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44125.0</v>
      </c>
      <c r="C40" s="73"/>
      <c r="D40" s="74"/>
      <c r="E40" s="74"/>
      <c r="F40" s="74"/>
      <c r="G40" s="74"/>
      <c r="H40" s="74"/>
      <c r="I40" s="74"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8.0</v>
      </c>
      <c r="C13" s="50" t="s">
        <v>44</v>
      </c>
      <c r="D13" s="50">
        <v>7.0</v>
      </c>
      <c r="E13" s="50">
        <v>36.0</v>
      </c>
      <c r="F13" s="50">
        <v>130.0</v>
      </c>
      <c r="G13" s="50">
        <v>136.0</v>
      </c>
      <c r="H13" s="50">
        <v>226.0</v>
      </c>
      <c r="I13" s="50">
        <v>287.0</v>
      </c>
      <c r="J13" s="50">
        <v>359.0</v>
      </c>
      <c r="K13" s="50">
        <v>266.0</v>
      </c>
      <c r="L13" s="50">
        <v>154.0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145.0</v>
      </c>
      <c r="G14" s="50">
        <v>158.0</v>
      </c>
      <c r="H14" s="50">
        <v>312.0</v>
      </c>
      <c r="I14" s="50">
        <v>338.0</v>
      </c>
      <c r="J14" s="50">
        <v>341.0</v>
      </c>
      <c r="K14" s="50">
        <v>218.0</v>
      </c>
      <c r="L14" s="50">
        <v>133.0</v>
      </c>
      <c r="M14" s="50">
        <v>187.0</v>
      </c>
      <c r="N14" s="96">
        <v>1933.0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276.0</v>
      </c>
      <c r="L15" s="50">
        <v>201.0</v>
      </c>
      <c r="M15" s="50">
        <v>296.0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153.0</v>
      </c>
      <c r="H16" s="50">
        <v>324.0</v>
      </c>
      <c r="I16" s="50">
        <v>315.0</v>
      </c>
      <c r="J16" s="50">
        <v>292.0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253.0</v>
      </c>
      <c r="K17" s="50">
        <v>192.0</v>
      </c>
      <c r="L17" s="50">
        <v>147.0</v>
      </c>
      <c r="M17" s="50">
        <v>296.0</v>
      </c>
      <c r="N17" s="96">
        <v>1851.0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94.0</v>
      </c>
      <c r="M18" s="50">
        <v>198.0</v>
      </c>
      <c r="N18" s="96">
        <v>1452.0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47.0</v>
      </c>
      <c r="H26" s="50">
        <v>66.0</v>
      </c>
      <c r="I26" s="50">
        <v>48.0</v>
      </c>
      <c r="J26" s="50">
        <v>34.0</v>
      </c>
      <c r="K26" s="50">
        <v>28.0</v>
      </c>
      <c r="L26" s="50">
        <v>16.0</v>
      </c>
      <c r="M26" s="50">
        <v>11.0</v>
      </c>
      <c r="N26" s="50">
        <v>343.0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120.0</v>
      </c>
      <c r="I29" s="50">
        <v>101.0</v>
      </c>
      <c r="J29" s="50">
        <v>84.0</v>
      </c>
      <c r="K29" s="50">
        <v>58.0</v>
      </c>
      <c r="L29" s="50">
        <v>31.0</v>
      </c>
      <c r="M29" s="50">
        <v>11.0</v>
      </c>
      <c r="N29" s="50">
        <v>683.0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24.0</v>
      </c>
      <c r="D30" s="50">
        <v>22.0</v>
      </c>
      <c r="E30" s="50">
        <v>37.0</v>
      </c>
      <c r="F30" s="50">
        <v>94.0</v>
      </c>
      <c r="G30" s="50">
        <v>73.0</v>
      </c>
      <c r="H30" s="50">
        <v>123.0</v>
      </c>
      <c r="I30" s="50">
        <v>98.0</v>
      </c>
      <c r="J30" s="50">
        <v>88.0</v>
      </c>
      <c r="K30" s="50">
        <v>61.0</v>
      </c>
      <c r="L30" s="50">
        <v>34.0</v>
      </c>
      <c r="M30" s="50">
        <v>31.0</v>
      </c>
      <c r="N30" s="50">
        <v>699.0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38.0</v>
      </c>
      <c r="L31" s="50">
        <v>32.0</v>
      </c>
      <c r="M31" s="50">
        <v>28.0</v>
      </c>
      <c r="N31" s="50">
        <v>614.0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51.0</v>
      </c>
      <c r="L32" s="50">
        <v>39.0</v>
      </c>
      <c r="M32" s="50">
        <v>26.0</v>
      </c>
      <c r="N32" s="50">
        <v>672.0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61.0</v>
      </c>
      <c r="J35" s="97">
        <v>66.0</v>
      </c>
      <c r="K35" s="97">
        <v>64.0</v>
      </c>
      <c r="L35" s="97">
        <v>38.0</v>
      </c>
      <c r="M35" s="97">
        <v>61.0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143.0</v>
      </c>
      <c r="G37" s="97">
        <v>63.0</v>
      </c>
      <c r="H37" s="97">
        <v>95.0</v>
      </c>
      <c r="I37" s="97">
        <v>75.0</v>
      </c>
      <c r="J37" s="97">
        <v>88.0</v>
      </c>
      <c r="K37" s="97">
        <v>51.0</v>
      </c>
      <c r="L37" s="97">
        <v>37.0</v>
      </c>
      <c r="M37" s="97">
        <v>49.0</v>
      </c>
      <c r="N37" s="97">
        <v>711.0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36.0</v>
      </c>
      <c r="E38" s="97">
        <v>55.0</v>
      </c>
      <c r="F38" s="97">
        <v>239.0</v>
      </c>
      <c r="G38" s="97">
        <v>94.0</v>
      </c>
      <c r="H38" s="97">
        <v>143.0</v>
      </c>
      <c r="I38" s="97">
        <v>89.0</v>
      </c>
      <c r="J38" s="97">
        <v>114.0</v>
      </c>
      <c r="K38" s="97">
        <v>66.0</v>
      </c>
      <c r="L38" s="97">
        <v>36.0</v>
      </c>
      <c r="M38" s="97">
        <v>44.0</v>
      </c>
      <c r="N38" s="97">
        <v>956.0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260.0</v>
      </c>
      <c r="G39" s="97">
        <v>105.0</v>
      </c>
      <c r="H39" s="97">
        <v>166.0</v>
      </c>
      <c r="I39" s="97">
        <v>152.0</v>
      </c>
      <c r="J39" s="97">
        <v>195.0</v>
      </c>
      <c r="K39" s="97">
        <v>109.0</v>
      </c>
      <c r="L39" s="97">
        <v>43.0</v>
      </c>
      <c r="M39" s="97">
        <v>39.0</v>
      </c>
      <c r="N39" s="97">
        <v>1226.0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44.0</v>
      </c>
      <c r="E40" s="97">
        <v>82.0</v>
      </c>
      <c r="F40" s="97">
        <v>203.0</v>
      </c>
      <c r="G40" s="97">
        <v>151.0</v>
      </c>
      <c r="H40" s="97">
        <v>226.0</v>
      </c>
      <c r="I40" s="97">
        <v>204.0</v>
      </c>
      <c r="J40" s="97">
        <v>238.0</v>
      </c>
      <c r="K40" s="97">
        <v>173.0</v>
      </c>
      <c r="L40" s="97">
        <v>69.0</v>
      </c>
      <c r="M40" s="97">
        <v>52.0</v>
      </c>
      <c r="N40" s="97">
        <v>1515.0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112</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113</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114</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115</v>
      </c>
      <c r="F9" s="50">
        <v>0.0</v>
      </c>
      <c r="G9" s="50">
        <v>0.0</v>
      </c>
      <c r="H9" s="50">
        <v>0.0</v>
      </c>
      <c r="I9" s="50" t="s">
        <v>115</v>
      </c>
      <c r="J9" s="50">
        <v>0.0</v>
      </c>
      <c r="K9" s="50" t="s">
        <v>115</v>
      </c>
      <c r="L9" s="50">
        <v>0.0</v>
      </c>
      <c r="M9" s="50">
        <v>0.0</v>
      </c>
      <c r="N9" s="50" t="s">
        <v>115</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115</v>
      </c>
      <c r="C10" s="50" t="s">
        <v>115</v>
      </c>
      <c r="D10" s="50">
        <v>0.0</v>
      </c>
      <c r="E10" s="50" t="s">
        <v>115</v>
      </c>
      <c r="F10" s="50">
        <v>0.0</v>
      </c>
      <c r="G10" s="50" t="s">
        <v>115</v>
      </c>
      <c r="H10" s="50" t="s">
        <v>115</v>
      </c>
      <c r="I10" s="50" t="s">
        <v>115</v>
      </c>
      <c r="J10" s="50" t="s">
        <v>115</v>
      </c>
      <c r="K10" s="50" t="s">
        <v>115</v>
      </c>
      <c r="L10" s="50" t="s">
        <v>115</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115</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115</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15.0</v>
      </c>
      <c r="C14" s="50" t="s">
        <v>115</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153.0</v>
      </c>
      <c r="G15" s="50">
        <v>206.0</v>
      </c>
      <c r="H15" s="50">
        <v>230.0</v>
      </c>
      <c r="I15" s="50">
        <v>271.0</v>
      </c>
      <c r="J15" s="50">
        <v>227.0</v>
      </c>
      <c r="K15" s="50">
        <v>168.0</v>
      </c>
      <c r="L15" s="50">
        <v>176.0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212.0</v>
      </c>
      <c r="L16" s="50">
        <v>267.0</v>
      </c>
      <c r="M16" s="50">
        <v>608.0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200.0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125.0</v>
      </c>
      <c r="M19" s="50">
        <v>406.0</v>
      </c>
      <c r="N19" s="50">
        <v>137.0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115</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115</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115</v>
      </c>
      <c r="C27" s="50" t="s">
        <v>115</v>
      </c>
      <c r="D27" s="50">
        <v>14.0</v>
      </c>
      <c r="E27" s="50">
        <v>67.0</v>
      </c>
      <c r="F27" s="50">
        <v>46.0</v>
      </c>
      <c r="G27" s="50">
        <v>61.0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44.0</v>
      </c>
      <c r="D31" s="50">
        <v>37.0</v>
      </c>
      <c r="E31" s="50">
        <v>69.0</v>
      </c>
      <c r="F31" s="50">
        <v>99.0</v>
      </c>
      <c r="G31" s="50">
        <v>95.0</v>
      </c>
      <c r="H31" s="50">
        <v>91.0</v>
      </c>
      <c r="I31" s="50">
        <v>79.0</v>
      </c>
      <c r="J31" s="50">
        <v>59.0</v>
      </c>
      <c r="K31" s="50">
        <v>47.0</v>
      </c>
      <c r="L31" s="50">
        <v>45.0</v>
      </c>
      <c r="M31" s="50">
        <v>64.0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29.0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39.0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49.0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151.0</v>
      </c>
      <c r="G38" s="97">
        <v>82.0</v>
      </c>
      <c r="H38" s="97">
        <v>70.0</v>
      </c>
      <c r="I38" s="97">
        <v>60.0</v>
      </c>
      <c r="J38" s="97">
        <v>59.0</v>
      </c>
      <c r="K38" s="97">
        <v>39.0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61.0</v>
      </c>
      <c r="E39" s="97">
        <v>103.0</v>
      </c>
      <c r="F39" s="97">
        <v>252.0</v>
      </c>
      <c r="G39" s="97">
        <v>123.0</v>
      </c>
      <c r="H39" s="97">
        <v>106.0</v>
      </c>
      <c r="I39" s="97">
        <v>71.0</v>
      </c>
      <c r="J39" s="97">
        <v>76.0</v>
      </c>
      <c r="K39" s="97">
        <v>51.0</v>
      </c>
      <c r="L39" s="97">
        <v>48.0</v>
      </c>
      <c r="M39" s="97">
        <v>90.0</v>
      </c>
      <c r="N39" s="97">
        <v>90.0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274.0</v>
      </c>
      <c r="G40" s="97">
        <v>137.0</v>
      </c>
      <c r="H40" s="97">
        <v>123.0</v>
      </c>
      <c r="I40" s="97">
        <v>122.0</v>
      </c>
      <c r="J40" s="97">
        <v>130.0</v>
      </c>
      <c r="K40" s="97">
        <v>84.0</v>
      </c>
      <c r="L40" s="97">
        <v>57.0</v>
      </c>
      <c r="M40" s="97">
        <v>80.0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75.0</v>
      </c>
      <c r="E41" s="97">
        <v>153.0</v>
      </c>
      <c r="F41" s="97">
        <v>214.0</v>
      </c>
      <c r="G41" s="97">
        <v>197.0</v>
      </c>
      <c r="H41" s="97">
        <v>167.0</v>
      </c>
      <c r="I41" s="97">
        <v>164.0</v>
      </c>
      <c r="J41" s="97">
        <v>158.0</v>
      </c>
      <c r="K41" s="97">
        <v>133.0</v>
      </c>
      <c r="L41" s="97">
        <v>92.0</v>
      </c>
      <c r="M41" s="97">
        <v>107.0</v>
      </c>
      <c r="N41" s="97">
        <v>143.0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116</v>
      </c>
      <c r="H1" s="76"/>
      <c r="I1" s="76"/>
      <c r="J1" s="76"/>
      <c r="K1" s="76"/>
      <c r="L1" s="77"/>
    </row>
    <row r="2">
      <c r="A2" s="81" t="s">
        <v>74</v>
      </c>
      <c r="F2" s="78"/>
      <c r="G2" s="78"/>
      <c r="H2" s="78"/>
      <c r="I2" s="78"/>
      <c r="J2" s="78"/>
      <c r="K2" s="78"/>
      <c r="L2" s="82"/>
    </row>
    <row r="3">
      <c r="A3" s="81" t="s">
        <v>0</v>
      </c>
      <c r="B3" s="83">
        <v>44125.0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117</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118</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764.0</v>
      </c>
      <c r="H13" s="50">
        <v>10.0</v>
      </c>
      <c r="I13" s="50">
        <v>5.0</v>
      </c>
      <c r="J13" s="50">
        <v>12.0</v>
      </c>
      <c r="K13" s="50">
        <v>335.0</v>
      </c>
      <c r="L13" s="96">
        <v>1830.0</v>
      </c>
    </row>
    <row r="14">
      <c r="A14" s="94" t="s">
        <v>85</v>
      </c>
      <c r="B14" s="50">
        <v>742.0</v>
      </c>
      <c r="C14" s="50">
        <v>11.0</v>
      </c>
      <c r="D14" s="50">
        <v>24.0</v>
      </c>
      <c r="E14" s="50">
        <v>218.0</v>
      </c>
      <c r="F14" s="50">
        <v>0.0</v>
      </c>
      <c r="G14" s="50">
        <v>602.0</v>
      </c>
      <c r="H14" s="50">
        <v>10.0</v>
      </c>
      <c r="I14" s="50">
        <v>10.0</v>
      </c>
      <c r="J14" s="50">
        <v>23.0</v>
      </c>
      <c r="K14" s="50">
        <v>293.0</v>
      </c>
      <c r="L14" s="96">
        <v>1933.0</v>
      </c>
    </row>
    <row r="15">
      <c r="A15" s="94" t="s">
        <v>86</v>
      </c>
      <c r="B15" s="50">
        <v>947.0</v>
      </c>
      <c r="C15" s="50">
        <v>10.0</v>
      </c>
      <c r="D15" s="50">
        <v>23.0</v>
      </c>
      <c r="E15" s="50">
        <v>278.0</v>
      </c>
      <c r="F15" s="50">
        <v>0.0</v>
      </c>
      <c r="G15" s="50">
        <v>721.0</v>
      </c>
      <c r="H15" s="50">
        <v>21.0</v>
      </c>
      <c r="I15" s="50">
        <v>14.0</v>
      </c>
      <c r="J15" s="50">
        <v>36.0</v>
      </c>
      <c r="K15" s="50">
        <v>479.0</v>
      </c>
      <c r="L15" s="96">
        <v>2529.0</v>
      </c>
    </row>
    <row r="16">
      <c r="A16" s="94" t="s">
        <v>87</v>
      </c>
      <c r="B16" s="50">
        <v>749.0</v>
      </c>
      <c r="C16" s="50">
        <v>6.0</v>
      </c>
      <c r="D16" s="50">
        <v>42.0</v>
      </c>
      <c r="E16" s="50">
        <v>231.0</v>
      </c>
      <c r="F16" s="50">
        <v>0.0</v>
      </c>
      <c r="G16" s="50">
        <v>481.0</v>
      </c>
      <c r="H16" s="50">
        <v>18.0</v>
      </c>
      <c r="I16" s="50">
        <v>7.0</v>
      </c>
      <c r="J16" s="50">
        <v>26.0</v>
      </c>
      <c r="K16" s="50">
        <v>434.0</v>
      </c>
      <c r="L16" s="96">
        <v>1994.0</v>
      </c>
    </row>
    <row r="17">
      <c r="A17" s="94" t="s">
        <v>88</v>
      </c>
      <c r="B17" s="50">
        <v>702.0</v>
      </c>
      <c r="C17" s="50">
        <v>8.0</v>
      </c>
      <c r="D17" s="50">
        <v>26.0</v>
      </c>
      <c r="E17" s="50">
        <v>203.0</v>
      </c>
      <c r="F17" s="50">
        <v>0.0</v>
      </c>
      <c r="G17" s="50">
        <v>571.0</v>
      </c>
      <c r="H17" s="50">
        <v>26.0</v>
      </c>
      <c r="I17" s="50" t="s">
        <v>44</v>
      </c>
      <c r="J17" s="50">
        <v>19.0</v>
      </c>
      <c r="K17" s="50">
        <v>293.0</v>
      </c>
      <c r="L17" s="96">
        <v>1851.0</v>
      </c>
    </row>
    <row r="18">
      <c r="A18" s="94" t="s">
        <v>89</v>
      </c>
      <c r="B18" s="50">
        <v>619.0</v>
      </c>
      <c r="C18" s="50" t="s">
        <v>44</v>
      </c>
      <c r="D18" s="50">
        <v>37.0</v>
      </c>
      <c r="E18" s="50">
        <v>165.0</v>
      </c>
      <c r="F18" s="50">
        <v>0.0</v>
      </c>
      <c r="G18" s="50">
        <v>406.0</v>
      </c>
      <c r="H18" s="50">
        <v>26.0</v>
      </c>
      <c r="I18" s="50">
        <v>5.0</v>
      </c>
      <c r="J18" s="50">
        <v>9.0</v>
      </c>
      <c r="K18" s="50">
        <v>182.0</v>
      </c>
      <c r="L18" s="96">
        <v>1452.0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118.0</v>
      </c>
      <c r="H24" s="50" t="s">
        <v>44</v>
      </c>
      <c r="I24" s="50">
        <v>6.0</v>
      </c>
      <c r="J24" s="50" t="s">
        <v>44</v>
      </c>
      <c r="K24" s="50">
        <v>32.0</v>
      </c>
      <c r="L24" s="50">
        <v>354.0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157.0</v>
      </c>
      <c r="H26" s="50">
        <v>6.0</v>
      </c>
      <c r="I26" s="50" t="s">
        <v>44</v>
      </c>
      <c r="J26" s="50" t="s">
        <v>44</v>
      </c>
      <c r="K26" s="50">
        <v>18.0</v>
      </c>
      <c r="L26" s="50">
        <v>343.0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44.0</v>
      </c>
      <c r="L29" s="50">
        <v>683.0</v>
      </c>
    </row>
    <row r="30">
      <c r="A30" s="94" t="s">
        <v>101</v>
      </c>
      <c r="B30" s="50">
        <v>324.0</v>
      </c>
      <c r="C30" s="50" t="s">
        <v>44</v>
      </c>
      <c r="D30" s="50">
        <v>15.0</v>
      </c>
      <c r="E30" s="50">
        <v>82.0</v>
      </c>
      <c r="F30" s="50">
        <v>0.0</v>
      </c>
      <c r="G30" s="50">
        <v>204.0</v>
      </c>
      <c r="H30" s="50">
        <v>6.0</v>
      </c>
      <c r="I30" s="50">
        <v>8.0</v>
      </c>
      <c r="J30" s="50" t="s">
        <v>44</v>
      </c>
      <c r="K30" s="50">
        <v>54.0</v>
      </c>
      <c r="L30" s="50">
        <v>699.0</v>
      </c>
    </row>
    <row r="31">
      <c r="A31" s="94" t="s">
        <v>102</v>
      </c>
      <c r="B31" s="50">
        <v>305.0</v>
      </c>
      <c r="C31" s="50">
        <v>0.0</v>
      </c>
      <c r="D31" s="50">
        <v>8.0</v>
      </c>
      <c r="E31" s="50">
        <v>41.0</v>
      </c>
      <c r="F31" s="50">
        <v>0.0</v>
      </c>
      <c r="G31" s="50">
        <v>191.0</v>
      </c>
      <c r="H31" s="50">
        <v>9.0</v>
      </c>
      <c r="I31" s="50">
        <v>7.0</v>
      </c>
      <c r="J31" s="50" t="s">
        <v>44</v>
      </c>
      <c r="K31" s="50">
        <v>50.0</v>
      </c>
      <c r="L31" s="50">
        <v>614.0</v>
      </c>
    </row>
    <row r="32">
      <c r="A32" s="94" t="s">
        <v>103</v>
      </c>
      <c r="B32" s="50">
        <v>302.0</v>
      </c>
      <c r="C32" s="50" t="s">
        <v>44</v>
      </c>
      <c r="D32" s="50">
        <v>11.0</v>
      </c>
      <c r="E32" s="50">
        <v>44.0</v>
      </c>
      <c r="F32" s="50">
        <v>0.0</v>
      </c>
      <c r="G32" s="50">
        <v>235.0</v>
      </c>
      <c r="H32" s="50">
        <v>9.0</v>
      </c>
      <c r="I32" s="50">
        <v>13.0</v>
      </c>
      <c r="J32" s="50" t="s">
        <v>44</v>
      </c>
      <c r="K32" s="50">
        <v>55.0</v>
      </c>
      <c r="L32" s="50">
        <v>672.0</v>
      </c>
    </row>
    <row r="33">
      <c r="A33" s="94" t="s">
        <v>104</v>
      </c>
      <c r="B33" s="50">
        <v>230.0</v>
      </c>
      <c r="C33" s="50" t="s">
        <v>44</v>
      </c>
      <c r="D33" s="50">
        <v>9.0</v>
      </c>
      <c r="E33" s="50">
        <v>32.0</v>
      </c>
      <c r="F33" s="50">
        <v>0.0</v>
      </c>
      <c r="G33" s="50">
        <v>179.0</v>
      </c>
      <c r="H33" s="50">
        <v>6.0</v>
      </c>
      <c r="I33" s="50">
        <v>10.0</v>
      </c>
      <c r="J33" s="50" t="s">
        <v>44</v>
      </c>
      <c r="K33" s="50">
        <v>69.0</v>
      </c>
      <c r="L33" s="50">
        <v>540.0</v>
      </c>
    </row>
    <row r="34">
      <c r="A34" s="94" t="s">
        <v>105</v>
      </c>
      <c r="B34" s="97">
        <v>210.0</v>
      </c>
      <c r="C34" s="97" t="s">
        <v>44</v>
      </c>
      <c r="D34" s="97">
        <v>16.0</v>
      </c>
      <c r="E34" s="97">
        <v>52.0</v>
      </c>
      <c r="F34" s="97">
        <v>0.0</v>
      </c>
      <c r="G34" s="97">
        <v>146.0</v>
      </c>
      <c r="H34" s="97">
        <v>8.0</v>
      </c>
      <c r="I34" s="97" t="s">
        <v>44</v>
      </c>
      <c r="J34" s="97">
        <v>6.0</v>
      </c>
      <c r="K34" s="97">
        <v>40.0</v>
      </c>
      <c r="L34" s="97">
        <v>482.0</v>
      </c>
    </row>
    <row r="35">
      <c r="A35" s="94" t="s">
        <v>106</v>
      </c>
      <c r="B35" s="97">
        <v>173.0</v>
      </c>
      <c r="C35" s="97" t="s">
        <v>44</v>
      </c>
      <c r="D35" s="97">
        <v>5.0</v>
      </c>
      <c r="E35" s="97">
        <v>63.0</v>
      </c>
      <c r="F35" s="97">
        <v>0.0</v>
      </c>
      <c r="G35" s="97">
        <v>225.0</v>
      </c>
      <c r="H35" s="97">
        <v>10.0</v>
      </c>
      <c r="I35" s="97" t="s">
        <v>44</v>
      </c>
      <c r="J35" s="97" t="s">
        <v>44</v>
      </c>
      <c r="K35" s="97">
        <v>59.0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224.0</v>
      </c>
      <c r="C37" s="105" t="s">
        <v>44</v>
      </c>
      <c r="D37" s="105">
        <v>8.0</v>
      </c>
      <c r="E37" s="105">
        <v>68.0</v>
      </c>
      <c r="F37" s="105">
        <v>0.0</v>
      </c>
      <c r="G37" s="105">
        <v>318.0</v>
      </c>
      <c r="H37" s="105">
        <v>13.0</v>
      </c>
      <c r="I37" s="105">
        <v>10.0</v>
      </c>
      <c r="J37" s="105">
        <v>7.0</v>
      </c>
      <c r="K37" s="105">
        <v>62.0</v>
      </c>
      <c r="L37" s="105">
        <v>711.0</v>
      </c>
    </row>
    <row r="38">
      <c r="A38" s="94" t="s">
        <v>109</v>
      </c>
      <c r="B38" s="105">
        <v>274.0</v>
      </c>
      <c r="C38" s="105" t="s">
        <v>44</v>
      </c>
      <c r="D38" s="105">
        <v>8.0</v>
      </c>
      <c r="E38" s="105">
        <v>90.0</v>
      </c>
      <c r="F38" s="105">
        <v>0.0</v>
      </c>
      <c r="G38" s="105">
        <v>450.0</v>
      </c>
      <c r="H38" s="105">
        <v>22.0</v>
      </c>
      <c r="I38" s="105">
        <v>13.0</v>
      </c>
      <c r="J38" s="105">
        <v>7.0</v>
      </c>
      <c r="K38" s="105">
        <v>91.0</v>
      </c>
      <c r="L38" s="105">
        <v>956.0</v>
      </c>
    </row>
    <row r="39">
      <c r="A39" s="94" t="s">
        <v>110</v>
      </c>
      <c r="B39" s="105">
        <v>337.0</v>
      </c>
      <c r="C39" s="105">
        <v>7.0</v>
      </c>
      <c r="D39" s="105">
        <v>9.0</v>
      </c>
      <c r="E39" s="105">
        <v>99.0</v>
      </c>
      <c r="F39" s="105">
        <v>0.0</v>
      </c>
      <c r="G39" s="105">
        <v>590.0</v>
      </c>
      <c r="H39" s="105">
        <v>21.0</v>
      </c>
      <c r="I39" s="105">
        <v>12.0</v>
      </c>
      <c r="J39" s="105">
        <v>15.0</v>
      </c>
      <c r="K39" s="105">
        <v>136.0</v>
      </c>
      <c r="L39" s="105">
        <v>1226.0</v>
      </c>
    </row>
    <row r="40">
      <c r="A40" s="94" t="s">
        <v>111</v>
      </c>
      <c r="B40" s="105">
        <v>383.0</v>
      </c>
      <c r="C40" s="105" t="s">
        <v>44</v>
      </c>
      <c r="D40" s="105">
        <v>12.0</v>
      </c>
      <c r="E40" s="105">
        <v>80.0</v>
      </c>
      <c r="F40" s="105">
        <v>0.0</v>
      </c>
      <c r="G40" s="105">
        <v>578.0</v>
      </c>
      <c r="H40" s="105">
        <v>22.0</v>
      </c>
      <c r="I40" s="105">
        <v>10.0</v>
      </c>
      <c r="J40" s="105">
        <v>12.0</v>
      </c>
      <c r="K40" s="105">
        <v>415.0</v>
      </c>
      <c r="L40" s="105">
        <v>1515.0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119</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120</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44125.0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121</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118</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114</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115</v>
      </c>
      <c r="H9" s="50" t="s">
        <v>115</v>
      </c>
      <c r="I9" s="50">
        <v>0.0</v>
      </c>
      <c r="J9" s="50" t="s">
        <v>115</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115</v>
      </c>
      <c r="C10" s="50">
        <v>0.0</v>
      </c>
      <c r="D10" s="50" t="s">
        <v>115</v>
      </c>
      <c r="E10" s="50">
        <v>0.0</v>
      </c>
      <c r="F10" s="50">
        <v>0.0</v>
      </c>
      <c r="G10" s="50">
        <v>1.0</v>
      </c>
      <c r="H10" s="50" t="s">
        <v>115</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115</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115</v>
      </c>
      <c r="D12" s="50" t="s">
        <v>115</v>
      </c>
      <c r="E12" s="50">
        <v>29.0</v>
      </c>
      <c r="F12" s="50">
        <v>0.0</v>
      </c>
      <c r="G12" s="50">
        <v>11.0</v>
      </c>
      <c r="H12" s="50" t="s">
        <v>115</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115</v>
      </c>
      <c r="D13" s="50" t="s">
        <v>115</v>
      </c>
      <c r="E13" s="50">
        <v>95.0</v>
      </c>
      <c r="F13" s="50">
        <v>0.0</v>
      </c>
      <c r="G13" s="50">
        <v>33.0</v>
      </c>
      <c r="H13" s="50">
        <v>71.0</v>
      </c>
      <c r="I13" s="50" t="s">
        <v>115</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369.0</v>
      </c>
      <c r="F15" s="50">
        <v>0.0</v>
      </c>
      <c r="G15" s="50">
        <v>78.0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344.0</v>
      </c>
      <c r="F18" s="50">
        <v>0.0</v>
      </c>
      <c r="G18" s="50">
        <v>74.0</v>
      </c>
      <c r="H18" s="50">
        <v>367.0</v>
      </c>
      <c r="I18" s="50" t="s">
        <v>115</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115</v>
      </c>
      <c r="D19" s="50">
        <v>105.0</v>
      </c>
      <c r="E19" s="50">
        <v>280.0</v>
      </c>
      <c r="F19" s="50">
        <v>0.0</v>
      </c>
      <c r="G19" s="50">
        <v>53.0</v>
      </c>
      <c r="H19" s="50">
        <v>367.0</v>
      </c>
      <c r="I19" s="50">
        <v>20.0</v>
      </c>
      <c r="J19" s="50">
        <v>137.0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115</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115</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115</v>
      </c>
      <c r="I22" s="50" t="s">
        <v>115</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115</v>
      </c>
      <c r="D23" s="50">
        <v>37.0</v>
      </c>
      <c r="E23" s="50">
        <v>80.0</v>
      </c>
      <c r="F23" s="50">
        <v>0.0</v>
      </c>
      <c r="G23" s="50">
        <v>18.0</v>
      </c>
      <c r="H23" s="50">
        <v>113.0</v>
      </c>
      <c r="I23" s="50" t="s">
        <v>115</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115</v>
      </c>
      <c r="D24" s="50" t="s">
        <v>115</v>
      </c>
      <c r="E24" s="50">
        <v>56.0</v>
      </c>
      <c r="F24" s="50">
        <v>0.0</v>
      </c>
      <c r="G24" s="50">
        <v>14.0</v>
      </c>
      <c r="H24" s="50" t="s">
        <v>115</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115</v>
      </c>
      <c r="D25" s="50" t="s">
        <v>115</v>
      </c>
      <c r="E25" s="50">
        <v>81.0</v>
      </c>
      <c r="F25" s="50">
        <v>0.0</v>
      </c>
      <c r="G25" s="50">
        <v>15.0</v>
      </c>
      <c r="H25" s="50" t="s">
        <v>115</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115</v>
      </c>
      <c r="D26" s="50">
        <v>31.0</v>
      </c>
      <c r="E26" s="50">
        <v>46.0</v>
      </c>
      <c r="F26" s="50">
        <v>0.0</v>
      </c>
      <c r="G26" s="50">
        <v>13.0</v>
      </c>
      <c r="H26" s="50" t="s">
        <v>115</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115</v>
      </c>
      <c r="D27" s="50">
        <v>26.0</v>
      </c>
      <c r="E27" s="50">
        <v>49.0</v>
      </c>
      <c r="F27" s="50">
        <v>0.0</v>
      </c>
      <c r="G27" s="50">
        <v>20.0</v>
      </c>
      <c r="H27" s="50">
        <v>85.0</v>
      </c>
      <c r="I27" s="50" t="s">
        <v>115</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115</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115</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115</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115</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115</v>
      </c>
      <c r="D33" s="50">
        <v>31.0</v>
      </c>
      <c r="E33" s="50">
        <v>75.0</v>
      </c>
      <c r="F33" s="50">
        <v>0.0</v>
      </c>
      <c r="G33" s="50">
        <v>31.0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115</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115</v>
      </c>
      <c r="D35" s="97">
        <v>46.0</v>
      </c>
      <c r="E35" s="97">
        <v>88.0</v>
      </c>
      <c r="F35" s="97">
        <v>0.0</v>
      </c>
      <c r="G35" s="97">
        <v>19.0</v>
      </c>
      <c r="H35" s="97">
        <v>113.0</v>
      </c>
      <c r="I35" s="97" t="s">
        <v>115</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115</v>
      </c>
      <c r="D36" s="97">
        <v>14.0</v>
      </c>
      <c r="E36" s="97">
        <v>107.0</v>
      </c>
      <c r="F36" s="97">
        <v>0.0</v>
      </c>
      <c r="G36" s="97">
        <v>29.0</v>
      </c>
      <c r="H36" s="97">
        <v>141.0</v>
      </c>
      <c r="I36" s="97" t="s">
        <v>115</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115</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141.0</v>
      </c>
      <c r="C38" s="105" t="s">
        <v>115</v>
      </c>
      <c r="D38" s="105">
        <v>23.0</v>
      </c>
      <c r="E38" s="105">
        <v>115.0</v>
      </c>
      <c r="F38" s="105">
        <v>0.0</v>
      </c>
      <c r="G38" s="105">
        <v>41.0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115</v>
      </c>
      <c r="D39" s="105">
        <v>23.0</v>
      </c>
      <c r="E39" s="105">
        <v>153.0</v>
      </c>
      <c r="F39" s="105">
        <v>0.0</v>
      </c>
      <c r="G39" s="105">
        <v>59.0</v>
      </c>
      <c r="H39" s="105">
        <v>310.0</v>
      </c>
      <c r="I39" s="105">
        <v>53.0</v>
      </c>
      <c r="J39" s="105">
        <v>90.0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189.0</v>
      </c>
      <c r="D40" s="105">
        <v>26.0</v>
      </c>
      <c r="E40" s="105">
        <v>168.0</v>
      </c>
      <c r="F40" s="105">
        <v>0.0</v>
      </c>
      <c r="G40" s="105">
        <v>77.0</v>
      </c>
      <c r="H40" s="105">
        <v>296.0</v>
      </c>
      <c r="I40" s="105">
        <v>49.0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241.0</v>
      </c>
      <c r="C41" s="105" t="s">
        <v>115</v>
      </c>
      <c r="D41" s="105">
        <v>34.0</v>
      </c>
      <c r="E41" s="105">
        <v>136.0</v>
      </c>
      <c r="F41" s="105">
        <v>0.0</v>
      </c>
      <c r="G41" s="105">
        <v>75.0</v>
      </c>
      <c r="H41" s="105">
        <v>310.0</v>
      </c>
      <c r="I41" s="105">
        <v>41.0</v>
      </c>
      <c r="J41" s="105">
        <v>143.0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112"/>
      <c r="B42" s="113"/>
      <c r="C42" s="113"/>
      <c r="D42" s="113"/>
      <c r="E42" s="113"/>
      <c r="F42" s="113"/>
      <c r="G42" s="113"/>
      <c r="H42" s="113"/>
      <c r="I42" s="113"/>
      <c r="J42" s="113"/>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122</v>
      </c>
      <c r="B1" s="115" t="s">
        <v>123</v>
      </c>
      <c r="C1" s="115" t="s">
        <v>124</v>
      </c>
      <c r="D1" s="115" t="s">
        <v>125</v>
      </c>
      <c r="E1" s="115" t="s">
        <v>126</v>
      </c>
      <c r="F1" s="115" t="s">
        <v>25</v>
      </c>
      <c r="G1" s="115" t="s">
        <v>127</v>
      </c>
    </row>
    <row r="2" ht="14.25" customHeight="1">
      <c r="A2" s="116" t="s">
        <v>128</v>
      </c>
      <c r="B2" s="117">
        <v>100.0</v>
      </c>
      <c r="C2" s="118">
        <v>618.0</v>
      </c>
      <c r="D2" s="119">
        <v>8.0</v>
      </c>
      <c r="E2" s="118">
        <v>49.0</v>
      </c>
      <c r="F2" s="118">
        <v>0.0</v>
      </c>
      <c r="G2" s="118">
        <v>0.0</v>
      </c>
    </row>
    <row r="3" ht="14.25" customHeight="1">
      <c r="A3" s="116" t="s">
        <v>129</v>
      </c>
      <c r="B3" s="117">
        <v>267.0</v>
      </c>
      <c r="C3" s="118">
        <v>1201.0</v>
      </c>
      <c r="D3" s="119">
        <v>17.0</v>
      </c>
      <c r="E3" s="118">
        <v>76.0</v>
      </c>
      <c r="F3" s="118">
        <v>9.0</v>
      </c>
      <c r="G3" s="118">
        <v>40.0</v>
      </c>
    </row>
    <row r="4" ht="14.25" customHeight="1">
      <c r="A4" s="116" t="s">
        <v>130</v>
      </c>
      <c r="B4" s="117">
        <v>194.0</v>
      </c>
      <c r="C4" s="118">
        <v>1179.0</v>
      </c>
      <c r="D4" s="119">
        <v>20.0</v>
      </c>
      <c r="E4" s="118">
        <v>122.0</v>
      </c>
      <c r="F4" s="118">
        <v>22.0</v>
      </c>
      <c r="G4" s="118">
        <v>134.0</v>
      </c>
    </row>
    <row r="5" ht="14.25" customHeight="1">
      <c r="A5" s="116" t="s">
        <v>131</v>
      </c>
      <c r="B5" s="117">
        <v>1463.0</v>
      </c>
      <c r="C5" s="118">
        <v>7548.0</v>
      </c>
      <c r="D5" s="119">
        <v>107.0</v>
      </c>
      <c r="E5" s="118">
        <v>552.0</v>
      </c>
      <c r="F5" s="118">
        <v>12.0</v>
      </c>
      <c r="G5" s="118">
        <v>62.0</v>
      </c>
    </row>
    <row r="6" ht="14.25" customHeight="1">
      <c r="A6" s="116" t="s">
        <v>132</v>
      </c>
      <c r="B6" s="117">
        <v>47.0</v>
      </c>
      <c r="C6" s="118">
        <v>604.0</v>
      </c>
      <c r="D6" s="119">
        <v>5.0</v>
      </c>
      <c r="E6" s="118">
        <v>64.0</v>
      </c>
      <c r="F6" s="118" t="s">
        <v>44</v>
      </c>
      <c r="G6" s="118" t="s">
        <v>30</v>
      </c>
    </row>
    <row r="7" ht="14.25" customHeight="1">
      <c r="A7" s="116" t="s">
        <v>133</v>
      </c>
      <c r="B7" s="117">
        <v>432.0</v>
      </c>
      <c r="C7" s="118">
        <v>1249.0</v>
      </c>
      <c r="D7" s="119">
        <v>42.0</v>
      </c>
      <c r="E7" s="118">
        <v>121.0</v>
      </c>
      <c r="F7" s="118">
        <v>18.0</v>
      </c>
      <c r="G7" s="118">
        <v>52.0</v>
      </c>
    </row>
    <row r="8" ht="14.25" customHeight="1">
      <c r="A8" s="116" t="s">
        <v>134</v>
      </c>
      <c r="B8" s="117">
        <v>1911.0</v>
      </c>
      <c r="C8" s="118">
        <v>2354.0</v>
      </c>
      <c r="D8" s="119">
        <v>188.0</v>
      </c>
      <c r="E8" s="118">
        <v>232.0</v>
      </c>
      <c r="F8" s="118">
        <v>30.0</v>
      </c>
      <c r="G8" s="118">
        <v>37.0</v>
      </c>
    </row>
    <row r="9" ht="14.25" customHeight="1">
      <c r="A9" s="116" t="s">
        <v>135</v>
      </c>
      <c r="B9" s="117">
        <v>616.0</v>
      </c>
      <c r="C9" s="118">
        <v>1778.0</v>
      </c>
      <c r="D9" s="119">
        <v>66.0</v>
      </c>
      <c r="E9" s="118">
        <v>190.0</v>
      </c>
      <c r="F9" s="118">
        <v>35.0</v>
      </c>
      <c r="G9" s="118">
        <v>101.0</v>
      </c>
    </row>
    <row r="10" ht="14.25" customHeight="1">
      <c r="A10" s="116" t="s">
        <v>136</v>
      </c>
      <c r="B10" s="117">
        <v>174.0</v>
      </c>
      <c r="C10" s="118">
        <v>1331.0</v>
      </c>
      <c r="D10" s="119">
        <v>11.0</v>
      </c>
      <c r="E10" s="118">
        <v>84.0</v>
      </c>
      <c r="F10" s="118" t="s">
        <v>44</v>
      </c>
      <c r="G10" s="118" t="s">
        <v>30</v>
      </c>
    </row>
    <row r="11" ht="14.25" customHeight="1">
      <c r="A11" s="116" t="s">
        <v>137</v>
      </c>
      <c r="B11" s="117">
        <v>1016.0</v>
      </c>
      <c r="C11" s="118">
        <v>2141.0</v>
      </c>
      <c r="D11" s="119">
        <v>103.0</v>
      </c>
      <c r="E11" s="118">
        <v>217.0</v>
      </c>
      <c r="F11" s="118">
        <v>112.0</v>
      </c>
      <c r="G11" s="118">
        <v>236.0</v>
      </c>
    </row>
    <row r="12" ht="14.25" customHeight="1">
      <c r="A12" s="116" t="s">
        <v>138</v>
      </c>
      <c r="B12" s="117">
        <v>61.0</v>
      </c>
      <c r="C12" s="118">
        <v>899.0</v>
      </c>
      <c r="D12" s="119">
        <v>8.0</v>
      </c>
      <c r="E12" s="118">
        <v>118.0</v>
      </c>
      <c r="F12" s="118" t="s">
        <v>44</v>
      </c>
      <c r="G12" s="118" t="s">
        <v>30</v>
      </c>
    </row>
    <row r="13" ht="14.25" customHeight="1">
      <c r="A13" s="116" t="s">
        <v>139</v>
      </c>
      <c r="B13" s="117">
        <v>44.0</v>
      </c>
      <c r="C13" s="118">
        <v>938.0</v>
      </c>
      <c r="D13" s="119" t="s">
        <v>44</v>
      </c>
      <c r="E13" s="118" t="s">
        <v>30</v>
      </c>
      <c r="F13" s="118">
        <v>0.0</v>
      </c>
      <c r="G13" s="118">
        <v>0.0</v>
      </c>
    </row>
    <row r="14" ht="14.25" customHeight="1">
      <c r="A14" s="116" t="s">
        <v>140</v>
      </c>
      <c r="B14" s="117">
        <v>73.0</v>
      </c>
      <c r="C14" s="118">
        <v>726.0</v>
      </c>
      <c r="D14" s="119">
        <v>5.0</v>
      </c>
      <c r="E14" s="118">
        <v>50.0</v>
      </c>
      <c r="F14" s="118">
        <v>0.0</v>
      </c>
      <c r="G14" s="118">
        <v>0.0</v>
      </c>
    </row>
    <row r="15" ht="14.25" customHeight="1">
      <c r="A15" s="116" t="s">
        <v>141</v>
      </c>
      <c r="B15" s="117">
        <v>21.0</v>
      </c>
      <c r="C15" s="118">
        <v>259.0</v>
      </c>
      <c r="D15" s="119" t="s">
        <v>44</v>
      </c>
      <c r="E15" s="118" t="s">
        <v>30</v>
      </c>
      <c r="F15" s="118" t="s">
        <v>44</v>
      </c>
      <c r="G15" s="118" t="s">
        <v>30</v>
      </c>
    </row>
    <row r="16" ht="14.25" customHeight="1">
      <c r="A16" s="116" t="s">
        <v>142</v>
      </c>
      <c r="B16" s="117">
        <v>42.0</v>
      </c>
      <c r="C16" s="118">
        <v>764.0</v>
      </c>
      <c r="D16" s="119" t="s">
        <v>44</v>
      </c>
      <c r="E16" s="118" t="s">
        <v>30</v>
      </c>
      <c r="F16" s="118">
        <v>0.0</v>
      </c>
      <c r="G16" s="118">
        <v>0.0</v>
      </c>
    </row>
    <row r="17" ht="14.25" customHeight="1">
      <c r="A17" s="116" t="s">
        <v>143</v>
      </c>
      <c r="B17" s="117">
        <v>813.0</v>
      </c>
      <c r="C17" s="118">
        <v>2781.0</v>
      </c>
      <c r="D17" s="119">
        <v>84.0</v>
      </c>
      <c r="E17" s="118">
        <v>287.0</v>
      </c>
      <c r="F17" s="118">
        <v>82.0</v>
      </c>
      <c r="G17" s="118">
        <v>280.0</v>
      </c>
    </row>
    <row r="18" ht="14.25" customHeight="1">
      <c r="A18" s="116" t="s">
        <v>144</v>
      </c>
      <c r="B18" s="117">
        <v>434.0</v>
      </c>
      <c r="C18" s="118">
        <v>2005.0</v>
      </c>
      <c r="D18" s="119">
        <v>41.0</v>
      </c>
      <c r="E18" s="118">
        <v>189.0</v>
      </c>
      <c r="F18" s="118">
        <v>37.0</v>
      </c>
      <c r="G18" s="118">
        <v>171.0</v>
      </c>
    </row>
    <row r="19" ht="14.25" customHeight="1">
      <c r="A19" s="116" t="s">
        <v>145</v>
      </c>
      <c r="B19" s="117">
        <v>19.0</v>
      </c>
      <c r="C19" s="118">
        <v>542.0</v>
      </c>
      <c r="D19" s="119">
        <v>0.0</v>
      </c>
      <c r="E19" s="118">
        <v>0.0</v>
      </c>
      <c r="F19" s="118" t="s">
        <v>44</v>
      </c>
      <c r="G19" s="118" t="s">
        <v>30</v>
      </c>
    </row>
    <row r="20" ht="14.25" customHeight="1">
      <c r="A20" s="116" t="s">
        <v>146</v>
      </c>
      <c r="B20" s="117">
        <v>94.0</v>
      </c>
      <c r="C20" s="118">
        <v>585.0</v>
      </c>
      <c r="D20" s="119">
        <v>8.0</v>
      </c>
      <c r="E20" s="118">
        <v>50.0</v>
      </c>
      <c r="F20" s="118" t="s">
        <v>44</v>
      </c>
      <c r="G20" s="118" t="s">
        <v>30</v>
      </c>
    </row>
    <row r="21" ht="14.25" customHeight="1">
      <c r="A21" s="116" t="s">
        <v>147</v>
      </c>
      <c r="B21" s="117">
        <v>326.0</v>
      </c>
      <c r="C21" s="118">
        <v>2096.0</v>
      </c>
      <c r="D21" s="119">
        <v>8.0</v>
      </c>
      <c r="E21" s="118">
        <v>51.0</v>
      </c>
      <c r="F21" s="118">
        <v>0.0</v>
      </c>
      <c r="G21" s="118">
        <v>0.0</v>
      </c>
    </row>
    <row r="22" ht="14.25" customHeight="1">
      <c r="A22" s="116" t="s">
        <v>148</v>
      </c>
      <c r="B22" s="117">
        <v>7.0</v>
      </c>
      <c r="C22" s="118">
        <v>846.0</v>
      </c>
      <c r="D22" s="119">
        <v>0.0</v>
      </c>
      <c r="E22" s="118">
        <v>0.0</v>
      </c>
      <c r="F22" s="118">
        <v>0.0</v>
      </c>
      <c r="G22" s="118">
        <v>0.0</v>
      </c>
    </row>
    <row r="23" ht="14.25" customHeight="1">
      <c r="A23" s="116" t="s">
        <v>149</v>
      </c>
      <c r="B23" s="117">
        <v>205.0</v>
      </c>
      <c r="C23" s="118">
        <v>828.0</v>
      </c>
      <c r="D23" s="119">
        <v>17.0</v>
      </c>
      <c r="E23" s="118">
        <v>69.0</v>
      </c>
      <c r="F23" s="118" t="s">
        <v>44</v>
      </c>
      <c r="G23" s="118" t="s">
        <v>30</v>
      </c>
    </row>
    <row r="24" ht="14.25" customHeight="1">
      <c r="A24" s="116" t="s">
        <v>150</v>
      </c>
      <c r="B24" s="117">
        <v>372.0</v>
      </c>
      <c r="C24" s="118">
        <v>1419.0</v>
      </c>
      <c r="D24" s="119">
        <v>36.0</v>
      </c>
      <c r="E24" s="118">
        <v>137.0</v>
      </c>
      <c r="F24" s="118">
        <v>53.0</v>
      </c>
      <c r="G24" s="118">
        <v>202.0</v>
      </c>
    </row>
    <row r="25" ht="15.75" customHeight="1">
      <c r="A25" s="116" t="s">
        <v>151</v>
      </c>
      <c r="B25" s="117">
        <v>1163.0</v>
      </c>
      <c r="C25" s="118">
        <v>3583.0</v>
      </c>
      <c r="D25" s="119">
        <v>129.0</v>
      </c>
      <c r="E25" s="118">
        <v>397.0</v>
      </c>
      <c r="F25" s="118">
        <v>81.0</v>
      </c>
      <c r="G25" s="118">
        <v>250.0</v>
      </c>
    </row>
    <row r="26" ht="14.25" customHeight="1">
      <c r="A26" s="116" t="s">
        <v>152</v>
      </c>
      <c r="B26" s="117">
        <v>204.0</v>
      </c>
      <c r="C26" s="118">
        <v>1652.0</v>
      </c>
      <c r="D26" s="119">
        <v>22.0</v>
      </c>
      <c r="E26" s="118">
        <v>178.0</v>
      </c>
      <c r="F26" s="118">
        <v>28.0</v>
      </c>
      <c r="G26" s="118">
        <v>227.0</v>
      </c>
    </row>
    <row r="27" ht="14.25" customHeight="1">
      <c r="A27" s="116" t="s">
        <v>153</v>
      </c>
      <c r="B27" s="117">
        <v>2812.0</v>
      </c>
      <c r="C27" s="118">
        <v>3919.0</v>
      </c>
      <c r="D27" s="119">
        <v>233.0</v>
      </c>
      <c r="E27" s="118">
        <v>325.0</v>
      </c>
      <c r="F27" s="118">
        <v>54.0</v>
      </c>
      <c r="G27" s="118">
        <v>75.0</v>
      </c>
    </row>
    <row r="28" ht="14.25" customHeight="1">
      <c r="A28" s="116" t="s">
        <v>154</v>
      </c>
      <c r="B28" s="117">
        <v>103.0</v>
      </c>
      <c r="C28" s="118">
        <v>591.0</v>
      </c>
      <c r="D28" s="119" t="s">
        <v>44</v>
      </c>
      <c r="E28" s="118" t="s">
        <v>30</v>
      </c>
      <c r="F28" s="118">
        <v>0.0</v>
      </c>
      <c r="G28" s="118">
        <v>0.0</v>
      </c>
    </row>
    <row r="29" ht="14.25" customHeight="1">
      <c r="A29" s="116" t="s">
        <v>155</v>
      </c>
      <c r="B29" s="117">
        <v>9288.0</v>
      </c>
      <c r="C29" s="118">
        <v>5176.0</v>
      </c>
      <c r="D29" s="119">
        <v>941.0</v>
      </c>
      <c r="E29" s="118">
        <v>524.0</v>
      </c>
      <c r="F29" s="118">
        <v>296.0</v>
      </c>
      <c r="G29" s="118">
        <v>165.0</v>
      </c>
    </row>
    <row r="30" ht="14.25" customHeight="1">
      <c r="A30" s="116" t="s">
        <v>156</v>
      </c>
      <c r="B30" s="117">
        <v>38.0</v>
      </c>
      <c r="C30" s="118">
        <v>498.0</v>
      </c>
      <c r="D30" s="119">
        <v>5.0</v>
      </c>
      <c r="E30" s="118">
        <v>66.0</v>
      </c>
      <c r="F30" s="118">
        <v>0.0</v>
      </c>
      <c r="G30" s="118">
        <v>0.0</v>
      </c>
    </row>
    <row r="31" ht="14.25" customHeight="1">
      <c r="A31" s="116" t="s">
        <v>157</v>
      </c>
      <c r="B31" s="117">
        <v>84.0</v>
      </c>
      <c r="C31" s="118">
        <v>792.0</v>
      </c>
      <c r="D31" s="119" t="s">
        <v>44</v>
      </c>
      <c r="E31" s="118" t="s">
        <v>30</v>
      </c>
      <c r="F31" s="118" t="s">
        <v>44</v>
      </c>
      <c r="G31" s="118" t="s">
        <v>30</v>
      </c>
    </row>
    <row r="32" ht="14.25" customHeight="1">
      <c r="A32" s="116" t="s">
        <v>158</v>
      </c>
      <c r="B32" s="117">
        <v>443.0</v>
      </c>
      <c r="C32" s="118">
        <v>2048.0</v>
      </c>
      <c r="D32" s="119">
        <v>77.0</v>
      </c>
      <c r="E32" s="118">
        <v>356.0</v>
      </c>
      <c r="F32" s="118">
        <v>56.0</v>
      </c>
      <c r="G32" s="118">
        <v>259.0</v>
      </c>
    </row>
    <row r="33" ht="14.25" customHeight="1">
      <c r="A33" s="116" t="s">
        <v>159</v>
      </c>
      <c r="B33" s="117">
        <v>194.0</v>
      </c>
      <c r="C33" s="118">
        <v>631.0</v>
      </c>
      <c r="D33" s="119">
        <v>16.0</v>
      </c>
      <c r="E33" s="118">
        <v>52.0</v>
      </c>
      <c r="F33" s="118">
        <v>18.0</v>
      </c>
      <c r="G33" s="118">
        <v>59.0</v>
      </c>
    </row>
    <row r="34" ht="14.25" customHeight="1">
      <c r="A34" s="116" t="s">
        <v>160</v>
      </c>
      <c r="B34" s="117">
        <v>168.0</v>
      </c>
      <c r="C34" s="118">
        <v>1062.0</v>
      </c>
      <c r="D34" s="119" t="s">
        <v>44</v>
      </c>
      <c r="E34" s="118" t="s">
        <v>30</v>
      </c>
      <c r="F34" s="118">
        <v>5.0</v>
      </c>
      <c r="G34" s="118">
        <v>32.0</v>
      </c>
    </row>
    <row r="35" ht="14.25" customHeight="1">
      <c r="A35" s="116" t="s">
        <v>161</v>
      </c>
      <c r="B35" s="117">
        <v>131.0</v>
      </c>
      <c r="C35" s="118">
        <v>1249.0</v>
      </c>
      <c r="D35" s="119">
        <v>11.0</v>
      </c>
      <c r="E35" s="118">
        <v>105.0</v>
      </c>
      <c r="F35" s="118">
        <v>9.0</v>
      </c>
      <c r="G35" s="118">
        <v>86.0</v>
      </c>
    </row>
    <row r="36" ht="14.25" customHeight="1">
      <c r="A36" s="116" t="s">
        <v>162</v>
      </c>
      <c r="B36" s="117">
        <v>1135.0</v>
      </c>
      <c r="C36" s="118">
        <v>1400.0</v>
      </c>
      <c r="D36" s="119">
        <v>94.0</v>
      </c>
      <c r="E36" s="118">
        <v>116.0</v>
      </c>
      <c r="F36" s="118">
        <v>76.0</v>
      </c>
      <c r="G36" s="118">
        <v>94.0</v>
      </c>
    </row>
    <row r="37" ht="14.25" customHeight="1">
      <c r="A37" s="116" t="s">
        <v>163</v>
      </c>
      <c r="B37" s="117">
        <v>52.0</v>
      </c>
      <c r="C37" s="118">
        <v>842.0</v>
      </c>
      <c r="D37" s="119" t="s">
        <v>44</v>
      </c>
      <c r="E37" s="118" t="s">
        <v>30</v>
      </c>
      <c r="F37" s="118">
        <v>0.0</v>
      </c>
      <c r="G37" s="118">
        <v>0.0</v>
      </c>
    </row>
    <row r="38" ht="14.25" customHeight="1">
      <c r="A38" s="116" t="s">
        <v>164</v>
      </c>
      <c r="B38" s="117">
        <v>494.0</v>
      </c>
      <c r="C38" s="118">
        <v>1706.0</v>
      </c>
      <c r="D38" s="119">
        <v>48.0</v>
      </c>
      <c r="E38" s="118">
        <v>166.0</v>
      </c>
      <c r="F38" s="118">
        <v>22.0</v>
      </c>
      <c r="G38" s="118">
        <v>76.0</v>
      </c>
    </row>
    <row r="39" ht="14.25" customHeight="1">
      <c r="A39" s="116" t="s">
        <v>165</v>
      </c>
      <c r="B39" s="117">
        <v>169.0</v>
      </c>
      <c r="C39" s="118">
        <v>747.0</v>
      </c>
      <c r="D39" s="119">
        <v>11.0</v>
      </c>
      <c r="E39" s="118">
        <v>49.0</v>
      </c>
      <c r="F39" s="118" t="s">
        <v>44</v>
      </c>
      <c r="G39" s="118" t="s">
        <v>30</v>
      </c>
    </row>
    <row r="40" ht="14.25" customHeight="1">
      <c r="A40" s="116" t="s">
        <v>166</v>
      </c>
      <c r="B40" s="117">
        <v>985.0</v>
      </c>
      <c r="C40" s="118">
        <v>2371.0</v>
      </c>
      <c r="D40" s="119">
        <v>122.0</v>
      </c>
      <c r="E40" s="118">
        <v>294.0</v>
      </c>
      <c r="F40" s="118">
        <v>84.0</v>
      </c>
      <c r="G40" s="118">
        <v>202.0</v>
      </c>
    </row>
    <row r="41" ht="14.25" customHeight="1">
      <c r="A41" s="116" t="s">
        <v>45</v>
      </c>
      <c r="B41" s="117">
        <v>1080.0</v>
      </c>
      <c r="C41" s="118" t="s">
        <v>30</v>
      </c>
      <c r="D41" s="119">
        <v>118.0</v>
      </c>
      <c r="E41" s="118" t="s">
        <v>30</v>
      </c>
      <c r="F41" s="118" t="s">
        <v>44</v>
      </c>
      <c r="G41" s="118" t="s">
        <v>30</v>
      </c>
    </row>
    <row r="42" ht="14.25" customHeight="1">
      <c r="A42" s="120" t="s">
        <v>167</v>
      </c>
      <c r="B42" s="118">
        <v>27274.0</v>
      </c>
      <c r="C42" s="118">
        <v>2581.0</v>
      </c>
      <c r="D42" s="118">
        <v>2601.0</v>
      </c>
      <c r="E42" s="118">
        <v>246.0</v>
      </c>
      <c r="F42" s="118">
        <v>1155.0</v>
      </c>
      <c r="G42" s="118">
        <v>109.0</v>
      </c>
    </row>
    <row r="43" ht="14.25" customHeight="1">
      <c r="A43" s="121" t="s">
        <v>168</v>
      </c>
      <c r="D43" s="122"/>
      <c r="E43" s="122"/>
      <c r="F43" s="122"/>
      <c r="G43" s="122"/>
    </row>
    <row r="44" ht="15.0" customHeight="1">
      <c r="A44" s="123" t="s">
        <v>169</v>
      </c>
    </row>
    <row r="45" ht="14.25" customHeight="1"/>
    <row r="46" ht="14.25" customHeight="1"/>
    <row r="47" ht="14.25" customHeight="1">
      <c r="A47" s="71" t="s">
        <v>0</v>
      </c>
      <c r="B47" s="72">
        <v>44125.0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170</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171</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44118.0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172</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173</v>
      </c>
      <c r="C8" s="130" t="s">
        <v>174</v>
      </c>
      <c r="D8" s="130" t="s">
        <v>175</v>
      </c>
      <c r="E8" s="130" t="s">
        <v>176</v>
      </c>
      <c r="F8" s="130" t="s">
        <v>177</v>
      </c>
      <c r="G8" s="130" t="s">
        <v>178</v>
      </c>
      <c r="H8" s="130" t="s">
        <v>179</v>
      </c>
      <c r="I8" s="130" t="s">
        <v>180</v>
      </c>
      <c r="J8" s="130" t="s">
        <v>181</v>
      </c>
      <c r="K8" s="130" t="s">
        <v>182</v>
      </c>
      <c r="L8" s="130" t="s">
        <v>183</v>
      </c>
      <c r="M8" s="130" t="s">
        <v>184</v>
      </c>
      <c r="N8" s="130" t="s">
        <v>185</v>
      </c>
      <c r="O8" s="130" t="s">
        <v>186</v>
      </c>
      <c r="P8" s="130" t="s">
        <v>187</v>
      </c>
      <c r="Q8" s="130" t="s">
        <v>188</v>
      </c>
      <c r="R8" s="130" t="s">
        <v>189</v>
      </c>
      <c r="S8" s="130" t="s">
        <v>190</v>
      </c>
      <c r="T8" s="130" t="s">
        <v>191</v>
      </c>
      <c r="U8" s="130" t="s">
        <v>192</v>
      </c>
      <c r="V8" s="130" t="s">
        <v>193</v>
      </c>
      <c r="W8" s="130" t="s">
        <v>194</v>
      </c>
      <c r="X8" s="130" t="s">
        <v>195</v>
      </c>
      <c r="Y8" s="130" t="s">
        <v>196</v>
      </c>
      <c r="Z8" s="130" t="s">
        <v>197</v>
      </c>
      <c r="AA8" s="130" t="s">
        <v>198</v>
      </c>
      <c r="AB8" s="130" t="s">
        <v>199</v>
      </c>
      <c r="AC8" s="130" t="s">
        <v>200</v>
      </c>
      <c r="AD8" s="130" t="s">
        <v>201</v>
      </c>
      <c r="AE8" s="130" t="s">
        <v>202</v>
      </c>
      <c r="AF8" s="130" t="s">
        <v>203</v>
      </c>
      <c r="AG8" s="130" t="s">
        <v>204</v>
      </c>
      <c r="AH8" s="130" t="s">
        <v>205</v>
      </c>
      <c r="AI8" s="130" t="s">
        <v>206</v>
      </c>
      <c r="AJ8" s="130" t="s">
        <v>207</v>
      </c>
      <c r="AK8" s="130" t="s">
        <v>208</v>
      </c>
      <c r="AL8" s="130" t="s">
        <v>209</v>
      </c>
      <c r="AM8" s="130" t="s">
        <v>210</v>
      </c>
      <c r="AN8" s="130" t="s">
        <v>211</v>
      </c>
      <c r="AO8" s="130" t="s">
        <v>212</v>
      </c>
      <c r="AP8" s="130" t="s">
        <v>167</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13.0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1445.0</v>
      </c>
    </row>
    <row r="15">
      <c r="A15" s="94" t="s">
        <v>85</v>
      </c>
      <c r="B15" s="48" t="s">
        <v>44</v>
      </c>
      <c r="C15" s="48">
        <v>13.0</v>
      </c>
      <c r="D15" s="48">
        <v>8.0</v>
      </c>
      <c r="E15" s="48">
        <v>112.0</v>
      </c>
      <c r="F15" s="48" t="s">
        <v>44</v>
      </c>
      <c r="G15" s="48">
        <v>18.0</v>
      </c>
      <c r="H15" s="48">
        <v>138.0</v>
      </c>
      <c r="I15" s="48">
        <v>28.0</v>
      </c>
      <c r="J15" s="48">
        <v>5.0</v>
      </c>
      <c r="K15" s="48">
        <v>53.0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33.0</v>
      </c>
      <c r="AP15" s="96">
        <v>1612.0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44</v>
      </c>
      <c r="AL16" s="48">
        <v>34.0</v>
      </c>
      <c r="AM16" s="48">
        <v>15.0</v>
      </c>
      <c r="AN16" s="48">
        <v>49.0</v>
      </c>
      <c r="AO16" s="48">
        <v>44.0</v>
      </c>
      <c r="AP16" s="96">
        <v>2006.0</v>
      </c>
    </row>
    <row r="17">
      <c r="A17" s="94" t="s">
        <v>87</v>
      </c>
      <c r="B17" s="48" t="s">
        <v>44</v>
      </c>
      <c r="C17" s="48">
        <v>10.0</v>
      </c>
      <c r="D17" s="48">
        <v>10.0</v>
      </c>
      <c r="E17" s="48">
        <v>134.0</v>
      </c>
      <c r="F17" s="48" t="s">
        <v>44</v>
      </c>
      <c r="G17" s="48">
        <v>12.0</v>
      </c>
      <c r="H17" s="48">
        <v>109.0</v>
      </c>
      <c r="I17" s="48">
        <v>21.0</v>
      </c>
      <c r="J17" s="48">
        <v>10.0</v>
      </c>
      <c r="K17" s="48">
        <v>42.0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6.0</v>
      </c>
      <c r="C19" s="48">
        <v>6.0</v>
      </c>
      <c r="D19" s="48" t="s">
        <v>44</v>
      </c>
      <c r="E19" s="48">
        <v>95.0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v>0.0</v>
      </c>
      <c r="AE19" s="48">
        <v>5.0</v>
      </c>
      <c r="AF19" s="48">
        <v>12.0</v>
      </c>
      <c r="AG19" s="48" t="s">
        <v>44</v>
      </c>
      <c r="AH19" s="48">
        <v>7.0</v>
      </c>
      <c r="AI19" s="48">
        <v>14.0</v>
      </c>
      <c r="AJ19" s="48">
        <v>35.0</v>
      </c>
      <c r="AK19" s="48" t="s">
        <v>44</v>
      </c>
      <c r="AL19" s="48">
        <v>12.0</v>
      </c>
      <c r="AM19" s="48" t="s">
        <v>44</v>
      </c>
      <c r="AN19" s="48">
        <v>43.0</v>
      </c>
      <c r="AO19" s="48">
        <v>13.0</v>
      </c>
      <c r="AP19" s="96">
        <v>1119.0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30.0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722.0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295.0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5.0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327.0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6.0</v>
      </c>
      <c r="AP27" s="50">
        <v>336.0</v>
      </c>
    </row>
    <row r="28">
      <c r="A28" s="94" t="s">
        <v>98</v>
      </c>
      <c r="B28" s="48" t="s">
        <v>44</v>
      </c>
      <c r="C28" s="48">
        <v>8.0</v>
      </c>
      <c r="D28" s="48" t="s">
        <v>44</v>
      </c>
      <c r="E28" s="48">
        <v>21.0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19.0</v>
      </c>
      <c r="L29" s="48" t="s">
        <v>44</v>
      </c>
      <c r="M29" s="48">
        <v>0.0</v>
      </c>
      <c r="N29" s="48" t="s">
        <v>44</v>
      </c>
      <c r="O29" s="48" t="s">
        <v>44</v>
      </c>
      <c r="P29" s="48" t="s">
        <v>44</v>
      </c>
      <c r="Q29" s="48">
        <v>19.0</v>
      </c>
      <c r="R29" s="48">
        <v>5.0</v>
      </c>
      <c r="S29" s="48">
        <v>0.0</v>
      </c>
      <c r="T29" s="48" t="s">
        <v>44</v>
      </c>
      <c r="U29" s="48" t="s">
        <v>44</v>
      </c>
      <c r="V29" s="48" t="s">
        <v>44</v>
      </c>
      <c r="W29" s="48">
        <v>8.0</v>
      </c>
      <c r="X29" s="48">
        <v>6.0</v>
      </c>
      <c r="Y29" s="48">
        <v>33.0</v>
      </c>
      <c r="Z29" s="48" t="s">
        <v>44</v>
      </c>
      <c r="AA29" s="48">
        <v>92.0</v>
      </c>
      <c r="AB29" s="48" t="s">
        <v>44</v>
      </c>
      <c r="AC29" s="48">
        <v>169.0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190.0</v>
      </c>
      <c r="AD30" s="48" t="s">
        <v>44</v>
      </c>
      <c r="AE30" s="48" t="s">
        <v>44</v>
      </c>
      <c r="AF30" s="48" t="s">
        <v>44</v>
      </c>
      <c r="AG30" s="48" t="s">
        <v>44</v>
      </c>
      <c r="AH30" s="48" t="s">
        <v>44</v>
      </c>
      <c r="AI30" s="48" t="s">
        <v>44</v>
      </c>
      <c r="AJ30" s="48">
        <v>36.0</v>
      </c>
      <c r="AK30" s="48" t="s">
        <v>44</v>
      </c>
      <c r="AL30" s="48">
        <v>21.0</v>
      </c>
      <c r="AM30" s="48" t="s">
        <v>44</v>
      </c>
      <c r="AN30" s="48">
        <v>20.0</v>
      </c>
      <c r="AO30" s="48">
        <v>31.0</v>
      </c>
      <c r="AP30" s="96">
        <v>670.0</v>
      </c>
    </row>
    <row r="31">
      <c r="A31" s="133" t="s">
        <v>101</v>
      </c>
      <c r="B31" s="48" t="s">
        <v>44</v>
      </c>
      <c r="C31" s="48">
        <v>6.0</v>
      </c>
      <c r="D31" s="48" t="s">
        <v>44</v>
      </c>
      <c r="E31" s="132">
        <v>38.0</v>
      </c>
      <c r="F31" s="48">
        <v>0.0</v>
      </c>
      <c r="G31" s="48">
        <v>8.0</v>
      </c>
      <c r="H31" s="132">
        <v>93.0</v>
      </c>
      <c r="I31" s="48">
        <v>11.0</v>
      </c>
      <c r="J31" s="48" t="s">
        <v>44</v>
      </c>
      <c r="K31" s="48">
        <v>19.0</v>
      </c>
      <c r="L31" s="48" t="s">
        <v>44</v>
      </c>
      <c r="M31" s="48" t="s">
        <v>44</v>
      </c>
      <c r="N31" s="48" t="s">
        <v>44</v>
      </c>
      <c r="O31" s="48" t="s">
        <v>44</v>
      </c>
      <c r="P31" s="48">
        <v>0.0</v>
      </c>
      <c r="Q31" s="48">
        <v>15.0</v>
      </c>
      <c r="R31" s="48">
        <v>13.0</v>
      </c>
      <c r="S31" s="48">
        <v>0.0</v>
      </c>
      <c r="T31" s="48" t="s">
        <v>44</v>
      </c>
      <c r="U31" s="48" t="s">
        <v>44</v>
      </c>
      <c r="V31" s="48" t="s">
        <v>44</v>
      </c>
      <c r="W31" s="48">
        <v>5.0</v>
      </c>
      <c r="X31" s="48">
        <v>7.0</v>
      </c>
      <c r="Y31" s="48">
        <v>27.0</v>
      </c>
      <c r="Z31" s="48" t="s">
        <v>44</v>
      </c>
      <c r="AA31" s="132">
        <v>83.0</v>
      </c>
      <c r="AB31" s="48" t="s">
        <v>44</v>
      </c>
      <c r="AC31" s="132">
        <v>221.0</v>
      </c>
      <c r="AD31" s="48" t="s">
        <v>44</v>
      </c>
      <c r="AE31" s="48">
        <v>5.0</v>
      </c>
      <c r="AF31" s="48">
        <v>7.0</v>
      </c>
      <c r="AG31" s="48" t="s">
        <v>44</v>
      </c>
      <c r="AH31" s="48">
        <v>0.0</v>
      </c>
      <c r="AI31" s="48">
        <v>0.0</v>
      </c>
      <c r="AJ31" s="48">
        <v>30.0</v>
      </c>
      <c r="AK31" s="48">
        <v>0.0</v>
      </c>
      <c r="AL31" s="48">
        <v>11.0</v>
      </c>
      <c r="AM31" s="48">
        <v>5.0</v>
      </c>
      <c r="AN31" s="48">
        <v>21.0</v>
      </c>
      <c r="AO31" s="48">
        <v>8.0</v>
      </c>
      <c r="AP31" s="96">
        <v>659.0</v>
      </c>
    </row>
    <row r="32">
      <c r="A32" s="133" t="s">
        <v>102</v>
      </c>
      <c r="B32" s="134" t="s">
        <v>44</v>
      </c>
      <c r="C32" s="134">
        <v>5.0</v>
      </c>
      <c r="D32" s="134" t="s">
        <v>44</v>
      </c>
      <c r="E32" s="135">
        <v>34.0</v>
      </c>
      <c r="F32" s="134" t="s">
        <v>44</v>
      </c>
      <c r="G32" s="134">
        <v>6.0</v>
      </c>
      <c r="H32" s="135">
        <v>33.0</v>
      </c>
      <c r="I32" s="134">
        <v>15.0</v>
      </c>
      <c r="J32" s="134">
        <v>6.0</v>
      </c>
      <c r="K32" s="134">
        <v>13.0</v>
      </c>
      <c r="L32" s="134" t="s">
        <v>44</v>
      </c>
      <c r="M32" s="134" t="s">
        <v>44</v>
      </c>
      <c r="N32" s="134" t="s">
        <v>44</v>
      </c>
      <c r="O32" s="134">
        <v>0.0</v>
      </c>
      <c r="P32" s="134" t="s">
        <v>44</v>
      </c>
      <c r="Q32" s="134">
        <v>10.0</v>
      </c>
      <c r="R32" s="134">
        <v>6.0</v>
      </c>
      <c r="S32" s="134">
        <v>0.0</v>
      </c>
      <c r="T32" s="134">
        <v>0.0</v>
      </c>
      <c r="U32" s="134">
        <v>18.0</v>
      </c>
      <c r="V32" s="134" t="s">
        <v>44</v>
      </c>
      <c r="W32" s="134" t="s">
        <v>44</v>
      </c>
      <c r="X32" s="134">
        <v>9.0</v>
      </c>
      <c r="Y32" s="134">
        <v>19.0</v>
      </c>
      <c r="Z32" s="134">
        <v>0.0</v>
      </c>
      <c r="AA32" s="135">
        <v>55.0</v>
      </c>
      <c r="AB32" s="134" t="s">
        <v>44</v>
      </c>
      <c r="AC32" s="135">
        <v>222.0</v>
      </c>
      <c r="AD32" s="134" t="s">
        <v>44</v>
      </c>
      <c r="AE32" s="134" t="s">
        <v>44</v>
      </c>
      <c r="AF32" s="134">
        <v>10.0</v>
      </c>
      <c r="AG32" s="134">
        <v>15.0</v>
      </c>
      <c r="AH32" s="134" t="s">
        <v>44</v>
      </c>
      <c r="AI32" s="134">
        <v>0.0</v>
      </c>
      <c r="AJ32" s="134">
        <v>20.0</v>
      </c>
      <c r="AK32" s="134">
        <v>0.0</v>
      </c>
      <c r="AL32" s="134">
        <v>14.0</v>
      </c>
      <c r="AM32" s="134">
        <v>0.0</v>
      </c>
      <c r="AN32" s="134">
        <v>19.0</v>
      </c>
      <c r="AO32" s="134">
        <v>14.0</v>
      </c>
      <c r="AP32" s="136">
        <v>571.0</v>
      </c>
    </row>
    <row r="33">
      <c r="A33" s="133" t="s">
        <v>103</v>
      </c>
      <c r="B33" s="134">
        <v>0.0</v>
      </c>
      <c r="C33" s="134">
        <v>15.0</v>
      </c>
      <c r="D33" s="134" t="s">
        <v>44</v>
      </c>
      <c r="E33" s="135">
        <v>35.0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14.0</v>
      </c>
      <c r="Y33" s="134">
        <v>19.0</v>
      </c>
      <c r="Z33" s="134" t="s">
        <v>44</v>
      </c>
      <c r="AA33" s="135">
        <v>54.0</v>
      </c>
      <c r="AB33" s="134" t="s">
        <v>44</v>
      </c>
      <c r="AC33" s="135">
        <v>217.0</v>
      </c>
      <c r="AD33" s="134">
        <v>0.0</v>
      </c>
      <c r="AE33" s="134" t="s">
        <v>44</v>
      </c>
      <c r="AF33" s="134">
        <v>8.0</v>
      </c>
      <c r="AG33" s="134" t="s">
        <v>44</v>
      </c>
      <c r="AH33" s="134">
        <v>7.0</v>
      </c>
      <c r="AI33" s="134" t="s">
        <v>44</v>
      </c>
      <c r="AJ33" s="134">
        <v>36.0</v>
      </c>
      <c r="AK33" s="134" t="s">
        <v>44</v>
      </c>
      <c r="AL33" s="134" t="s">
        <v>44</v>
      </c>
      <c r="AM33" s="134" t="s">
        <v>44</v>
      </c>
      <c r="AN33" s="134">
        <v>16.0</v>
      </c>
      <c r="AO33" s="134">
        <v>31.0</v>
      </c>
      <c r="AP33" s="136">
        <v>631.0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144.0</v>
      </c>
      <c r="AD36" s="134">
        <v>0.0</v>
      </c>
      <c r="AE36" s="134" t="s">
        <v>44</v>
      </c>
      <c r="AF36" s="134">
        <v>6.0</v>
      </c>
      <c r="AG36" s="134" t="s">
        <v>44</v>
      </c>
      <c r="AH36" s="134" t="s">
        <v>44</v>
      </c>
      <c r="AI36" s="134">
        <v>0.0</v>
      </c>
      <c r="AJ36" s="134">
        <v>22.0</v>
      </c>
      <c r="AK36" s="134" t="s">
        <v>44</v>
      </c>
      <c r="AL36" s="134">
        <v>11.0</v>
      </c>
      <c r="AM36" s="134">
        <v>5.0</v>
      </c>
      <c r="AN36" s="134">
        <v>16.0</v>
      </c>
      <c r="AO36" s="134">
        <v>12.0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39.0</v>
      </c>
      <c r="AB37" s="134" t="s">
        <v>44</v>
      </c>
      <c r="AC37" s="135">
        <v>281.0</v>
      </c>
      <c r="AD37" s="134">
        <v>0.0</v>
      </c>
      <c r="AE37" s="134" t="s">
        <v>44</v>
      </c>
      <c r="AF37" s="134">
        <v>10.0</v>
      </c>
      <c r="AG37" s="134">
        <v>7.0</v>
      </c>
      <c r="AH37" s="134">
        <v>5.0</v>
      </c>
      <c r="AI37" s="134" t="s">
        <v>44</v>
      </c>
      <c r="AJ37" s="134">
        <v>32.0</v>
      </c>
      <c r="AK37" s="134" t="s">
        <v>44</v>
      </c>
      <c r="AL37" s="134">
        <v>10.0</v>
      </c>
      <c r="AM37" s="134">
        <v>8.0</v>
      </c>
      <c r="AN37" s="134">
        <v>15.0</v>
      </c>
      <c r="AO37" s="134">
        <v>21.0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29.0</v>
      </c>
      <c r="V38" s="134">
        <v>0.0</v>
      </c>
      <c r="W38" s="134" t="s">
        <v>44</v>
      </c>
      <c r="X38" s="134">
        <v>5.0</v>
      </c>
      <c r="Y38" s="134">
        <v>19.0</v>
      </c>
      <c r="Z38" s="134">
        <v>8.0</v>
      </c>
      <c r="AA38" s="135">
        <v>79.0</v>
      </c>
      <c r="AB38" s="134">
        <v>0.0</v>
      </c>
      <c r="AC38" s="135">
        <v>236.0</v>
      </c>
      <c r="AD38" s="134" t="s">
        <v>44</v>
      </c>
      <c r="AE38" s="134" t="s">
        <v>44</v>
      </c>
      <c r="AF38" s="134">
        <v>11.0</v>
      </c>
      <c r="AG38" s="134" t="s">
        <v>44</v>
      </c>
      <c r="AH38" s="134" t="s">
        <v>44</v>
      </c>
      <c r="AI38" s="134">
        <v>7.0</v>
      </c>
      <c r="AJ38" s="134">
        <v>24.0</v>
      </c>
      <c r="AK38" s="134" t="s">
        <v>44</v>
      </c>
      <c r="AL38" s="134">
        <v>9.0</v>
      </c>
      <c r="AM38" s="134">
        <v>11.0</v>
      </c>
      <c r="AN38" s="134">
        <v>11.0</v>
      </c>
      <c r="AO38" s="134">
        <v>16.0</v>
      </c>
      <c r="AP38" s="136">
        <v>651.0</v>
      </c>
    </row>
    <row r="39">
      <c r="A39" s="133" t="s">
        <v>109</v>
      </c>
      <c r="B39" s="134" t="s">
        <v>44</v>
      </c>
      <c r="C39" s="134">
        <v>9.0</v>
      </c>
      <c r="D39" s="134" t="s">
        <v>44</v>
      </c>
      <c r="E39" s="135">
        <v>34.0</v>
      </c>
      <c r="F39" s="134" t="s">
        <v>44</v>
      </c>
      <c r="G39" s="134">
        <v>14.0</v>
      </c>
      <c r="H39" s="135">
        <v>62.0</v>
      </c>
      <c r="I39" s="134">
        <v>23.0</v>
      </c>
      <c r="J39" s="134">
        <v>10.0</v>
      </c>
      <c r="K39" s="134">
        <v>32.0</v>
      </c>
      <c r="L39" s="134" t="s">
        <v>44</v>
      </c>
      <c r="M39" s="134" t="s">
        <v>44</v>
      </c>
      <c r="N39" s="134" t="s">
        <v>44</v>
      </c>
      <c r="O39" s="134">
        <v>0.0</v>
      </c>
      <c r="P39" s="134" t="s">
        <v>44</v>
      </c>
      <c r="Q39" s="134">
        <v>25.0</v>
      </c>
      <c r="R39" s="134">
        <v>17.0</v>
      </c>
      <c r="S39" s="134" t="s">
        <v>44</v>
      </c>
      <c r="T39" s="134" t="s">
        <v>44</v>
      </c>
      <c r="U39" s="134">
        <v>39.0</v>
      </c>
      <c r="V39" s="134">
        <v>0.0</v>
      </c>
      <c r="W39" s="134" t="s">
        <v>44</v>
      </c>
      <c r="X39" s="134">
        <v>15.0</v>
      </c>
      <c r="Y39" s="134">
        <v>32.0</v>
      </c>
      <c r="Z39" s="134">
        <v>6.0</v>
      </c>
      <c r="AA39" s="135">
        <v>116.0</v>
      </c>
      <c r="AB39" s="134">
        <v>5.0</v>
      </c>
      <c r="AC39" s="135">
        <v>282.0</v>
      </c>
      <c r="AD39" s="134">
        <v>0.0</v>
      </c>
      <c r="AE39" s="134" t="s">
        <v>44</v>
      </c>
      <c r="AF39" s="134">
        <v>14.0</v>
      </c>
      <c r="AG39" s="134">
        <v>10.0</v>
      </c>
      <c r="AH39" s="134" t="s">
        <v>44</v>
      </c>
      <c r="AI39" s="134">
        <v>0.0</v>
      </c>
      <c r="AJ39" s="134">
        <v>39.0</v>
      </c>
      <c r="AK39" s="134" t="s">
        <v>44</v>
      </c>
      <c r="AL39" s="134">
        <v>12.0</v>
      </c>
      <c r="AM39" s="134">
        <v>12.0</v>
      </c>
      <c r="AN39" s="134">
        <v>26.0</v>
      </c>
      <c r="AO39" s="134">
        <v>36.0</v>
      </c>
      <c r="AP39" s="136">
        <v>903.0</v>
      </c>
    </row>
    <row r="40">
      <c r="A40" s="133" t="s">
        <v>110</v>
      </c>
      <c r="B40" s="134">
        <v>7.0</v>
      </c>
      <c r="C40" s="134">
        <v>13.0</v>
      </c>
      <c r="D40" s="134">
        <v>8.0</v>
      </c>
      <c r="E40" s="135">
        <v>42.0</v>
      </c>
      <c r="F40" s="134" t="s">
        <v>44</v>
      </c>
      <c r="G40" s="134">
        <v>18.0</v>
      </c>
      <c r="H40" s="135">
        <v>90.0</v>
      </c>
      <c r="I40" s="134">
        <v>29.0</v>
      </c>
      <c r="J40" s="134">
        <v>6.0</v>
      </c>
      <c r="K40" s="134">
        <v>31.0</v>
      </c>
      <c r="L40" s="134">
        <v>5.0</v>
      </c>
      <c r="M40" s="134">
        <v>6.0</v>
      </c>
      <c r="N40" s="134" t="s">
        <v>44</v>
      </c>
      <c r="O40" s="134">
        <v>0.0</v>
      </c>
      <c r="P40" s="134" t="s">
        <v>44</v>
      </c>
      <c r="Q40" s="134">
        <v>23.0</v>
      </c>
      <c r="R40" s="134">
        <v>14.0</v>
      </c>
      <c r="S40" s="134" t="s">
        <v>44</v>
      </c>
      <c r="T40" s="134" t="s">
        <v>44</v>
      </c>
      <c r="U40" s="134">
        <v>75.0</v>
      </c>
      <c r="V40" s="134" t="s">
        <v>44</v>
      </c>
      <c r="W40" s="134">
        <v>8.0</v>
      </c>
      <c r="X40" s="134">
        <v>16.0</v>
      </c>
      <c r="Y40" s="134">
        <v>42.0</v>
      </c>
      <c r="Z40" s="134">
        <v>9.0</v>
      </c>
      <c r="AA40" s="135">
        <v>112.0</v>
      </c>
      <c r="AB40" s="134">
        <v>5.0</v>
      </c>
      <c r="AC40" s="135">
        <v>267.0</v>
      </c>
      <c r="AD40" s="134" t="s">
        <v>44</v>
      </c>
      <c r="AE40" s="134" t="s">
        <v>44</v>
      </c>
      <c r="AF40" s="134">
        <v>10.0</v>
      </c>
      <c r="AG40" s="134">
        <v>22.0</v>
      </c>
      <c r="AH40" s="134">
        <v>15.0</v>
      </c>
      <c r="AI40" s="134">
        <v>6.0</v>
      </c>
      <c r="AJ40" s="134">
        <v>60.0</v>
      </c>
      <c r="AK40" s="134" t="s">
        <v>44</v>
      </c>
      <c r="AL40" s="134">
        <v>26.0</v>
      </c>
      <c r="AM40" s="134">
        <v>20.0</v>
      </c>
      <c r="AN40" s="134">
        <v>36.0</v>
      </c>
      <c r="AO40" s="134">
        <v>89.0</v>
      </c>
      <c r="AP40" s="136">
        <v>1130.0</v>
      </c>
    </row>
  </sheetData>
  <mergeCells count="4">
    <mergeCell ref="A1:J1"/>
    <mergeCell ref="A2:E2"/>
    <mergeCell ref="A3:J3"/>
    <mergeCell ref="A6:K6"/>
  </mergeCells>
  <drawing r:id="rId1"/>
</worksheet>
</file>